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30ec5826103d7b/prana/ADM/Pessoal/Estágio/Desafio estagiaria/2025/"/>
    </mc:Choice>
  </mc:AlternateContent>
  <xr:revisionPtr revIDLastSave="27" documentId="13_ncr:1_{846391BE-C3CC-654E-A6F8-F32CD595D917}" xr6:coauthVersionLast="47" xr6:coauthVersionMax="47" xr10:uidLastSave="{DB39C22D-3BBE-944A-B8DB-E4162C269171}"/>
  <bookViews>
    <workbookView xWindow="4460" yWindow="0" windowWidth="28800" windowHeight="17500" activeTab="1" xr2:uid="{FC158206-7028-4045-925F-89998A16754B}"/>
  </bookViews>
  <sheets>
    <sheet name="PC" sheetId="22" r:id="rId1"/>
    <sheet name="LANÇAMENTO" sheetId="13" r:id="rId2"/>
  </sheets>
  <definedNames>
    <definedName name="_xlnm._FilterDatabase" localSheetId="1" hidden="1">LANÇAMENTO!$B$6:$XEZ$4008</definedName>
    <definedName name="_xlnm._FilterDatabase" localSheetId="0" hidden="1">PC!$B$1:$XFD$85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71" i="13" l="1"/>
  <c r="B3872" i="13"/>
  <c r="B3873" i="13"/>
  <c r="B3874" i="13"/>
  <c r="B3875" i="13"/>
  <c r="B3876" i="13"/>
  <c r="B3877" i="13"/>
  <c r="B3878" i="13"/>
  <c r="B3879" i="13"/>
  <c r="B3880" i="13"/>
  <c r="B3881" i="13"/>
  <c r="B3882" i="13"/>
  <c r="B3883" i="13"/>
  <c r="B3884" i="13"/>
  <c r="B3885" i="13"/>
  <c r="B3886" i="13"/>
  <c r="B3887" i="13"/>
  <c r="B3888" i="13"/>
  <c r="B3889" i="13"/>
  <c r="B3890" i="13"/>
  <c r="B3891" i="13"/>
  <c r="B3892" i="13"/>
  <c r="B3893" i="13"/>
  <c r="B3894" i="13"/>
  <c r="B3895" i="13"/>
  <c r="B3896" i="13"/>
  <c r="B3897" i="13"/>
  <c r="B3898" i="13"/>
  <c r="B3899" i="13"/>
  <c r="B3900" i="13"/>
  <c r="B3901" i="13"/>
  <c r="B3902" i="13"/>
  <c r="B3903" i="13"/>
  <c r="B3904" i="13"/>
  <c r="B3905" i="13"/>
  <c r="B3906" i="13"/>
  <c r="B3907" i="13"/>
  <c r="B3908" i="13"/>
  <c r="B3909" i="13"/>
  <c r="B3910" i="13"/>
  <c r="B3911" i="13"/>
  <c r="B3912" i="13"/>
  <c r="B3913" i="13"/>
  <c r="B3914" i="13"/>
  <c r="B3915" i="13"/>
  <c r="B3916" i="13"/>
  <c r="B3917" i="13"/>
  <c r="B3918" i="13"/>
  <c r="B3919" i="13"/>
  <c r="B3920" i="13"/>
  <c r="B3921" i="13"/>
  <c r="B3922" i="13"/>
  <c r="B3923" i="13"/>
  <c r="B3924" i="13"/>
  <c r="B3925" i="13"/>
  <c r="B3926" i="13"/>
  <c r="B3927" i="13"/>
  <c r="B3928" i="13"/>
  <c r="B3929" i="13"/>
  <c r="B3930" i="13"/>
  <c r="B3931" i="13"/>
  <c r="B3932" i="13"/>
  <c r="B3933" i="13"/>
  <c r="B3934" i="13"/>
  <c r="B3935" i="13"/>
  <c r="B3936" i="13"/>
  <c r="B3937" i="13"/>
  <c r="B3938" i="13"/>
  <c r="B3939" i="13"/>
  <c r="B3940" i="13"/>
  <c r="B3941" i="13"/>
  <c r="B3942" i="13"/>
  <c r="B3943" i="13"/>
  <c r="B3944" i="13"/>
  <c r="B3945" i="13"/>
  <c r="B3946" i="13"/>
  <c r="B3947" i="13"/>
  <c r="B3948" i="13"/>
  <c r="B3949" i="13"/>
  <c r="B3950" i="13"/>
  <c r="B3951" i="13"/>
  <c r="B3952" i="13"/>
  <c r="B3953" i="13"/>
  <c r="B3954" i="13"/>
  <c r="B3955" i="13"/>
  <c r="B3956" i="13"/>
  <c r="B3957" i="13"/>
  <c r="B3958" i="13"/>
  <c r="B3959" i="13"/>
  <c r="B3960" i="13"/>
  <c r="B3961" i="13"/>
  <c r="B3962" i="13"/>
  <c r="B3963" i="13"/>
  <c r="B3964" i="13"/>
  <c r="B3965" i="13"/>
  <c r="B3966" i="13"/>
  <c r="B3967" i="13"/>
  <c r="B3968" i="13"/>
  <c r="B3969" i="13"/>
  <c r="B3970" i="13"/>
  <c r="B3971" i="13"/>
  <c r="B3972" i="13"/>
  <c r="B3973" i="13"/>
  <c r="B3974" i="13"/>
  <c r="B3975" i="13"/>
  <c r="B3976" i="13"/>
  <c r="B3977" i="13"/>
  <c r="B3978" i="13"/>
  <c r="B3979" i="13"/>
  <c r="B3980" i="13"/>
  <c r="B3981" i="13"/>
  <c r="B3982" i="13"/>
  <c r="B3983" i="13"/>
  <c r="B3984" i="13"/>
  <c r="B3985" i="13"/>
  <c r="B3986" i="13"/>
  <c r="B3987" i="13"/>
  <c r="B3988" i="13"/>
  <c r="B3989" i="13"/>
  <c r="B3990" i="13"/>
  <c r="B3991" i="13"/>
  <c r="B3992" i="13"/>
  <c r="B3993" i="13"/>
  <c r="B3994" i="13"/>
  <c r="B3995" i="13"/>
  <c r="B3996" i="13"/>
  <c r="B3997" i="13"/>
  <c r="B3998" i="13"/>
  <c r="B3999" i="13"/>
  <c r="B4000" i="13"/>
  <c r="B4001" i="13"/>
  <c r="B4002" i="13"/>
  <c r="B4003" i="13"/>
  <c r="B4004" i="13"/>
  <c r="B4005" i="13"/>
  <c r="B4006" i="13"/>
  <c r="B4007" i="13"/>
  <c r="B4008" i="13"/>
  <c r="B4009" i="13"/>
  <c r="B4010" i="13"/>
  <c r="B4011" i="13"/>
  <c r="B4012" i="13"/>
  <c r="B4013" i="13"/>
  <c r="B4014" i="13"/>
  <c r="B4015" i="13"/>
  <c r="B4016" i="13"/>
  <c r="B4017" i="13"/>
  <c r="B4018" i="13"/>
  <c r="B4019" i="13"/>
  <c r="B4020" i="13"/>
  <c r="B4021" i="13"/>
  <c r="B4022" i="13"/>
  <c r="B4023" i="13"/>
  <c r="B4024" i="13"/>
  <c r="B4025" i="13"/>
  <c r="B4026" i="13"/>
  <c r="B4027" i="13"/>
  <c r="B4028" i="13"/>
  <c r="B4029" i="13"/>
  <c r="B4030" i="13"/>
  <c r="B4031" i="13"/>
  <c r="B4032" i="13"/>
  <c r="B4033" i="13"/>
  <c r="B4034" i="13"/>
  <c r="B4035" i="13"/>
  <c r="B4036" i="13"/>
  <c r="B4037" i="13"/>
  <c r="B4038" i="13"/>
  <c r="B4039" i="13"/>
  <c r="B4040" i="13"/>
  <c r="B4041" i="13"/>
  <c r="B4042" i="13"/>
  <c r="B4043" i="13"/>
  <c r="B4044" i="13"/>
  <c r="B4045" i="13"/>
  <c r="B4046" i="13"/>
  <c r="B4047" i="13"/>
  <c r="B4048" i="13"/>
  <c r="B4049" i="13"/>
  <c r="B4050" i="13"/>
  <c r="B4051" i="13"/>
  <c r="B4052" i="13"/>
  <c r="B4053" i="13"/>
  <c r="B4054" i="13"/>
  <c r="B4055" i="13"/>
  <c r="B4056" i="13"/>
  <c r="B4057" i="13"/>
  <c r="B4058" i="13"/>
  <c r="B4059" i="13"/>
  <c r="B4060" i="13"/>
  <c r="B4061" i="13"/>
  <c r="B4062" i="13"/>
  <c r="B4063" i="13"/>
  <c r="B4064" i="13"/>
  <c r="B4065" i="13"/>
  <c r="B4066" i="13"/>
  <c r="B4067" i="13"/>
  <c r="B4068" i="13"/>
  <c r="B4069" i="13"/>
  <c r="B4070" i="13"/>
  <c r="B4071" i="13"/>
  <c r="B4072" i="13"/>
  <c r="B4073" i="13"/>
  <c r="B4074" i="13"/>
  <c r="B4075" i="13"/>
  <c r="B4076" i="13"/>
  <c r="B4077" i="13"/>
  <c r="B4078" i="13"/>
  <c r="B4079" i="13"/>
  <c r="B4080" i="13"/>
  <c r="B4081" i="13"/>
  <c r="B4082" i="13"/>
  <c r="B4083" i="13"/>
  <c r="B4084" i="13"/>
  <c r="B4085" i="13"/>
  <c r="B4086" i="13"/>
  <c r="B4087" i="13"/>
  <c r="B4088" i="13"/>
  <c r="B4089" i="13"/>
  <c r="B4090" i="13"/>
  <c r="B4091" i="13"/>
  <c r="B4092" i="13"/>
  <c r="B4093" i="13"/>
  <c r="B4094" i="13"/>
  <c r="B4095" i="13"/>
  <c r="B4096" i="13"/>
  <c r="B4097" i="13"/>
  <c r="B4098" i="13"/>
  <c r="B4099" i="13"/>
  <c r="B4100" i="13"/>
  <c r="B4101" i="13"/>
  <c r="B4102" i="13"/>
  <c r="B4103" i="13"/>
  <c r="B4104" i="13"/>
  <c r="B4105" i="13"/>
  <c r="B4106" i="13"/>
  <c r="B4107" i="13"/>
  <c r="B4108" i="13"/>
  <c r="B4109" i="13"/>
  <c r="B4110" i="13"/>
  <c r="B4111" i="13"/>
  <c r="B4112" i="13"/>
  <c r="B4113" i="13"/>
  <c r="B4114" i="13"/>
  <c r="B4115" i="13"/>
  <c r="B4116" i="13"/>
  <c r="B4117" i="13"/>
  <c r="B4118" i="13"/>
  <c r="B4119" i="13"/>
  <c r="B4120" i="13"/>
  <c r="B4121" i="13"/>
  <c r="B4122" i="13"/>
  <c r="B4123" i="13"/>
  <c r="B4124" i="13"/>
  <c r="B4125" i="13"/>
  <c r="B4126" i="13"/>
  <c r="B4127" i="13"/>
  <c r="B4128" i="13"/>
  <c r="B4129" i="13"/>
  <c r="B4130" i="13"/>
  <c r="B4131" i="13"/>
  <c r="B4132" i="13"/>
  <c r="B4133" i="13"/>
  <c r="B4134" i="13"/>
  <c r="B4135" i="13"/>
  <c r="B4136" i="13"/>
  <c r="B4137" i="13"/>
  <c r="B4138" i="13"/>
  <c r="B4139" i="13"/>
  <c r="B4140" i="13"/>
  <c r="B4141" i="13"/>
  <c r="B4142" i="13"/>
  <c r="B4143" i="13"/>
  <c r="B4144" i="13"/>
  <c r="B4145" i="13"/>
  <c r="B4146" i="13"/>
  <c r="B4147" i="13"/>
  <c r="B4148" i="13"/>
  <c r="B4149" i="13"/>
  <c r="B4150" i="13"/>
  <c r="B4151" i="13"/>
  <c r="B4152" i="13"/>
  <c r="B4153" i="13"/>
  <c r="B4154" i="13"/>
  <c r="B4155" i="13"/>
  <c r="B4156" i="13"/>
  <c r="B4157" i="13"/>
  <c r="B4158" i="13"/>
  <c r="B4159" i="13"/>
  <c r="B4160" i="13"/>
  <c r="B4161" i="13"/>
  <c r="B4162" i="13"/>
  <c r="B4163" i="13"/>
  <c r="B4164" i="13"/>
  <c r="B4165" i="13"/>
  <c r="B4166" i="13"/>
  <c r="B4167" i="13"/>
  <c r="B4168" i="13"/>
  <c r="B4169" i="13"/>
  <c r="B4170" i="13"/>
  <c r="B4171" i="13"/>
  <c r="B4172" i="13"/>
  <c r="B4173" i="13"/>
  <c r="B4174" i="13"/>
  <c r="B4175" i="13"/>
  <c r="B4176" i="13"/>
  <c r="B4177" i="13"/>
  <c r="B4178" i="13"/>
  <c r="B4179" i="13"/>
  <c r="B4180" i="13"/>
  <c r="B4181" i="13"/>
  <c r="B4182" i="13"/>
  <c r="B4183" i="13"/>
  <c r="B4184" i="13"/>
  <c r="B4185" i="13"/>
  <c r="B4186" i="13"/>
  <c r="B4187" i="13"/>
  <c r="B4188" i="13"/>
  <c r="B4189" i="13"/>
  <c r="B4190" i="13"/>
  <c r="B4191" i="13"/>
  <c r="B4192" i="13"/>
  <c r="B4193" i="13"/>
  <c r="B4194" i="13"/>
  <c r="B4195" i="13"/>
  <c r="B4196" i="13"/>
  <c r="B4197" i="13"/>
  <c r="B4198" i="13"/>
  <c r="B4199" i="13"/>
  <c r="B4200" i="13"/>
  <c r="B4201" i="13"/>
  <c r="B4202" i="13"/>
  <c r="B4203" i="13"/>
  <c r="B4204" i="13"/>
  <c r="B4205" i="13"/>
  <c r="B4206" i="13"/>
  <c r="B4207" i="13"/>
  <c r="B4208" i="13"/>
  <c r="B4209" i="13"/>
  <c r="B4210" i="13"/>
  <c r="B4211" i="13"/>
  <c r="B4212" i="13"/>
  <c r="B4213" i="13"/>
  <c r="B4214" i="13"/>
  <c r="B4215" i="13"/>
  <c r="B4216" i="13"/>
  <c r="B4217" i="13"/>
  <c r="B4218" i="13"/>
  <c r="B4219" i="13"/>
  <c r="B4220" i="13"/>
  <c r="B4221" i="13"/>
  <c r="B4222" i="13"/>
  <c r="B4223" i="13"/>
  <c r="B4224" i="13"/>
  <c r="B4225" i="13"/>
  <c r="B4226" i="13"/>
  <c r="B4227" i="13"/>
  <c r="B4228" i="13"/>
  <c r="B4229" i="13"/>
  <c r="B4230" i="13"/>
  <c r="B4231" i="13"/>
  <c r="B4232" i="13"/>
  <c r="B4233" i="13"/>
  <c r="B4234" i="13"/>
  <c r="B4235" i="13"/>
  <c r="B4236" i="13"/>
  <c r="B4237" i="13"/>
  <c r="B4238" i="13"/>
  <c r="B4239" i="13"/>
  <c r="B4240" i="13"/>
  <c r="B4241" i="13"/>
  <c r="B4242" i="13"/>
  <c r="B4243" i="13"/>
  <c r="B4244" i="13"/>
  <c r="B4245" i="13"/>
  <c r="B4246" i="13"/>
  <c r="B4247" i="13"/>
  <c r="B4248" i="13"/>
  <c r="B4249" i="13"/>
  <c r="B4250" i="13"/>
  <c r="B4251" i="13"/>
  <c r="B4252" i="13"/>
  <c r="B4253" i="13"/>
  <c r="B4254" i="13"/>
  <c r="B4255" i="13"/>
  <c r="B4256" i="13"/>
  <c r="B4257" i="13"/>
  <c r="B4258" i="13"/>
  <c r="B4259" i="13"/>
  <c r="B4260" i="13"/>
  <c r="B4261" i="13"/>
  <c r="B4262" i="13"/>
  <c r="B4263" i="13"/>
  <c r="B4264" i="13"/>
  <c r="B4265" i="13"/>
  <c r="B4266" i="13"/>
  <c r="B4267" i="13"/>
  <c r="B4268" i="13"/>
  <c r="B4269" i="13"/>
  <c r="B4270" i="13"/>
  <c r="B4271" i="13"/>
  <c r="B4272" i="13"/>
  <c r="B4273" i="13"/>
  <c r="B4274" i="13"/>
  <c r="B4275" i="13"/>
  <c r="B4276" i="13"/>
  <c r="B4277" i="13"/>
  <c r="B4278" i="13"/>
  <c r="B4279" i="13"/>
  <c r="B4280" i="13"/>
  <c r="B4281" i="13"/>
  <c r="B4282" i="13"/>
  <c r="B4283" i="13"/>
  <c r="B4284" i="13"/>
  <c r="B4285" i="13"/>
  <c r="B4286" i="13"/>
  <c r="B4287" i="13"/>
  <c r="B4288" i="13"/>
  <c r="B4289" i="13"/>
  <c r="B4290" i="13"/>
  <c r="B4291" i="13"/>
  <c r="B4292" i="13"/>
  <c r="B4293" i="13"/>
  <c r="B4294" i="13"/>
  <c r="B4295" i="13"/>
  <c r="B4296" i="13"/>
  <c r="B4297" i="13"/>
  <c r="B4298" i="13"/>
  <c r="B4299" i="13"/>
  <c r="B4300" i="13"/>
  <c r="B4301" i="13"/>
  <c r="B4302" i="13"/>
  <c r="B4303" i="13"/>
  <c r="B4304" i="13"/>
  <c r="B4305" i="13"/>
  <c r="B4306" i="13"/>
  <c r="B4307" i="13"/>
  <c r="B4308" i="13"/>
  <c r="B4309" i="13"/>
  <c r="B4310" i="13"/>
  <c r="B4311" i="13"/>
  <c r="B4312" i="13"/>
  <c r="B4313" i="13"/>
  <c r="B4314" i="13"/>
  <c r="B4315" i="13"/>
  <c r="B4316" i="13"/>
  <c r="B4317" i="13"/>
  <c r="B4318" i="13"/>
  <c r="B4319" i="13"/>
  <c r="B4320" i="13"/>
  <c r="B4321" i="13"/>
  <c r="B4322" i="13"/>
  <c r="B4323" i="13"/>
  <c r="B4324" i="13"/>
  <c r="B4325" i="13"/>
  <c r="B4326" i="13"/>
  <c r="B4327" i="13"/>
  <c r="B4328" i="13"/>
  <c r="B4329" i="13"/>
  <c r="B4330" i="13"/>
  <c r="B4331" i="13"/>
  <c r="B4332" i="13"/>
  <c r="B4333" i="13"/>
  <c r="B4334" i="13"/>
  <c r="B4335" i="13"/>
  <c r="B4336" i="13"/>
  <c r="B4337" i="13"/>
  <c r="B4338" i="13"/>
  <c r="B4339" i="13"/>
  <c r="B4340" i="13"/>
  <c r="B4341" i="13"/>
  <c r="B4342" i="13"/>
  <c r="B4343" i="13"/>
  <c r="B4344" i="13"/>
  <c r="B4345" i="13"/>
  <c r="B4346" i="13"/>
  <c r="B4347" i="13"/>
  <c r="B4348" i="13"/>
  <c r="B4349" i="13"/>
  <c r="B4350" i="13"/>
  <c r="B4351" i="13"/>
  <c r="B4352" i="13"/>
  <c r="B4353" i="13"/>
  <c r="B4354" i="13"/>
  <c r="B4355" i="13"/>
  <c r="B4356" i="13"/>
  <c r="B4357" i="13"/>
  <c r="B4358" i="13"/>
  <c r="B4359" i="13"/>
  <c r="B4360" i="13"/>
  <c r="B4361" i="13"/>
  <c r="B4362" i="13"/>
  <c r="B4363" i="13"/>
  <c r="B4364" i="13"/>
  <c r="B4365" i="13"/>
  <c r="B4366" i="13"/>
  <c r="B4367" i="13"/>
  <c r="B4368" i="13"/>
  <c r="B4369" i="13"/>
  <c r="B4370" i="13"/>
  <c r="B4371" i="13"/>
  <c r="B4372" i="13"/>
  <c r="B4373" i="13"/>
  <c r="B4374" i="13"/>
  <c r="B4375" i="13"/>
  <c r="B4376" i="13"/>
  <c r="B4377" i="13"/>
  <c r="B4378" i="13"/>
  <c r="B4379" i="13"/>
  <c r="B4380" i="13"/>
  <c r="B4381" i="13"/>
  <c r="B4382" i="13"/>
  <c r="B4383" i="13"/>
  <c r="B4384" i="13"/>
  <c r="B4385" i="13"/>
  <c r="B4386" i="13"/>
  <c r="B4387" i="13"/>
  <c r="B4388" i="13"/>
  <c r="B4389" i="13"/>
  <c r="B4390" i="13"/>
  <c r="B4391" i="13"/>
  <c r="B4392" i="13"/>
  <c r="B4393" i="13"/>
  <c r="B4394" i="13"/>
  <c r="B4395" i="13"/>
  <c r="B4396" i="13"/>
  <c r="B4397" i="13"/>
  <c r="B4398" i="13"/>
  <c r="B4399" i="13"/>
  <c r="B4400" i="13"/>
  <c r="B4401" i="13"/>
  <c r="B4402" i="13"/>
  <c r="B4403" i="13"/>
  <c r="B4404" i="13"/>
  <c r="B4405" i="13"/>
  <c r="B4406" i="13"/>
  <c r="B4407" i="13"/>
  <c r="B4408" i="13"/>
  <c r="B4409" i="13"/>
  <c r="B4410" i="13"/>
  <c r="B4411" i="13"/>
  <c r="B4412" i="13"/>
  <c r="B4413" i="13"/>
  <c r="B4414" i="13"/>
  <c r="B4415" i="13"/>
  <c r="B4416" i="13"/>
  <c r="B4417" i="13"/>
  <c r="B4418" i="13"/>
  <c r="B4419" i="13"/>
  <c r="B4420" i="13"/>
  <c r="B4421" i="13"/>
  <c r="B4422" i="13"/>
  <c r="B4423" i="13"/>
  <c r="B4424" i="13"/>
  <c r="B4425" i="13"/>
  <c r="B4426" i="13"/>
  <c r="B4427" i="13"/>
  <c r="B4428" i="13"/>
  <c r="B4429" i="13"/>
  <c r="B4430" i="13"/>
  <c r="B4431" i="13"/>
  <c r="B4432" i="13"/>
  <c r="B4433" i="13"/>
  <c r="B4434" i="13"/>
  <c r="B4435" i="13"/>
  <c r="B4436" i="13"/>
  <c r="B4437" i="13"/>
  <c r="B4438" i="13"/>
  <c r="B4439" i="13"/>
  <c r="B4440" i="13"/>
  <c r="B4441" i="13"/>
  <c r="B4442" i="13"/>
  <c r="B4443" i="13"/>
  <c r="B4444" i="13"/>
  <c r="B4445" i="13"/>
  <c r="B4446" i="13"/>
  <c r="B4447" i="13"/>
  <c r="B4448" i="13"/>
  <c r="B4449" i="13"/>
  <c r="B4450" i="13"/>
  <c r="B4451" i="13"/>
  <c r="B4452" i="13"/>
  <c r="B4453" i="13"/>
  <c r="B4454" i="13"/>
  <c r="B4455" i="13"/>
  <c r="B4456" i="13"/>
  <c r="B4457" i="13"/>
  <c r="B4458" i="13"/>
  <c r="B4459" i="13"/>
  <c r="B4460" i="13"/>
  <c r="B4461" i="13"/>
  <c r="B4462" i="13"/>
  <c r="B4463" i="13"/>
  <c r="B4464" i="13"/>
  <c r="B4465" i="13"/>
  <c r="B4466" i="13"/>
  <c r="B4467" i="13"/>
  <c r="B4468" i="13"/>
  <c r="B4469" i="13"/>
  <c r="B4470" i="13"/>
  <c r="B4471" i="13"/>
  <c r="B4472" i="13"/>
  <c r="B4473" i="13"/>
  <c r="B4474" i="13"/>
  <c r="B4475" i="13"/>
  <c r="B4476" i="13"/>
  <c r="B4477" i="13"/>
  <c r="B4478" i="13"/>
  <c r="B4479" i="13"/>
  <c r="B4480" i="13"/>
  <c r="B4481" i="13"/>
  <c r="B4482" i="13"/>
  <c r="B4483" i="13"/>
  <c r="B4484" i="13"/>
  <c r="B4485" i="13"/>
  <c r="B4486" i="13"/>
  <c r="B4487" i="13"/>
  <c r="B4488" i="13"/>
  <c r="B4489" i="13"/>
  <c r="B4490" i="13"/>
  <c r="B4491" i="13"/>
  <c r="B4492" i="13"/>
  <c r="B4493" i="13"/>
  <c r="B4494" i="13"/>
  <c r="B4495" i="13"/>
  <c r="B4496" i="13"/>
  <c r="B4497" i="13"/>
  <c r="B4498" i="13"/>
  <c r="B4499" i="13"/>
  <c r="B4500" i="13"/>
  <c r="B4501" i="13"/>
  <c r="B4502" i="13"/>
  <c r="B4503" i="13"/>
  <c r="B4504" i="13"/>
  <c r="B4505" i="13"/>
  <c r="B4506" i="13"/>
  <c r="B4507" i="13"/>
  <c r="B4508" i="13"/>
  <c r="B4509" i="13"/>
  <c r="B4510" i="13"/>
  <c r="B4511" i="13"/>
  <c r="B4512" i="13"/>
  <c r="B4513" i="13"/>
  <c r="B4514" i="13"/>
  <c r="B4515" i="13"/>
  <c r="B4516" i="13"/>
  <c r="B4517" i="13"/>
  <c r="B4518" i="13"/>
  <c r="B4519" i="13"/>
  <c r="B4520" i="13"/>
  <c r="B4521" i="13"/>
  <c r="B4522" i="13"/>
  <c r="B4523" i="13"/>
  <c r="B4524" i="13"/>
  <c r="B4525" i="13"/>
  <c r="B4526" i="13"/>
  <c r="B4527" i="13"/>
  <c r="B4528" i="13"/>
  <c r="B4529" i="13"/>
  <c r="B4530" i="13"/>
  <c r="B4531" i="13"/>
  <c r="B4532" i="13"/>
  <c r="B4533" i="13"/>
  <c r="B4534" i="13"/>
  <c r="B4535" i="13"/>
  <c r="B4536" i="13"/>
  <c r="B4537" i="13"/>
  <c r="B4538" i="13"/>
  <c r="B4539" i="13"/>
  <c r="B4540" i="13"/>
  <c r="B4541" i="13"/>
  <c r="B4542" i="13"/>
  <c r="B4543" i="13"/>
  <c r="B4544" i="13"/>
  <c r="B4545" i="13"/>
  <c r="B4546" i="13"/>
  <c r="B4547" i="13"/>
  <c r="B4548" i="13"/>
  <c r="B4549" i="13"/>
  <c r="B4550" i="13"/>
  <c r="B4551" i="13"/>
  <c r="B4552" i="13"/>
  <c r="B4553" i="13"/>
  <c r="B4554" i="13"/>
  <c r="B4555" i="13"/>
  <c r="B4556" i="13"/>
  <c r="B4557" i="13"/>
  <c r="B4558" i="13"/>
  <c r="B4559" i="13"/>
  <c r="B4560" i="13"/>
  <c r="B4561" i="13"/>
  <c r="B4562" i="13"/>
  <c r="B4563" i="13"/>
  <c r="B4564" i="13"/>
  <c r="B4565" i="13"/>
  <c r="B4566" i="13"/>
  <c r="B4567" i="13"/>
  <c r="B4568" i="13"/>
  <c r="B4569" i="13"/>
  <c r="B4570" i="13"/>
  <c r="B4571" i="13"/>
  <c r="B4572" i="13"/>
  <c r="B4573" i="13"/>
  <c r="B4574" i="13"/>
  <c r="B4575" i="13"/>
  <c r="B4576" i="13"/>
  <c r="B4577" i="13"/>
  <c r="B4578" i="13"/>
  <c r="B4579" i="13"/>
  <c r="B4580" i="13"/>
  <c r="B4581" i="13"/>
  <c r="B4582" i="13"/>
  <c r="B4583" i="13"/>
  <c r="B4584" i="13"/>
  <c r="B4585" i="13"/>
  <c r="B4586" i="13"/>
  <c r="B4587" i="13"/>
  <c r="B4588" i="13"/>
  <c r="B4589" i="13"/>
  <c r="B4590" i="13"/>
  <c r="B4591" i="13"/>
  <c r="B4592" i="13"/>
  <c r="B4593" i="13"/>
  <c r="B4594" i="13"/>
  <c r="B4595" i="13"/>
  <c r="B4596" i="13"/>
  <c r="B4597" i="13"/>
  <c r="B4598" i="13"/>
  <c r="B4599" i="13"/>
  <c r="B4600" i="13"/>
  <c r="B4601" i="13"/>
  <c r="B4602" i="13"/>
  <c r="B4603" i="13"/>
  <c r="B4604" i="13"/>
  <c r="B4605" i="13"/>
  <c r="B4606" i="13"/>
  <c r="B4607" i="13"/>
  <c r="B4608" i="13"/>
  <c r="B4609" i="13"/>
  <c r="B4610" i="13"/>
  <c r="B4611" i="13"/>
  <c r="B4612" i="13"/>
  <c r="B4613" i="13"/>
  <c r="B4614" i="13"/>
  <c r="B4615" i="13"/>
  <c r="B4616" i="13"/>
  <c r="B4617" i="13"/>
  <c r="B4618" i="13"/>
  <c r="B4619" i="13"/>
  <c r="B4620" i="13"/>
  <c r="B4621" i="13"/>
  <c r="B4622" i="13"/>
  <c r="B4623" i="13"/>
  <c r="B4624" i="13"/>
  <c r="B4625" i="13"/>
  <c r="B4626" i="13"/>
  <c r="B4627" i="13"/>
  <c r="B4628" i="13"/>
  <c r="B4629" i="13"/>
  <c r="B4630" i="13"/>
  <c r="B4631" i="13"/>
  <c r="B4632" i="13"/>
  <c r="B4633" i="13"/>
  <c r="B4634" i="13"/>
  <c r="B4635" i="13"/>
  <c r="B4636" i="13"/>
  <c r="B4637" i="13"/>
  <c r="B4638" i="13"/>
  <c r="B4639" i="13"/>
  <c r="B4640" i="13"/>
  <c r="B4641" i="13"/>
  <c r="B4642" i="13"/>
  <c r="B4643" i="13"/>
  <c r="B4644" i="13"/>
  <c r="B4645" i="13"/>
  <c r="B4646" i="13"/>
  <c r="B4647" i="13"/>
  <c r="B4648" i="13"/>
  <c r="B4649" i="13"/>
  <c r="B4650" i="13"/>
  <c r="B4651" i="13"/>
  <c r="B4652" i="13"/>
  <c r="B4653" i="13"/>
  <c r="B4654" i="13"/>
  <c r="B4655" i="13"/>
  <c r="B4656" i="13"/>
  <c r="B4657" i="13"/>
  <c r="B4658" i="13"/>
  <c r="B4659" i="13"/>
  <c r="B4660" i="13"/>
  <c r="B4661" i="13"/>
  <c r="B4662" i="13"/>
  <c r="B4663" i="13"/>
  <c r="B4664" i="13"/>
  <c r="B4665" i="13"/>
  <c r="B4666" i="13"/>
  <c r="B4667" i="13"/>
  <c r="B4668" i="13"/>
  <c r="B4669" i="13"/>
  <c r="B4670" i="13"/>
  <c r="B4671" i="13"/>
  <c r="B4672" i="13"/>
  <c r="B4673" i="13"/>
  <c r="B4674" i="13"/>
  <c r="B4675" i="13"/>
  <c r="B4676" i="13"/>
  <c r="B4677" i="13"/>
  <c r="B4678" i="13"/>
  <c r="B4679" i="13"/>
  <c r="B4680" i="13"/>
  <c r="B4681" i="13"/>
  <c r="B4682" i="13"/>
  <c r="B4683" i="13"/>
  <c r="B4684" i="13"/>
  <c r="B4685" i="13"/>
  <c r="B4686" i="13"/>
  <c r="B4687" i="13"/>
  <c r="B4688" i="13"/>
  <c r="B4689" i="13"/>
  <c r="B4690" i="13"/>
  <c r="B4691" i="13"/>
  <c r="B4692" i="13"/>
  <c r="B4693" i="13"/>
  <c r="B4694" i="13"/>
  <c r="B4695" i="13"/>
  <c r="B4696" i="13"/>
  <c r="B4697" i="13"/>
  <c r="B4698" i="13"/>
  <c r="B4699" i="13"/>
  <c r="B4700" i="13"/>
  <c r="B4701" i="13"/>
  <c r="B4702" i="13"/>
  <c r="B4703" i="13"/>
  <c r="B4704" i="13"/>
  <c r="B4705" i="13"/>
  <c r="B4706" i="13"/>
  <c r="B4707" i="13"/>
  <c r="B4708" i="13"/>
  <c r="B4709" i="13"/>
  <c r="B4710" i="13"/>
  <c r="B4711" i="13"/>
  <c r="B4712" i="13"/>
  <c r="B4713" i="13"/>
  <c r="B4714" i="13"/>
  <c r="B4715" i="13"/>
  <c r="B4716" i="13"/>
  <c r="B4717" i="13"/>
  <c r="B4718" i="13"/>
  <c r="B4719" i="13"/>
  <c r="B4720" i="13"/>
  <c r="B4721" i="13"/>
  <c r="B4722" i="13"/>
  <c r="B4723" i="13"/>
  <c r="B4724" i="13"/>
  <c r="B4725" i="13"/>
  <c r="B4726" i="13"/>
  <c r="B4727" i="13"/>
  <c r="B4728" i="13"/>
  <c r="B4729" i="13"/>
  <c r="B4730" i="13"/>
  <c r="B4731" i="13"/>
  <c r="B4732" i="13"/>
  <c r="B4733" i="13"/>
  <c r="B4734" i="13"/>
  <c r="B4735" i="13"/>
  <c r="B4736" i="13"/>
  <c r="B4737" i="13"/>
  <c r="B4738" i="13"/>
  <c r="B4739" i="13"/>
  <c r="B4740" i="13"/>
  <c r="B4741" i="13"/>
  <c r="B4742" i="13"/>
  <c r="B4743" i="13"/>
  <c r="B4744" i="13"/>
  <c r="B4745" i="13"/>
  <c r="B4746" i="13"/>
  <c r="B4747" i="13"/>
  <c r="B4748" i="13"/>
  <c r="B4749" i="13"/>
  <c r="B4750" i="13"/>
  <c r="B4751" i="13"/>
  <c r="B4752" i="13"/>
  <c r="B4753" i="13"/>
  <c r="B4754" i="13"/>
  <c r="B4755" i="13"/>
  <c r="B4756" i="13"/>
  <c r="B4757" i="13"/>
  <c r="B4758" i="13"/>
  <c r="B4759" i="13"/>
  <c r="B4760" i="13"/>
  <c r="B4761" i="13"/>
  <c r="B4762" i="13"/>
  <c r="B4763" i="13"/>
  <c r="B4764" i="13"/>
  <c r="B4765" i="13"/>
  <c r="B4766" i="13"/>
  <c r="B4767" i="13"/>
  <c r="B4768" i="13"/>
  <c r="B4769" i="13"/>
  <c r="B4770" i="13"/>
  <c r="B4771" i="13"/>
  <c r="B4772" i="13"/>
  <c r="B4773" i="13"/>
  <c r="B4774" i="13"/>
  <c r="B4775" i="13"/>
  <c r="B4776" i="13"/>
  <c r="B4777" i="13"/>
  <c r="B4778" i="13"/>
  <c r="B4779" i="13"/>
  <c r="B4780" i="13"/>
  <c r="B4781" i="13"/>
  <c r="B4782" i="13"/>
  <c r="B4783" i="13"/>
  <c r="B4784" i="13"/>
  <c r="B4785" i="13"/>
  <c r="B4786" i="13"/>
  <c r="B4787" i="13"/>
  <c r="B4788" i="13"/>
  <c r="B4789" i="13"/>
  <c r="B4790" i="13"/>
  <c r="B4791" i="13"/>
  <c r="B4792" i="13"/>
  <c r="B4793" i="13"/>
  <c r="B4794" i="13"/>
  <c r="B4795" i="13"/>
  <c r="B4796" i="13"/>
  <c r="B4797" i="13"/>
  <c r="B4798" i="13"/>
  <c r="B4799" i="13"/>
  <c r="B4800" i="13"/>
  <c r="B4801" i="13"/>
  <c r="B4802" i="13"/>
  <c r="B4803" i="13"/>
  <c r="B4804" i="13"/>
  <c r="B4805" i="13"/>
  <c r="B4806" i="13"/>
  <c r="B4807" i="13"/>
  <c r="B4808" i="13"/>
  <c r="B4809" i="13"/>
  <c r="B4810" i="13"/>
  <c r="B4811" i="13"/>
  <c r="B4812" i="13"/>
  <c r="B4813" i="13"/>
  <c r="B4814" i="13"/>
  <c r="B4815" i="13"/>
  <c r="B4816" i="13"/>
  <c r="B4817" i="13"/>
  <c r="B4818" i="13"/>
  <c r="B4819" i="13"/>
  <c r="B4820" i="13"/>
  <c r="B4821" i="13"/>
  <c r="B4822" i="13"/>
  <c r="B4823" i="13"/>
  <c r="B4824" i="13"/>
  <c r="B4825" i="13"/>
  <c r="B4826" i="13"/>
  <c r="B4827" i="13"/>
  <c r="B4828" i="13"/>
  <c r="B4829" i="13"/>
  <c r="B4830" i="13"/>
  <c r="B4831" i="13"/>
  <c r="B4832" i="13"/>
  <c r="B4833" i="13"/>
  <c r="B4834" i="13"/>
  <c r="B4835" i="13"/>
  <c r="B4836" i="13"/>
  <c r="B4837" i="13"/>
  <c r="B4838" i="13"/>
  <c r="B4839" i="13"/>
  <c r="B4840" i="13"/>
  <c r="B4841" i="13"/>
  <c r="B4842" i="13"/>
  <c r="B4843" i="13"/>
  <c r="B4844" i="13"/>
  <c r="B4845" i="13"/>
  <c r="B4846" i="13"/>
  <c r="B4847" i="13"/>
  <c r="B4848" i="13"/>
  <c r="B4849" i="13"/>
  <c r="B4850" i="13"/>
  <c r="B4851" i="13"/>
  <c r="B4852" i="13"/>
  <c r="B4853" i="13"/>
  <c r="B4854" i="13"/>
  <c r="B4855" i="13"/>
  <c r="B4856" i="13"/>
  <c r="B4857" i="13"/>
  <c r="B4858" i="13"/>
  <c r="B4859" i="13"/>
  <c r="B4860" i="13"/>
  <c r="B4861" i="13"/>
  <c r="B4862" i="13"/>
  <c r="B4863" i="13"/>
  <c r="B4864" i="13"/>
  <c r="B4865" i="13"/>
  <c r="B4866" i="13"/>
  <c r="B4867" i="13"/>
  <c r="B4868" i="13"/>
  <c r="B4869" i="13"/>
  <c r="B4870" i="13"/>
  <c r="B4871" i="13"/>
  <c r="B4872" i="13"/>
  <c r="B4873" i="13"/>
  <c r="B4874" i="13"/>
  <c r="B4875" i="13"/>
  <c r="B4876" i="13"/>
  <c r="B4877" i="13"/>
  <c r="B4878" i="13"/>
  <c r="B4879" i="13"/>
  <c r="B4880" i="13"/>
  <c r="B4881" i="13"/>
  <c r="B4882" i="13"/>
  <c r="B4883" i="13"/>
  <c r="B4884" i="13"/>
  <c r="B4885" i="13"/>
  <c r="B4886" i="13"/>
  <c r="B4887" i="13"/>
  <c r="B4888" i="13"/>
  <c r="B4889" i="13"/>
  <c r="B4890" i="13"/>
  <c r="B4891" i="13"/>
  <c r="B4892" i="13"/>
  <c r="B4893" i="13"/>
  <c r="B4894" i="13"/>
  <c r="B4895" i="13"/>
  <c r="B4896" i="13"/>
  <c r="B4897" i="13"/>
  <c r="B4898" i="13"/>
  <c r="B4899" i="13"/>
  <c r="B4900" i="13"/>
  <c r="B4901" i="13"/>
  <c r="B4902" i="13"/>
  <c r="B4903" i="13"/>
  <c r="B4904" i="13"/>
  <c r="B4905" i="13"/>
  <c r="B4906" i="13"/>
  <c r="B4907" i="13"/>
  <c r="B4908" i="13"/>
  <c r="B4909" i="13"/>
  <c r="B4910" i="13"/>
  <c r="B4911" i="13"/>
  <c r="B4912" i="13"/>
  <c r="B4913" i="13"/>
  <c r="B4914" i="13"/>
  <c r="B4915" i="13"/>
  <c r="B4916" i="13"/>
  <c r="B4917" i="13"/>
  <c r="B4918" i="13"/>
  <c r="B4919" i="13"/>
  <c r="B4920" i="13"/>
  <c r="B4921" i="13"/>
  <c r="B4922" i="13"/>
  <c r="B4923" i="13"/>
  <c r="B4924" i="13"/>
  <c r="B4925" i="13"/>
  <c r="B4926" i="13"/>
  <c r="B4927" i="13"/>
  <c r="B4928" i="13"/>
  <c r="B4929" i="13"/>
  <c r="B4930" i="13"/>
  <c r="B4931" i="13"/>
  <c r="B4932" i="13"/>
  <c r="B4933" i="13"/>
  <c r="B4934" i="13"/>
  <c r="B4935" i="13"/>
  <c r="B4936" i="13"/>
  <c r="B4937" i="13"/>
  <c r="B4938" i="13"/>
  <c r="B4939" i="13"/>
  <c r="B4940" i="13"/>
  <c r="B4941" i="13"/>
  <c r="B4942" i="13"/>
  <c r="B4943" i="13"/>
  <c r="B4944" i="13"/>
  <c r="B4945" i="13"/>
  <c r="B4946" i="13"/>
  <c r="B4947" i="13"/>
  <c r="B4948" i="13"/>
  <c r="B4949" i="13"/>
  <c r="B4950" i="13"/>
  <c r="B4951" i="13"/>
  <c r="B4952" i="13"/>
  <c r="B4953" i="13"/>
  <c r="B4954" i="13"/>
  <c r="B4955" i="13"/>
  <c r="B4956" i="13"/>
  <c r="B4957" i="13"/>
  <c r="B4958" i="13"/>
  <c r="B4959" i="13"/>
  <c r="B4960" i="13"/>
  <c r="B4961" i="13"/>
  <c r="B4962" i="13"/>
  <c r="B4963" i="13"/>
  <c r="B4964" i="13"/>
  <c r="B4965" i="13"/>
  <c r="B4966" i="13"/>
  <c r="B4967" i="13"/>
  <c r="B4968" i="13"/>
  <c r="B4969" i="13"/>
  <c r="B4970" i="13"/>
  <c r="B4971" i="13"/>
  <c r="B4972" i="13"/>
  <c r="B4973" i="13"/>
  <c r="B4974" i="13"/>
  <c r="B4975" i="13"/>
  <c r="B4976" i="13"/>
  <c r="B4977" i="13"/>
  <c r="B4978" i="13"/>
  <c r="B4979" i="13"/>
  <c r="B4980" i="13"/>
  <c r="B4981" i="13"/>
  <c r="B4982" i="13"/>
  <c r="B4983" i="13"/>
  <c r="B4984" i="13"/>
  <c r="B4985" i="13"/>
  <c r="B4986" i="13"/>
  <c r="B4987" i="13"/>
  <c r="B4988" i="13"/>
  <c r="B4989" i="13"/>
  <c r="B4990" i="13"/>
  <c r="B4991" i="13"/>
  <c r="B4992" i="13"/>
  <c r="B4993" i="13"/>
  <c r="B4994" i="13"/>
  <c r="B4995" i="13"/>
  <c r="B4996" i="13"/>
  <c r="B4997" i="13"/>
  <c r="B4998" i="13"/>
  <c r="B4999" i="13"/>
  <c r="B5000" i="13"/>
  <c r="B5001" i="13"/>
  <c r="B5002" i="13"/>
  <c r="B5003" i="13"/>
  <c r="B5004" i="13"/>
  <c r="B5005" i="13"/>
  <c r="B5006" i="13"/>
  <c r="B5007" i="13"/>
  <c r="B5008" i="13"/>
  <c r="B5009" i="13"/>
  <c r="B5010" i="13"/>
  <c r="B5011" i="13"/>
  <c r="B5012" i="13"/>
  <c r="B5013" i="13"/>
  <c r="B5014" i="13"/>
  <c r="B5015" i="13"/>
  <c r="B5016" i="13"/>
  <c r="B5017" i="13"/>
  <c r="B5018" i="13"/>
  <c r="B5019" i="13"/>
  <c r="B5020" i="13"/>
  <c r="B5021" i="13"/>
  <c r="B5022" i="13"/>
  <c r="B5023" i="13"/>
  <c r="B5024" i="13"/>
  <c r="B5025" i="13"/>
  <c r="B5026" i="13"/>
  <c r="B5027" i="13"/>
  <c r="B5028" i="13"/>
  <c r="B5029" i="13"/>
  <c r="B5030" i="13"/>
  <c r="B5031" i="13"/>
  <c r="B5032" i="13"/>
  <c r="B5033" i="13"/>
  <c r="B5034" i="13"/>
  <c r="B5035" i="13"/>
  <c r="B5036" i="13"/>
  <c r="B5037" i="13"/>
  <c r="B5038" i="13"/>
  <c r="B5039" i="13"/>
  <c r="B5040" i="13"/>
  <c r="B5041" i="13"/>
  <c r="B5042" i="13"/>
  <c r="B5043" i="13"/>
  <c r="B5044" i="13"/>
  <c r="B5045" i="13"/>
  <c r="B5046" i="13"/>
  <c r="B5047" i="13"/>
  <c r="B5048" i="13"/>
  <c r="B5049" i="13"/>
  <c r="B5050" i="13"/>
  <c r="B5051" i="13"/>
  <c r="B5052" i="13"/>
  <c r="B5053" i="13"/>
  <c r="B5054" i="13"/>
  <c r="B5055" i="13"/>
  <c r="B5056" i="13"/>
  <c r="B5057" i="13"/>
  <c r="B5058" i="13"/>
  <c r="B5059" i="13"/>
  <c r="B5060" i="13"/>
  <c r="B5061" i="13"/>
  <c r="B5062" i="13"/>
  <c r="B5063" i="13"/>
  <c r="B5064" i="13"/>
  <c r="B5065" i="13"/>
  <c r="B5066" i="13"/>
  <c r="B5067" i="13"/>
  <c r="B5068" i="13"/>
  <c r="B5069" i="13"/>
  <c r="B5070" i="13"/>
  <c r="B5071" i="13"/>
  <c r="B5072" i="13"/>
  <c r="B5073" i="13"/>
  <c r="B5074" i="13"/>
  <c r="B5075" i="13"/>
  <c r="B5076" i="13"/>
  <c r="B5077" i="13"/>
  <c r="B5078" i="13"/>
  <c r="B5079" i="13"/>
  <c r="B5080" i="13"/>
  <c r="B5081" i="13"/>
  <c r="B5082" i="13"/>
  <c r="B5083" i="13"/>
  <c r="B5084" i="13"/>
  <c r="B5085" i="13"/>
  <c r="B5086" i="13"/>
  <c r="B5087" i="13"/>
  <c r="B5088" i="13"/>
  <c r="B5089" i="13"/>
  <c r="B5090" i="13"/>
  <c r="B5091" i="13"/>
  <c r="B5092" i="13"/>
  <c r="B5093" i="13"/>
  <c r="B5094" i="13"/>
  <c r="B5095" i="13"/>
  <c r="B5096" i="13"/>
  <c r="B5097" i="13"/>
  <c r="B5098" i="13"/>
  <c r="B5099" i="13"/>
  <c r="B5100" i="13"/>
  <c r="B5101" i="13"/>
  <c r="B5102" i="13"/>
  <c r="B5103" i="13"/>
  <c r="B5104" i="13"/>
  <c r="B5105" i="13"/>
  <c r="B5106" i="13"/>
  <c r="B5107" i="13"/>
  <c r="B5108" i="13"/>
  <c r="B5109" i="13"/>
  <c r="B5110" i="13"/>
  <c r="B5111" i="13"/>
  <c r="B5112" i="13"/>
  <c r="B5113" i="13"/>
  <c r="B5114" i="13"/>
  <c r="B5115" i="13"/>
  <c r="B5116" i="13"/>
  <c r="B5117" i="13"/>
  <c r="B5118" i="13"/>
  <c r="B5119" i="13"/>
  <c r="B5120" i="13"/>
  <c r="B5121" i="13"/>
  <c r="B5122" i="13"/>
  <c r="B5123" i="13"/>
  <c r="B5124" i="13"/>
  <c r="B5125" i="13"/>
  <c r="B5126" i="13"/>
  <c r="B5127" i="13"/>
  <c r="B5128" i="13"/>
  <c r="B5129" i="13"/>
  <c r="B5130" i="13"/>
  <c r="B5131" i="13"/>
  <c r="B5132" i="13"/>
  <c r="B5133" i="13"/>
  <c r="B5134" i="13"/>
  <c r="B5135" i="13"/>
  <c r="B5136" i="13"/>
  <c r="B5137" i="13"/>
  <c r="B5138" i="13"/>
  <c r="B5139" i="13"/>
  <c r="B5140" i="13"/>
  <c r="B5141" i="13"/>
  <c r="B5142" i="13"/>
  <c r="B5143" i="13"/>
  <c r="B5144" i="13"/>
  <c r="B5145" i="13"/>
  <c r="B5146" i="13"/>
  <c r="B5147" i="13"/>
  <c r="B5148" i="13"/>
  <c r="B5149" i="13"/>
  <c r="B5150" i="13"/>
  <c r="B5151" i="13"/>
  <c r="B5152" i="13"/>
  <c r="B5153" i="13"/>
  <c r="B5154" i="13"/>
  <c r="B5155" i="13"/>
  <c r="B5156" i="13"/>
  <c r="B5157" i="13"/>
  <c r="B5158" i="13"/>
  <c r="B5159" i="13"/>
  <c r="B5160" i="13"/>
  <c r="B5161" i="13"/>
  <c r="B5162" i="13"/>
  <c r="B5163" i="13"/>
  <c r="B5164" i="13"/>
  <c r="B5165" i="13"/>
  <c r="B5166" i="13"/>
  <c r="B5167" i="13"/>
  <c r="B5168" i="13"/>
  <c r="B5169" i="13"/>
  <c r="B5170" i="13"/>
  <c r="B5171" i="13"/>
  <c r="B5172" i="13"/>
  <c r="B5173" i="13"/>
  <c r="B5174" i="13"/>
  <c r="B5175" i="13"/>
  <c r="B5176" i="13"/>
  <c r="B5177" i="13"/>
  <c r="B5178" i="13"/>
  <c r="B5179" i="13"/>
  <c r="B5180" i="13"/>
  <c r="B5181" i="13"/>
  <c r="B5182" i="13"/>
  <c r="B5183" i="13"/>
  <c r="B5184" i="13"/>
  <c r="B5185" i="13"/>
  <c r="B5186" i="13"/>
  <c r="B5187" i="13"/>
  <c r="B5188" i="13"/>
  <c r="B5189" i="13"/>
  <c r="B5190" i="13"/>
  <c r="B5191" i="13"/>
  <c r="B5192" i="13"/>
  <c r="B5193" i="13"/>
  <c r="B5194" i="13"/>
  <c r="B5195" i="13"/>
  <c r="B5196" i="13"/>
  <c r="B5197" i="13"/>
  <c r="B5198" i="13"/>
  <c r="B5199" i="13"/>
  <c r="B5200" i="13"/>
  <c r="B5201" i="13"/>
  <c r="B5202" i="13"/>
  <c r="B5203" i="13"/>
  <c r="B5204" i="13"/>
  <c r="B5205" i="13"/>
  <c r="B5206" i="13"/>
  <c r="B5207" i="13"/>
  <c r="B5208" i="13"/>
  <c r="B5209" i="13"/>
  <c r="B5210" i="13"/>
  <c r="B5211" i="13"/>
  <c r="B5212" i="13"/>
  <c r="B5213" i="13"/>
  <c r="B5214" i="13"/>
  <c r="B5215" i="13"/>
  <c r="B5216" i="13"/>
  <c r="B5217" i="13"/>
  <c r="B5218" i="13"/>
  <c r="B5219" i="13"/>
  <c r="B5220" i="13"/>
  <c r="B5221" i="13"/>
  <c r="B5222" i="13"/>
  <c r="B5223" i="13"/>
  <c r="B5224" i="13"/>
  <c r="B5225" i="13"/>
  <c r="B5226" i="13"/>
  <c r="B5227" i="13"/>
  <c r="B5228" i="13"/>
  <c r="B5229" i="13"/>
  <c r="B5230" i="13"/>
  <c r="B5231" i="13"/>
  <c r="B5232" i="13"/>
  <c r="B5233" i="13"/>
  <c r="B5234" i="13"/>
  <c r="B5235" i="13"/>
  <c r="B5236" i="13"/>
  <c r="B5237" i="13"/>
  <c r="B5238" i="13"/>
  <c r="B5239" i="13"/>
  <c r="B5240" i="13"/>
  <c r="B5241" i="13"/>
  <c r="B5242" i="13"/>
  <c r="B5243" i="13"/>
  <c r="B5244" i="13"/>
  <c r="B5245" i="13"/>
  <c r="B5246" i="13"/>
  <c r="B5247" i="13"/>
  <c r="B5248" i="13"/>
  <c r="B5249" i="13"/>
  <c r="B5250" i="13"/>
  <c r="B5251" i="13"/>
  <c r="B5252" i="13"/>
  <c r="B5253" i="13"/>
  <c r="B5254" i="13"/>
  <c r="B5255" i="13"/>
  <c r="B5256" i="13"/>
  <c r="B5257" i="13"/>
  <c r="B5258" i="13"/>
  <c r="B5259" i="13"/>
  <c r="B5260" i="13"/>
  <c r="B5261" i="13"/>
  <c r="B5262" i="13"/>
  <c r="B5263" i="13"/>
  <c r="B5264" i="13"/>
  <c r="B5265" i="13"/>
  <c r="B5266" i="13"/>
  <c r="B5267" i="13"/>
  <c r="B5268" i="13"/>
  <c r="B5269" i="13"/>
  <c r="B5270" i="13"/>
  <c r="B5271" i="13"/>
  <c r="B5272" i="13"/>
  <c r="B5273" i="13"/>
  <c r="B5274" i="13"/>
  <c r="B5275" i="13"/>
  <c r="B5276" i="13"/>
  <c r="B5277" i="13"/>
  <c r="B5278" i="13"/>
  <c r="B5279" i="13"/>
  <c r="B5280" i="13"/>
  <c r="B5281" i="13"/>
  <c r="B5282" i="13"/>
  <c r="B5283" i="13"/>
  <c r="B5284" i="13"/>
  <c r="B5285" i="13"/>
  <c r="B5286" i="13"/>
  <c r="B5287" i="13"/>
  <c r="B5288" i="13"/>
  <c r="B5289" i="13"/>
  <c r="B5290" i="13"/>
  <c r="B5291" i="13"/>
  <c r="B5292" i="13"/>
  <c r="B5293" i="13"/>
  <c r="B5294" i="13"/>
  <c r="B5295" i="13"/>
  <c r="B5296" i="13"/>
  <c r="B5297" i="13"/>
  <c r="B5298" i="13"/>
  <c r="B5299" i="13"/>
  <c r="B5300" i="13"/>
  <c r="B5301" i="13"/>
  <c r="B5302" i="13"/>
  <c r="B5303" i="13"/>
  <c r="B5304" i="13"/>
  <c r="B5305" i="13"/>
  <c r="B5306" i="13"/>
  <c r="B5307" i="13"/>
  <c r="B5308" i="13"/>
  <c r="B5309" i="13"/>
  <c r="B5310" i="13"/>
  <c r="B5311" i="13"/>
  <c r="B5312" i="13"/>
  <c r="B5313" i="13"/>
  <c r="B5314" i="13"/>
  <c r="B5315" i="13"/>
  <c r="B5316" i="13"/>
  <c r="B5317" i="13"/>
  <c r="B5318" i="13"/>
  <c r="B5319" i="13"/>
  <c r="B5320" i="13"/>
  <c r="B5321" i="13"/>
  <c r="B5322" i="13"/>
  <c r="B5323" i="13"/>
  <c r="B5324" i="13"/>
  <c r="B5325" i="13"/>
  <c r="B5326" i="13"/>
  <c r="B5327" i="13"/>
  <c r="B5328" i="13"/>
  <c r="B5329" i="13"/>
  <c r="B5330" i="13"/>
  <c r="B5331" i="13"/>
  <c r="B5332" i="13"/>
  <c r="B5333" i="13"/>
  <c r="B5334" i="13"/>
  <c r="B5335" i="13"/>
  <c r="B5336" i="13"/>
  <c r="B5337" i="13"/>
  <c r="B5338" i="13"/>
  <c r="B5339" i="13"/>
  <c r="B5340" i="13"/>
  <c r="B5341" i="13"/>
  <c r="B5342" i="13"/>
  <c r="B5343" i="13"/>
  <c r="B5344" i="13"/>
  <c r="B5345" i="13"/>
  <c r="B5346" i="13"/>
  <c r="B5347" i="13"/>
  <c r="B5348" i="13"/>
  <c r="B5349" i="13"/>
  <c r="B5350" i="13"/>
  <c r="B5351" i="13"/>
  <c r="B5352" i="13"/>
  <c r="B5353" i="13"/>
  <c r="B5354" i="13"/>
  <c r="B5355" i="13"/>
  <c r="B5356" i="13"/>
  <c r="B5357" i="13"/>
  <c r="B5358" i="13"/>
  <c r="B5359" i="13"/>
  <c r="B5360" i="13"/>
  <c r="B5361" i="13"/>
  <c r="B5362" i="13"/>
  <c r="B5363" i="13"/>
  <c r="B5364" i="13"/>
  <c r="B5365" i="13"/>
  <c r="B5366" i="13"/>
  <c r="B5367" i="13"/>
  <c r="B5368" i="13"/>
  <c r="B5369" i="13"/>
  <c r="B5370" i="13"/>
  <c r="B5371" i="13"/>
  <c r="B5372" i="13"/>
  <c r="B5373" i="13"/>
  <c r="B5374" i="13"/>
  <c r="B5375" i="13"/>
  <c r="B5376" i="13"/>
  <c r="B5377" i="13"/>
  <c r="B5378" i="13"/>
  <c r="B5379" i="13"/>
  <c r="B5380" i="13"/>
  <c r="B5381" i="13"/>
  <c r="B5382" i="13"/>
  <c r="B5383" i="13"/>
  <c r="B5384" i="13"/>
  <c r="B5385" i="13"/>
  <c r="B5386" i="13"/>
  <c r="B5387" i="13"/>
  <c r="B5388" i="13"/>
  <c r="B5389" i="13"/>
  <c r="B5390" i="13"/>
  <c r="B5391" i="13"/>
  <c r="B5392" i="13"/>
  <c r="B5393" i="13"/>
  <c r="B5394" i="13"/>
  <c r="B5395" i="13"/>
  <c r="B5396" i="13"/>
  <c r="B5397" i="13"/>
  <c r="B5398" i="13"/>
  <c r="B5399" i="13"/>
  <c r="B5400" i="13"/>
  <c r="B5401" i="13"/>
  <c r="B5402" i="13"/>
  <c r="B5403" i="13"/>
  <c r="B5404" i="13"/>
  <c r="B5405" i="13"/>
  <c r="B5406" i="13"/>
  <c r="B5407" i="13"/>
  <c r="B5408" i="13"/>
  <c r="B5409" i="13"/>
  <c r="B5410" i="13"/>
  <c r="B5411" i="13"/>
  <c r="B5412" i="13"/>
  <c r="B5413" i="13"/>
  <c r="B5414" i="13"/>
  <c r="B5415" i="13"/>
  <c r="B5416" i="13"/>
  <c r="B5417" i="13"/>
  <c r="B5418" i="13"/>
  <c r="B5419" i="13"/>
  <c r="B5420" i="13"/>
  <c r="B5421" i="13"/>
  <c r="B5422" i="13"/>
  <c r="B5423" i="13"/>
  <c r="B5424" i="13"/>
  <c r="B5425" i="13"/>
  <c r="B5426" i="13"/>
  <c r="B5427" i="13"/>
  <c r="B5428" i="13"/>
  <c r="B5429" i="13"/>
  <c r="B5430" i="13"/>
  <c r="B5431" i="13"/>
  <c r="B5432" i="13"/>
  <c r="B5433" i="13"/>
  <c r="B5434" i="13"/>
  <c r="B5435" i="13"/>
  <c r="B5436" i="13"/>
  <c r="B5437" i="13"/>
  <c r="B5438" i="13"/>
  <c r="B5439" i="13"/>
  <c r="B5440" i="13"/>
  <c r="B5441" i="13"/>
  <c r="B5442" i="13"/>
  <c r="B5443" i="13"/>
  <c r="B5444" i="13"/>
  <c r="B5445" i="13"/>
  <c r="B5446" i="13"/>
  <c r="B5447" i="13"/>
  <c r="B5448" i="13"/>
  <c r="B5449" i="13"/>
  <c r="B5450" i="13"/>
  <c r="B5451" i="13"/>
  <c r="B5452" i="13"/>
  <c r="B5453" i="13"/>
  <c r="B5454" i="13"/>
  <c r="B5455" i="13"/>
  <c r="B5456" i="13"/>
  <c r="B5457" i="13"/>
  <c r="B5458" i="13"/>
  <c r="B5459" i="13"/>
  <c r="B5460" i="13"/>
  <c r="B5461" i="13"/>
  <c r="B5462" i="13"/>
  <c r="B5463" i="13"/>
  <c r="B5464" i="13"/>
  <c r="B5465" i="13"/>
  <c r="B5466" i="13"/>
  <c r="B5467" i="13"/>
  <c r="B5468" i="13"/>
  <c r="B5469" i="13"/>
  <c r="B5470" i="13"/>
  <c r="B5471" i="13"/>
  <c r="B5472" i="13"/>
  <c r="B5473" i="13"/>
  <c r="B5474" i="13"/>
  <c r="B5475" i="13"/>
  <c r="B5476" i="13"/>
  <c r="B5477" i="13"/>
  <c r="B5478" i="13"/>
  <c r="B5479" i="13"/>
  <c r="B5480" i="13"/>
  <c r="B5481" i="13"/>
  <c r="B5482" i="13"/>
  <c r="B5483" i="13"/>
  <c r="B5484" i="13"/>
  <c r="B5485" i="13"/>
  <c r="B5486" i="13"/>
  <c r="B5487" i="13"/>
  <c r="B5488" i="13"/>
  <c r="B5489" i="13"/>
  <c r="B5490" i="13"/>
  <c r="B5491" i="13"/>
  <c r="B5492" i="13"/>
  <c r="B5493" i="13"/>
  <c r="B5494" i="13"/>
  <c r="B5495" i="13"/>
  <c r="B5496" i="13"/>
  <c r="B5497" i="13"/>
  <c r="B5498" i="13"/>
  <c r="B5499" i="13"/>
  <c r="B5500" i="13"/>
  <c r="B5501" i="13"/>
  <c r="B5502" i="13"/>
  <c r="B5503" i="13"/>
  <c r="B5504" i="13"/>
  <c r="B5505" i="13"/>
  <c r="B5506" i="13"/>
  <c r="B5507" i="13"/>
  <c r="B5508" i="13"/>
  <c r="B5509" i="13"/>
  <c r="B5510" i="13"/>
  <c r="B5511" i="13"/>
  <c r="B5512" i="13"/>
  <c r="B5513" i="13"/>
  <c r="B5514" i="13"/>
  <c r="B5515" i="13"/>
  <c r="B5516" i="13"/>
  <c r="B5517" i="13"/>
  <c r="B5518" i="13"/>
  <c r="B5519" i="13"/>
  <c r="B5520" i="13"/>
  <c r="B5521" i="13"/>
  <c r="B5522" i="13"/>
  <c r="B5523" i="13"/>
  <c r="B5524" i="13"/>
  <c r="B5525" i="13"/>
  <c r="B5526" i="13"/>
  <c r="B5527" i="13"/>
  <c r="B5528" i="13"/>
  <c r="B5529" i="13"/>
  <c r="B5530" i="13"/>
  <c r="B5531" i="13"/>
  <c r="B5532" i="13"/>
  <c r="B5533" i="13"/>
  <c r="B5534" i="13"/>
  <c r="B5535" i="13"/>
  <c r="B5536" i="13"/>
  <c r="B5537" i="13"/>
  <c r="B5538" i="13"/>
  <c r="B5539" i="13"/>
  <c r="B5540" i="13"/>
  <c r="B5541" i="13"/>
  <c r="B5542" i="13"/>
  <c r="B5543" i="13"/>
  <c r="B5544" i="13"/>
  <c r="B5545" i="13"/>
  <c r="B5546" i="13"/>
  <c r="B5547" i="13"/>
  <c r="B5548" i="13"/>
  <c r="B5549" i="13"/>
  <c r="B5550" i="13"/>
  <c r="B5551" i="13"/>
  <c r="B5552" i="13"/>
  <c r="B5553" i="13"/>
  <c r="B5554" i="13"/>
  <c r="B5555" i="13"/>
  <c r="B5556" i="13"/>
  <c r="B5557" i="13"/>
  <c r="B5558" i="13"/>
  <c r="B5559" i="13"/>
  <c r="B5560" i="13"/>
  <c r="B5561" i="13"/>
  <c r="B5562" i="13"/>
  <c r="B5563" i="13"/>
  <c r="B5564" i="13"/>
  <c r="B5565" i="13"/>
  <c r="B5566" i="13"/>
  <c r="B5567" i="13"/>
  <c r="B5568" i="13"/>
  <c r="B5569" i="13"/>
  <c r="B5570" i="13"/>
  <c r="B5571" i="13"/>
  <c r="B5572" i="13"/>
  <c r="B5573" i="13"/>
  <c r="B5574" i="13"/>
  <c r="B5575" i="13"/>
  <c r="B5576" i="13"/>
  <c r="B5577" i="13"/>
  <c r="B5578" i="13"/>
  <c r="B5579" i="13"/>
  <c r="B5580" i="13"/>
  <c r="B5581" i="13"/>
  <c r="B5582" i="13"/>
  <c r="B5583" i="13"/>
  <c r="B5584" i="13"/>
  <c r="B5585" i="13"/>
  <c r="B5586" i="13"/>
  <c r="B5587" i="13"/>
  <c r="B5588" i="13"/>
  <c r="B5589" i="13"/>
  <c r="B5590" i="13"/>
  <c r="B5591" i="13"/>
  <c r="B5592" i="13"/>
  <c r="B5593" i="13"/>
  <c r="B5594" i="13"/>
  <c r="B5595" i="13"/>
  <c r="B5596" i="13"/>
  <c r="B5597" i="13"/>
  <c r="B5598" i="13"/>
  <c r="B5599" i="13"/>
  <c r="B5600" i="13"/>
  <c r="B5601" i="13"/>
  <c r="B5602" i="13"/>
  <c r="B5603" i="13"/>
  <c r="B5604" i="13"/>
  <c r="B5605" i="13"/>
  <c r="B5606" i="13"/>
  <c r="B5607" i="13"/>
  <c r="B5608" i="13"/>
  <c r="B5609" i="13"/>
  <c r="B5610" i="13"/>
  <c r="B5611" i="13"/>
  <c r="B5612" i="13"/>
  <c r="B5613" i="13"/>
  <c r="B5614" i="13"/>
  <c r="B5615" i="13"/>
  <c r="B5616" i="13"/>
  <c r="B5617" i="13"/>
  <c r="B5618" i="13"/>
  <c r="B5619" i="13"/>
  <c r="B5620" i="13"/>
  <c r="B5621" i="13"/>
  <c r="B5622" i="13"/>
  <c r="B5623" i="13"/>
  <c r="B5624" i="13"/>
  <c r="B5625" i="13"/>
  <c r="B5626" i="13"/>
  <c r="B5627" i="13"/>
  <c r="B5628" i="13"/>
  <c r="B5629" i="13"/>
  <c r="B5630" i="13"/>
  <c r="B5631" i="13"/>
  <c r="B5632" i="13"/>
  <c r="B5633" i="13"/>
  <c r="B5634" i="13"/>
  <c r="B5635" i="13"/>
  <c r="B5636" i="13"/>
  <c r="B5637" i="13"/>
  <c r="B5638" i="13"/>
  <c r="B5639" i="13"/>
  <c r="B5640" i="13"/>
  <c r="B5641" i="13"/>
  <c r="B5642" i="13"/>
  <c r="B5643" i="13"/>
  <c r="B5644" i="13"/>
  <c r="B5645" i="13"/>
  <c r="B5646" i="13"/>
  <c r="B5647" i="13"/>
  <c r="B5648" i="13"/>
  <c r="B5649" i="13"/>
  <c r="B5650" i="13"/>
  <c r="B5651" i="13"/>
  <c r="B5652" i="13"/>
  <c r="B5653" i="13"/>
  <c r="B5654" i="13"/>
  <c r="B5655" i="13"/>
  <c r="B5656" i="13"/>
  <c r="B5657" i="13"/>
  <c r="B5658" i="13"/>
  <c r="B5659" i="13"/>
  <c r="B5660" i="13"/>
  <c r="B5661" i="13"/>
  <c r="B5662" i="13"/>
  <c r="B5663" i="13"/>
  <c r="B5664" i="13"/>
  <c r="B5665" i="13"/>
  <c r="B5666" i="13"/>
  <c r="B5667" i="13"/>
  <c r="B5668" i="13"/>
  <c r="B5669" i="13"/>
  <c r="B5670" i="13"/>
  <c r="B5671" i="13"/>
  <c r="B5672" i="13"/>
  <c r="B5673" i="13"/>
  <c r="B5674" i="13"/>
  <c r="B5675" i="13"/>
  <c r="B5676" i="13"/>
  <c r="B5677" i="13"/>
  <c r="B5678" i="13"/>
  <c r="B5679" i="13"/>
  <c r="B5680" i="13"/>
  <c r="B5681" i="13"/>
  <c r="B5682" i="13"/>
  <c r="B5683" i="13"/>
  <c r="B5684" i="13"/>
  <c r="B5685" i="13"/>
  <c r="B5686" i="13"/>
  <c r="B5687" i="13"/>
  <c r="B5688" i="13"/>
  <c r="B5689" i="13"/>
  <c r="B5690" i="13"/>
  <c r="B5691" i="13"/>
  <c r="B5692" i="13"/>
  <c r="B5693" i="13"/>
  <c r="B5694" i="13"/>
  <c r="B5695" i="13"/>
  <c r="B5696" i="13"/>
  <c r="B5697" i="13"/>
  <c r="B5698" i="13"/>
  <c r="B5699" i="13"/>
  <c r="B5700" i="13"/>
  <c r="B5701" i="13"/>
  <c r="B5702" i="13"/>
  <c r="B5703" i="13"/>
  <c r="B5704" i="13"/>
  <c r="B5705" i="13"/>
  <c r="B5706" i="13"/>
  <c r="B5707" i="13"/>
  <c r="B5708" i="13"/>
  <c r="B5709" i="13"/>
  <c r="B5710" i="13"/>
  <c r="B5711" i="13"/>
  <c r="B5712" i="13"/>
  <c r="B5713" i="13"/>
  <c r="B5714" i="13"/>
  <c r="B5715" i="13"/>
  <c r="B5716" i="13"/>
  <c r="B5717" i="13"/>
  <c r="B5718" i="13"/>
  <c r="B5719" i="13"/>
  <c r="B5720" i="13"/>
  <c r="B5721" i="13"/>
  <c r="B5722" i="13"/>
  <c r="B5723" i="13"/>
  <c r="B5724" i="13"/>
  <c r="B5725" i="13"/>
  <c r="B5726" i="13"/>
  <c r="B5727" i="13"/>
  <c r="B5728" i="13"/>
  <c r="B5729" i="13"/>
  <c r="B5730" i="13"/>
  <c r="B5731" i="13"/>
  <c r="B5732" i="13"/>
  <c r="B5733" i="13"/>
  <c r="B5734" i="13"/>
  <c r="B5735" i="13"/>
  <c r="B5736" i="13"/>
  <c r="B5737" i="13"/>
  <c r="B5738" i="13"/>
  <c r="B5739" i="13"/>
  <c r="B5740" i="13"/>
  <c r="B5741" i="13"/>
  <c r="B5742" i="13"/>
  <c r="B5743" i="13"/>
  <c r="B5744" i="13"/>
  <c r="B5745" i="13"/>
  <c r="B5746" i="13"/>
  <c r="B5747" i="13"/>
  <c r="B5748" i="13"/>
  <c r="B5749" i="13"/>
  <c r="B5750" i="13"/>
  <c r="B5751" i="13"/>
  <c r="B5752" i="13"/>
  <c r="B5753" i="13"/>
  <c r="B5754" i="13"/>
  <c r="B5755" i="13"/>
  <c r="B5756" i="13"/>
  <c r="B5757" i="13"/>
  <c r="B5758" i="13"/>
  <c r="B5759" i="13"/>
  <c r="B5760" i="13"/>
  <c r="B5761" i="13"/>
  <c r="B5762" i="13"/>
  <c r="B5763" i="13"/>
  <c r="B5764" i="13"/>
  <c r="B5765" i="13"/>
  <c r="B5766" i="13"/>
  <c r="B5767" i="13"/>
  <c r="B5768" i="13"/>
  <c r="B5769" i="13"/>
  <c r="B5770" i="13"/>
  <c r="B5771" i="13"/>
  <c r="B5772" i="13"/>
  <c r="B5773" i="13"/>
  <c r="B5774" i="13"/>
  <c r="B5775" i="13"/>
  <c r="B5776" i="13"/>
  <c r="B5777" i="13"/>
  <c r="B5778" i="13"/>
  <c r="B5779" i="13"/>
  <c r="B5780" i="13"/>
  <c r="B5781" i="13"/>
  <c r="B5782" i="13"/>
  <c r="B5783" i="13"/>
  <c r="B5784" i="13"/>
  <c r="B5785" i="13"/>
  <c r="B5786" i="13"/>
  <c r="B5787" i="13"/>
  <c r="B5788" i="13"/>
  <c r="B5789" i="13"/>
  <c r="B5790" i="13"/>
  <c r="B5791" i="13"/>
  <c r="B5792" i="13"/>
  <c r="B5793" i="13"/>
  <c r="B5794" i="13"/>
  <c r="B5795" i="13"/>
  <c r="B5796" i="13"/>
  <c r="B5797" i="13"/>
  <c r="B5798" i="13"/>
  <c r="B5799" i="13"/>
  <c r="B5800" i="13"/>
  <c r="B5801" i="13"/>
  <c r="B5802" i="13"/>
  <c r="B5803" i="13"/>
  <c r="B5804" i="13"/>
  <c r="B5805" i="13"/>
  <c r="B5806" i="13"/>
  <c r="B5807" i="13"/>
  <c r="B5808" i="13"/>
  <c r="B5809" i="13"/>
  <c r="B5810" i="13"/>
  <c r="B5811" i="13"/>
  <c r="B5812" i="13"/>
  <c r="B5813" i="13"/>
  <c r="B5814" i="13"/>
  <c r="B5815" i="13"/>
  <c r="B5816" i="13"/>
  <c r="B5817" i="13"/>
  <c r="B5818" i="13"/>
  <c r="B5819" i="13"/>
  <c r="B5820" i="13"/>
  <c r="B5821" i="13"/>
  <c r="B5822" i="13"/>
  <c r="B5823" i="13"/>
  <c r="B5824" i="13"/>
  <c r="B5825" i="13"/>
  <c r="B5826" i="13"/>
  <c r="B5827" i="13"/>
  <c r="B5828" i="13"/>
  <c r="B5829" i="13"/>
  <c r="B5830" i="13"/>
  <c r="B5831" i="13"/>
  <c r="B5832" i="13"/>
  <c r="B5833" i="13"/>
  <c r="B5834" i="13"/>
  <c r="B5835" i="13"/>
  <c r="B5836" i="13"/>
  <c r="B5837" i="13"/>
  <c r="B5838" i="13"/>
  <c r="B5839" i="13"/>
  <c r="B5840" i="13"/>
  <c r="B5841" i="13"/>
  <c r="B5842" i="13"/>
  <c r="B5843" i="13"/>
  <c r="B5844" i="13"/>
  <c r="B5845" i="13"/>
  <c r="B5846" i="13"/>
  <c r="B5847" i="13"/>
  <c r="B5848" i="13"/>
  <c r="B5849" i="13"/>
  <c r="B5850" i="13"/>
  <c r="B5851" i="13"/>
  <c r="B5852" i="13"/>
  <c r="B5853" i="13"/>
  <c r="B5854" i="13"/>
  <c r="B5855" i="13"/>
  <c r="B5856" i="13"/>
  <c r="B5857" i="13"/>
  <c r="B5858" i="13"/>
  <c r="B5859" i="13"/>
  <c r="B5860" i="13"/>
  <c r="B5861" i="13"/>
  <c r="B5862" i="13"/>
  <c r="B5863" i="13"/>
  <c r="B5864" i="13"/>
  <c r="B5865" i="13"/>
  <c r="B5866" i="13"/>
  <c r="B5867" i="13"/>
  <c r="B5868" i="13"/>
  <c r="B5869" i="13"/>
  <c r="B5870" i="13"/>
  <c r="B5871" i="13"/>
  <c r="B5872" i="13"/>
  <c r="B5873" i="13"/>
  <c r="B5874" i="13"/>
  <c r="B5875" i="13"/>
  <c r="B5876" i="13"/>
  <c r="B5877" i="13"/>
  <c r="B5878" i="13"/>
  <c r="B5879" i="13"/>
  <c r="B5880" i="13"/>
  <c r="B5881" i="13"/>
  <c r="B5882" i="13"/>
  <c r="B5883" i="13"/>
  <c r="B5884" i="13"/>
  <c r="B5885" i="13"/>
  <c r="B5886" i="13"/>
  <c r="B5887" i="13"/>
  <c r="B5888" i="13"/>
  <c r="B5889" i="13"/>
  <c r="B5890" i="13"/>
  <c r="B5891" i="13"/>
  <c r="B5892" i="13"/>
  <c r="B5893" i="13"/>
  <c r="B5894" i="13"/>
  <c r="B5895" i="13"/>
  <c r="B5896" i="13"/>
  <c r="B5897" i="13"/>
  <c r="B5898" i="13"/>
  <c r="B5899" i="13"/>
  <c r="B5900" i="13"/>
  <c r="F3872" i="13"/>
  <c r="F3873" i="13"/>
  <c r="F3874" i="13"/>
  <c r="F3875" i="13"/>
  <c r="F3876" i="13"/>
  <c r="F3877" i="13"/>
  <c r="F3878" i="13"/>
  <c r="F3879" i="13"/>
  <c r="F3880" i="13"/>
  <c r="F3881" i="13"/>
  <c r="F3882" i="13"/>
  <c r="F3883" i="13"/>
  <c r="F3884" i="13"/>
  <c r="F3885" i="13"/>
  <c r="F3886" i="13"/>
  <c r="F3887" i="13"/>
  <c r="F3888" i="13"/>
  <c r="F3889" i="13"/>
  <c r="F3890" i="13"/>
  <c r="F3891" i="13"/>
  <c r="F3892" i="13"/>
  <c r="F3893" i="13"/>
  <c r="F3894" i="13"/>
  <c r="F3895" i="13"/>
  <c r="F3896" i="13"/>
  <c r="F3897" i="13"/>
  <c r="F3898" i="13"/>
  <c r="F3899" i="13"/>
  <c r="F3900" i="13"/>
  <c r="F3901" i="13"/>
  <c r="F3902" i="13"/>
  <c r="F3903" i="13"/>
  <c r="F3904" i="13"/>
  <c r="F3905" i="13"/>
  <c r="F3906" i="13"/>
  <c r="F3907" i="13"/>
  <c r="F3908" i="13"/>
  <c r="F3909" i="13"/>
  <c r="F3910" i="13"/>
  <c r="F3911" i="13"/>
  <c r="F3912" i="13"/>
  <c r="F3913" i="13"/>
  <c r="F3914" i="13"/>
  <c r="F3915" i="13"/>
  <c r="F3916" i="13"/>
  <c r="F3917" i="13"/>
  <c r="F3918" i="13"/>
  <c r="F3919" i="13"/>
  <c r="F3920" i="13"/>
  <c r="F3921" i="13"/>
  <c r="F3922" i="13"/>
  <c r="F3923" i="13"/>
  <c r="F3924" i="13"/>
  <c r="F3925" i="13"/>
  <c r="F3926" i="13"/>
  <c r="F3927" i="13"/>
  <c r="F3928" i="13"/>
  <c r="F3929" i="13"/>
  <c r="F3930" i="13"/>
  <c r="F3931" i="13"/>
  <c r="F3932" i="13"/>
  <c r="F3933" i="13"/>
  <c r="F3934" i="13"/>
  <c r="F3935" i="13"/>
  <c r="F3936" i="13"/>
  <c r="F3937" i="13"/>
  <c r="F3938" i="13"/>
  <c r="F3939" i="13"/>
  <c r="F3940" i="13"/>
  <c r="F3941" i="13"/>
  <c r="F3942" i="13"/>
  <c r="F3943" i="13"/>
  <c r="F3944" i="13"/>
  <c r="F3945" i="13"/>
  <c r="F3946" i="13"/>
  <c r="F3947" i="13"/>
  <c r="F3948" i="13"/>
  <c r="F3949" i="13"/>
  <c r="F3950" i="13"/>
  <c r="F3951" i="13"/>
  <c r="F3952" i="13"/>
  <c r="F3953" i="13"/>
  <c r="F3954" i="13"/>
  <c r="F3955" i="13"/>
  <c r="F3956" i="13"/>
  <c r="F3957" i="13"/>
  <c r="F3958" i="13"/>
  <c r="F3959" i="13"/>
  <c r="F3960" i="13"/>
  <c r="F3961" i="13"/>
  <c r="F3962" i="13"/>
  <c r="F3963" i="13"/>
  <c r="F3964" i="13"/>
  <c r="F3965" i="13"/>
  <c r="F3966" i="13"/>
  <c r="F3967" i="13"/>
  <c r="F3968" i="13"/>
  <c r="F3969" i="13"/>
  <c r="F3970" i="13"/>
  <c r="F3971" i="13"/>
  <c r="F3972" i="13"/>
  <c r="F3973" i="13"/>
  <c r="F3974" i="13"/>
  <c r="F3975" i="13"/>
  <c r="F3976" i="13"/>
  <c r="F3977" i="13"/>
  <c r="F3978" i="13"/>
  <c r="F3979" i="13"/>
  <c r="F3980" i="13"/>
  <c r="F3981" i="13"/>
  <c r="F3982" i="13"/>
  <c r="F3983" i="13"/>
  <c r="F3984" i="13"/>
  <c r="F3985" i="13"/>
  <c r="F3986" i="13"/>
  <c r="F3987" i="13"/>
  <c r="F3988" i="13"/>
  <c r="F3989" i="13"/>
  <c r="F3990" i="13"/>
  <c r="F3991" i="13"/>
  <c r="F3992" i="13"/>
  <c r="F3993" i="13"/>
  <c r="F3994" i="13"/>
  <c r="F3995" i="13"/>
  <c r="F3996" i="13"/>
  <c r="F3997" i="13"/>
  <c r="F3998" i="13"/>
  <c r="F3999" i="13"/>
  <c r="F4000" i="13"/>
  <c r="F4001" i="13"/>
  <c r="F4002" i="13"/>
  <c r="F4003" i="13"/>
  <c r="F4004" i="13"/>
  <c r="F4005" i="13"/>
  <c r="F4006" i="13"/>
  <c r="F4007" i="13"/>
  <c r="F4008" i="13"/>
  <c r="F4009" i="13"/>
  <c r="F4010" i="13"/>
  <c r="F4011" i="13"/>
  <c r="F4012" i="13"/>
  <c r="F4013" i="13"/>
  <c r="F4014" i="13"/>
  <c r="F4015" i="13"/>
  <c r="F4016" i="13"/>
  <c r="F4017" i="13"/>
  <c r="F4018" i="13"/>
  <c r="F4019" i="13"/>
  <c r="F4020" i="13"/>
  <c r="F4021" i="13"/>
  <c r="F4022" i="13"/>
  <c r="F4023" i="13"/>
  <c r="F4024" i="13"/>
  <c r="F4025" i="13"/>
  <c r="F4026" i="13"/>
  <c r="F4027" i="13"/>
  <c r="F4028" i="13"/>
  <c r="F4029" i="13"/>
  <c r="F4030" i="13"/>
  <c r="F4031" i="13"/>
  <c r="F4032" i="13"/>
  <c r="F4033" i="13"/>
  <c r="F4034" i="13"/>
  <c r="F4035" i="13"/>
  <c r="F4036" i="13"/>
  <c r="F4037" i="13"/>
  <c r="F4038" i="13"/>
  <c r="F4039" i="13"/>
  <c r="F4040" i="13"/>
  <c r="F4041" i="13"/>
  <c r="F4042" i="13"/>
  <c r="F4043" i="13"/>
  <c r="F4044" i="13"/>
  <c r="F4045" i="13"/>
  <c r="F4046" i="13"/>
  <c r="F4047" i="13"/>
  <c r="F4048" i="13"/>
  <c r="F4049" i="13"/>
  <c r="F4050" i="13"/>
  <c r="F4051" i="13"/>
  <c r="F4052" i="13"/>
  <c r="F4053" i="13"/>
  <c r="F4054" i="13"/>
  <c r="F4055" i="13"/>
  <c r="F4056" i="13"/>
  <c r="F4057" i="13"/>
  <c r="F4058" i="13"/>
  <c r="F4059" i="13"/>
  <c r="F4060" i="13"/>
  <c r="F4061" i="13"/>
  <c r="F4062" i="13"/>
  <c r="F4063" i="13"/>
  <c r="F4064" i="13"/>
  <c r="F4065" i="13"/>
  <c r="F4066" i="13"/>
  <c r="F4067" i="13"/>
  <c r="F4068" i="13"/>
  <c r="F4069" i="13"/>
  <c r="F4070" i="13"/>
  <c r="F4071" i="13"/>
  <c r="F4072" i="13"/>
  <c r="F4073" i="13"/>
  <c r="F4074" i="13"/>
  <c r="F4075" i="13"/>
  <c r="F4076" i="13"/>
  <c r="F4077" i="13"/>
  <c r="F4078" i="13"/>
  <c r="F4079" i="13"/>
  <c r="F4080" i="13"/>
  <c r="F4081" i="13"/>
  <c r="F4082" i="13"/>
  <c r="F4083" i="13"/>
  <c r="F4084" i="13"/>
  <c r="F4085" i="13"/>
  <c r="F4086" i="13"/>
  <c r="F4087" i="13"/>
  <c r="F4088" i="13"/>
  <c r="F4089" i="13"/>
  <c r="F4090" i="13"/>
  <c r="F4091" i="13"/>
  <c r="F4092" i="13"/>
  <c r="F4093" i="13"/>
  <c r="F4094" i="13"/>
  <c r="F4095" i="13"/>
  <c r="F4096" i="13"/>
  <c r="F4097" i="13"/>
  <c r="F4098" i="13"/>
  <c r="F4099" i="13"/>
  <c r="F4100" i="13"/>
  <c r="F4101" i="13"/>
  <c r="F4102" i="13"/>
  <c r="F4103" i="13"/>
  <c r="F4104" i="13"/>
  <c r="F4105" i="13"/>
  <c r="F4106" i="13"/>
  <c r="F4107" i="13"/>
  <c r="F4108" i="13"/>
  <c r="F4109" i="13"/>
  <c r="F4110" i="13"/>
  <c r="F4111" i="13"/>
  <c r="F4112" i="13"/>
  <c r="F4113" i="13"/>
  <c r="F4114" i="13"/>
  <c r="F4115" i="13"/>
  <c r="F4116" i="13"/>
  <c r="F4117" i="13"/>
  <c r="F4118" i="13"/>
  <c r="F4119" i="13"/>
  <c r="F4120" i="13"/>
  <c r="F4121" i="13"/>
  <c r="F4122" i="13"/>
  <c r="F4123" i="13"/>
  <c r="F4124" i="13"/>
  <c r="F4125" i="13"/>
  <c r="F4126" i="13"/>
  <c r="F4127" i="13"/>
  <c r="F4128" i="13"/>
  <c r="F4129" i="13"/>
  <c r="F4130" i="13"/>
  <c r="F4131" i="13"/>
  <c r="F4132" i="13"/>
  <c r="F4133" i="13"/>
  <c r="F4134" i="13"/>
  <c r="F4135" i="13"/>
  <c r="F4136" i="13"/>
  <c r="F4137" i="13"/>
  <c r="F4138" i="13"/>
  <c r="F4139" i="13"/>
  <c r="F4140" i="13"/>
  <c r="F4141" i="13"/>
  <c r="F4142" i="13"/>
  <c r="F4143" i="13"/>
  <c r="F4144" i="13"/>
  <c r="F4145" i="13"/>
  <c r="F4146" i="13"/>
  <c r="F4147" i="13"/>
  <c r="F4148" i="13"/>
  <c r="F4149" i="13"/>
  <c r="F4150" i="13"/>
  <c r="F4151" i="13"/>
  <c r="F4152" i="13"/>
  <c r="F4153" i="13"/>
  <c r="F4154" i="13"/>
  <c r="F4155" i="13"/>
  <c r="F4156" i="13"/>
  <c r="F4157" i="13"/>
  <c r="F4158" i="13"/>
  <c r="F4159" i="13"/>
  <c r="F4160" i="13"/>
  <c r="F4161" i="13"/>
  <c r="F4162" i="13"/>
  <c r="F4163" i="13"/>
  <c r="F4164" i="13"/>
  <c r="F4165" i="13"/>
  <c r="F4166" i="13"/>
  <c r="F4167" i="13"/>
  <c r="F4168" i="13"/>
  <c r="F4169" i="13"/>
  <c r="F4170" i="13"/>
  <c r="F4171" i="13"/>
  <c r="F4172" i="13"/>
  <c r="F4173" i="13"/>
  <c r="F4174" i="13"/>
  <c r="F4175" i="13"/>
  <c r="F4176" i="13"/>
  <c r="F4177" i="13"/>
  <c r="F4178" i="13"/>
  <c r="F4179" i="13"/>
  <c r="F4180" i="13"/>
  <c r="F4181" i="13"/>
  <c r="F4182" i="13"/>
  <c r="F4183" i="13"/>
  <c r="F4184" i="13"/>
  <c r="F4185" i="13"/>
  <c r="F4186" i="13"/>
  <c r="F4187" i="13"/>
  <c r="F4188" i="13"/>
  <c r="F4189" i="13"/>
  <c r="F4190" i="13"/>
  <c r="F4191" i="13"/>
  <c r="F4192" i="13"/>
  <c r="F4193" i="13"/>
  <c r="F4194" i="13"/>
  <c r="F4195" i="13"/>
  <c r="F4196" i="13"/>
  <c r="F4197" i="13"/>
  <c r="F4198" i="13"/>
  <c r="F4199" i="13"/>
  <c r="F4200" i="13"/>
  <c r="F4201" i="13"/>
  <c r="F4202" i="13"/>
  <c r="F4203" i="13"/>
  <c r="F4204" i="13"/>
  <c r="F4205" i="13"/>
  <c r="F4206" i="13"/>
  <c r="F4207" i="13"/>
  <c r="F4208" i="13"/>
  <c r="F4209" i="13"/>
  <c r="F4210" i="13"/>
  <c r="F4211" i="13"/>
  <c r="F4212" i="13"/>
  <c r="F4213" i="13"/>
  <c r="F4214" i="13"/>
  <c r="F4215" i="13"/>
  <c r="F4216" i="13"/>
  <c r="F4217" i="13"/>
  <c r="F4218" i="13"/>
  <c r="F4219" i="13"/>
  <c r="F4220" i="13"/>
  <c r="F4221" i="13"/>
  <c r="F4222" i="13"/>
  <c r="F4223" i="13"/>
  <c r="F4224" i="13"/>
  <c r="F4225" i="13"/>
  <c r="F4226" i="13"/>
  <c r="F4227" i="13"/>
  <c r="F4228" i="13"/>
  <c r="F4229" i="13"/>
  <c r="F4230" i="13"/>
  <c r="F4231" i="13"/>
  <c r="F4232" i="13"/>
  <c r="F4233" i="13"/>
  <c r="F4234" i="13"/>
  <c r="F4235" i="13"/>
  <c r="F4236" i="13"/>
  <c r="F4237" i="13"/>
  <c r="F4238" i="13"/>
  <c r="F4239" i="13"/>
  <c r="F4240" i="13"/>
  <c r="F4241" i="13"/>
  <c r="F4242" i="13"/>
  <c r="F4243" i="13"/>
  <c r="F4244" i="13"/>
  <c r="F4245" i="13"/>
  <c r="F4246" i="13"/>
  <c r="F4247" i="13"/>
  <c r="F4248" i="13"/>
  <c r="F4249" i="13"/>
  <c r="F4250" i="13"/>
  <c r="F4251" i="13"/>
  <c r="F4252" i="13"/>
  <c r="F4253" i="13"/>
  <c r="F4254" i="13"/>
  <c r="F4255" i="13"/>
  <c r="F4256" i="13"/>
  <c r="F4257" i="13"/>
  <c r="F4258" i="13"/>
  <c r="F4259" i="13"/>
  <c r="F4260" i="13"/>
  <c r="F4261" i="13"/>
  <c r="F4262" i="13"/>
  <c r="F4263" i="13"/>
  <c r="F4264" i="13"/>
  <c r="F4265" i="13"/>
  <c r="F4266" i="13"/>
  <c r="F4267" i="13"/>
  <c r="F4268" i="13"/>
  <c r="F4269" i="13"/>
  <c r="F4270" i="13"/>
  <c r="F4271" i="13"/>
  <c r="F4272" i="13"/>
  <c r="F4273" i="13"/>
  <c r="F4274" i="13"/>
  <c r="F4275" i="13"/>
  <c r="F4276" i="13"/>
  <c r="F4277" i="13"/>
  <c r="F4278" i="13"/>
  <c r="F4279" i="13"/>
  <c r="F4280" i="13"/>
  <c r="F4281" i="13"/>
  <c r="F4282" i="13"/>
  <c r="F4283" i="13"/>
  <c r="F4284" i="13"/>
  <c r="F4285" i="13"/>
  <c r="F4286" i="13"/>
  <c r="F4287" i="13"/>
  <c r="F4288" i="13"/>
  <c r="F4289" i="13"/>
  <c r="F4290" i="13"/>
  <c r="F4291" i="13"/>
  <c r="F4292" i="13"/>
  <c r="F4293" i="13"/>
  <c r="F4294" i="13"/>
  <c r="F4295" i="13"/>
  <c r="F4296" i="13"/>
  <c r="F4297" i="13"/>
  <c r="F4298" i="13"/>
  <c r="F4299" i="13"/>
  <c r="F4300" i="13"/>
  <c r="F4301" i="13"/>
  <c r="F4302" i="13"/>
  <c r="F4303" i="13"/>
  <c r="F4304" i="13"/>
  <c r="F4305" i="13"/>
  <c r="F4306" i="13"/>
  <c r="F4307" i="13"/>
  <c r="F4308" i="13"/>
  <c r="F4309" i="13"/>
  <c r="F4310" i="13"/>
  <c r="F4311" i="13"/>
  <c r="F4312" i="13"/>
  <c r="F4313" i="13"/>
  <c r="F4314" i="13"/>
  <c r="F4315" i="13"/>
  <c r="F4316" i="13"/>
  <c r="F4317" i="13"/>
  <c r="F4318" i="13"/>
  <c r="F4319" i="13"/>
  <c r="F4320" i="13"/>
  <c r="F4321" i="13"/>
  <c r="F4322" i="13"/>
  <c r="F4323" i="13"/>
  <c r="F4324" i="13"/>
  <c r="F4325" i="13"/>
  <c r="F4326" i="13"/>
  <c r="F4327" i="13"/>
  <c r="F4328" i="13"/>
  <c r="F4329" i="13"/>
  <c r="F4330" i="13"/>
  <c r="F4331" i="13"/>
  <c r="F4332" i="13"/>
  <c r="F4333" i="13"/>
  <c r="F4334" i="13"/>
  <c r="F4335" i="13"/>
  <c r="F4336" i="13"/>
  <c r="F4337" i="13"/>
  <c r="F4338" i="13"/>
  <c r="F4339" i="13"/>
  <c r="F4340" i="13"/>
  <c r="F4341" i="13"/>
  <c r="F4342" i="13"/>
  <c r="F4343" i="13"/>
  <c r="F4344" i="13"/>
  <c r="F4345" i="13"/>
  <c r="F4346" i="13"/>
  <c r="F4347" i="13"/>
  <c r="F4348" i="13"/>
  <c r="F4349" i="13"/>
  <c r="F4350" i="13"/>
  <c r="F4351" i="13"/>
  <c r="F4352" i="13"/>
  <c r="F4353" i="13"/>
  <c r="F4354" i="13"/>
  <c r="F4355" i="13"/>
  <c r="F4356" i="13"/>
  <c r="F4357" i="13"/>
  <c r="F4358" i="13"/>
  <c r="F4359" i="13"/>
  <c r="F4360" i="13"/>
  <c r="F4361" i="13"/>
  <c r="F4362" i="13"/>
  <c r="F4363" i="13"/>
  <c r="F4364" i="13"/>
  <c r="F4365" i="13"/>
  <c r="F4366" i="13"/>
  <c r="F4367" i="13"/>
  <c r="F4368" i="13"/>
  <c r="F4369" i="13"/>
  <c r="F4370" i="13"/>
  <c r="F4371" i="13"/>
  <c r="F4372" i="13"/>
  <c r="F4373" i="13"/>
  <c r="F4374" i="13"/>
  <c r="F4375" i="13"/>
  <c r="F4376" i="13"/>
  <c r="F4377" i="13"/>
  <c r="F4378" i="13"/>
  <c r="F4379" i="13"/>
  <c r="F4380" i="13"/>
  <c r="F4381" i="13"/>
  <c r="F4382" i="13"/>
  <c r="F4383" i="13"/>
  <c r="F4384" i="13"/>
  <c r="F4385" i="13"/>
  <c r="F4386" i="13"/>
  <c r="F4387" i="13"/>
  <c r="F4388" i="13"/>
  <c r="F4389" i="13"/>
  <c r="F4390" i="13"/>
  <c r="F4391" i="13"/>
  <c r="F4392" i="13"/>
  <c r="F4393" i="13"/>
  <c r="F4394" i="13"/>
  <c r="F4395" i="13"/>
  <c r="F4396" i="13"/>
  <c r="F4397" i="13"/>
  <c r="F4398" i="13"/>
  <c r="F4399" i="13"/>
  <c r="F4400" i="13"/>
  <c r="F4401" i="13"/>
  <c r="F4402" i="13"/>
  <c r="F4403" i="13"/>
  <c r="F4404" i="13"/>
  <c r="F4405" i="13"/>
  <c r="F4406" i="13"/>
  <c r="F4407" i="13"/>
  <c r="F4408" i="13"/>
  <c r="F4409" i="13"/>
  <c r="F4410" i="13"/>
  <c r="F4411" i="13"/>
  <c r="F4412" i="13"/>
  <c r="F4413" i="13"/>
  <c r="F4414" i="13"/>
  <c r="F4415" i="13"/>
  <c r="F4416" i="13"/>
  <c r="F4417" i="13"/>
  <c r="F4418" i="13"/>
  <c r="F4419" i="13"/>
  <c r="F4420" i="13"/>
  <c r="F4421" i="13"/>
  <c r="F4422" i="13"/>
  <c r="F4423" i="13"/>
  <c r="F4424" i="13"/>
  <c r="F4425" i="13"/>
  <c r="F4426" i="13"/>
  <c r="F4427" i="13"/>
  <c r="F4428" i="13"/>
  <c r="F4429" i="13"/>
  <c r="F4430" i="13"/>
  <c r="F4431" i="13"/>
  <c r="F4432" i="13"/>
  <c r="F4433" i="13"/>
  <c r="F4434" i="13"/>
  <c r="F4435" i="13"/>
  <c r="F4436" i="13"/>
  <c r="F4437" i="13"/>
  <c r="F4438" i="13"/>
  <c r="F4439" i="13"/>
  <c r="F4440" i="13"/>
  <c r="F4441" i="13"/>
  <c r="F4442" i="13"/>
  <c r="F4443" i="13"/>
  <c r="F4444" i="13"/>
  <c r="F4445" i="13"/>
  <c r="F4446" i="13"/>
  <c r="F4447" i="13"/>
  <c r="F4448" i="13"/>
  <c r="F4449" i="13"/>
  <c r="F4450" i="13"/>
  <c r="F4451" i="13"/>
  <c r="F4452" i="13"/>
  <c r="F4453" i="13"/>
  <c r="F4454" i="13"/>
  <c r="F4455" i="13"/>
  <c r="F4456" i="13"/>
  <c r="F4457" i="13"/>
  <c r="F4458" i="13"/>
  <c r="F4459" i="13"/>
  <c r="F4460" i="13"/>
  <c r="F4461" i="13"/>
  <c r="F4462" i="13"/>
  <c r="F4463" i="13"/>
  <c r="F4464" i="13"/>
  <c r="F4465" i="13"/>
  <c r="F4466" i="13"/>
  <c r="F4467" i="13"/>
  <c r="F4468" i="13"/>
  <c r="F4469" i="13"/>
  <c r="F4470" i="13"/>
  <c r="F4471" i="13"/>
  <c r="F4472" i="13"/>
  <c r="F4473" i="13"/>
  <c r="F4474" i="13"/>
  <c r="F4475" i="13"/>
  <c r="F4476" i="13"/>
  <c r="F4477" i="13"/>
  <c r="F4478" i="13"/>
  <c r="F4479" i="13"/>
  <c r="F4480" i="13"/>
  <c r="F4481" i="13"/>
  <c r="F4482" i="13"/>
  <c r="F4483" i="13"/>
  <c r="F4484" i="13"/>
  <c r="F4485" i="13"/>
  <c r="F4486" i="13"/>
  <c r="F4487" i="13"/>
  <c r="F4488" i="13"/>
  <c r="F4489" i="13"/>
  <c r="F4490" i="13"/>
  <c r="F4491" i="13"/>
  <c r="F4492" i="13"/>
  <c r="F4493" i="13"/>
  <c r="F4494" i="13"/>
  <c r="F4495" i="13"/>
  <c r="F4496" i="13"/>
  <c r="F4497" i="13"/>
  <c r="F4498" i="13"/>
  <c r="F4499" i="13"/>
  <c r="F4500" i="13"/>
  <c r="F4501" i="13"/>
  <c r="F4502" i="13"/>
  <c r="F4503" i="13"/>
  <c r="F4504" i="13"/>
  <c r="F4505" i="13"/>
  <c r="F4506" i="13"/>
  <c r="F4507" i="13"/>
  <c r="F4508" i="13"/>
  <c r="F4509" i="13"/>
  <c r="F4510" i="13"/>
  <c r="F4511" i="13"/>
  <c r="F4512" i="13"/>
  <c r="F4513" i="13"/>
  <c r="F4514" i="13"/>
  <c r="F4515" i="13"/>
  <c r="F4516" i="13"/>
  <c r="F4517" i="13"/>
  <c r="F4518" i="13"/>
  <c r="F4519" i="13"/>
  <c r="F4520" i="13"/>
  <c r="F4521" i="13"/>
  <c r="F4522" i="13"/>
  <c r="F4523" i="13"/>
  <c r="F4524" i="13"/>
  <c r="F4525" i="13"/>
  <c r="F4526" i="13"/>
  <c r="F4527" i="13"/>
  <c r="F4528" i="13"/>
  <c r="F4529" i="13"/>
  <c r="F4530" i="13"/>
  <c r="F4531" i="13"/>
  <c r="F4532" i="13"/>
  <c r="F4533" i="13"/>
  <c r="F4534" i="13"/>
  <c r="F4535" i="13"/>
  <c r="F4536" i="13"/>
  <c r="F4537" i="13"/>
  <c r="F4538" i="13"/>
  <c r="F4539" i="13"/>
  <c r="F4540" i="13"/>
  <c r="F4541" i="13"/>
  <c r="F4542" i="13"/>
  <c r="F4543" i="13"/>
  <c r="F4544" i="13"/>
  <c r="F4545" i="13"/>
  <c r="F4546" i="13"/>
  <c r="F4547" i="13"/>
  <c r="F4548" i="13"/>
  <c r="F4549" i="13"/>
  <c r="F4550" i="13"/>
  <c r="F4551" i="13"/>
  <c r="F4552" i="13"/>
  <c r="F4553" i="13"/>
  <c r="F4554" i="13"/>
  <c r="F4555" i="13"/>
  <c r="F4556" i="13"/>
  <c r="F4557" i="13"/>
  <c r="F4558" i="13"/>
  <c r="F4559" i="13"/>
  <c r="F4560" i="13"/>
  <c r="F4561" i="13"/>
  <c r="F4562" i="13"/>
  <c r="F4563" i="13"/>
  <c r="F4564" i="13"/>
  <c r="F4565" i="13"/>
  <c r="F4566" i="13"/>
  <c r="F4567" i="13"/>
  <c r="F4568" i="13"/>
  <c r="F4569" i="13"/>
  <c r="F4570" i="13"/>
  <c r="F4571" i="13"/>
  <c r="F4572" i="13"/>
  <c r="F4573" i="13"/>
  <c r="F4574" i="13"/>
  <c r="F4575" i="13"/>
  <c r="F4576" i="13"/>
  <c r="F4577" i="13"/>
  <c r="F4578" i="13"/>
  <c r="F4579" i="13"/>
  <c r="F4580" i="13"/>
  <c r="F4581" i="13"/>
  <c r="F4582" i="13"/>
  <c r="F4583" i="13"/>
  <c r="F4584" i="13"/>
  <c r="F4585" i="13"/>
  <c r="F4586" i="13"/>
  <c r="F4587" i="13"/>
  <c r="F4588" i="13"/>
  <c r="F4589" i="13"/>
  <c r="F4590" i="13"/>
  <c r="F4591" i="13"/>
  <c r="F4592" i="13"/>
  <c r="F4593" i="13"/>
  <c r="F4594" i="13"/>
  <c r="F4595" i="13"/>
  <c r="F4596" i="13"/>
  <c r="F4597" i="13"/>
  <c r="F4598" i="13"/>
  <c r="F4599" i="13"/>
  <c r="F4600" i="13"/>
  <c r="F4601" i="13"/>
  <c r="F4602" i="13"/>
  <c r="F4603" i="13"/>
  <c r="F4604" i="13"/>
  <c r="F4605" i="13"/>
  <c r="F4606" i="13"/>
  <c r="F4607" i="13"/>
  <c r="F4608" i="13"/>
  <c r="F4609" i="13"/>
  <c r="F4610" i="13"/>
  <c r="F4611" i="13"/>
  <c r="F4612" i="13"/>
  <c r="F4613" i="13"/>
  <c r="F4614" i="13"/>
  <c r="F4615" i="13"/>
  <c r="F4616" i="13"/>
  <c r="F4617" i="13"/>
  <c r="F4618" i="13"/>
  <c r="F4619" i="13"/>
  <c r="F4620" i="13"/>
  <c r="F4621" i="13"/>
  <c r="F4622" i="13"/>
  <c r="F4623" i="13"/>
  <c r="F4624" i="13"/>
  <c r="F4625" i="13"/>
  <c r="F4626" i="13"/>
  <c r="F4627" i="13"/>
  <c r="F4628" i="13"/>
  <c r="F4629" i="13"/>
  <c r="F4630" i="13"/>
  <c r="F4631" i="13"/>
  <c r="F4632" i="13"/>
  <c r="F4633" i="13"/>
  <c r="F4634" i="13"/>
  <c r="F4635" i="13"/>
  <c r="F4636" i="13"/>
  <c r="F4637" i="13"/>
  <c r="F4638" i="13"/>
  <c r="F4639" i="13"/>
  <c r="F4640" i="13"/>
  <c r="F4641" i="13"/>
  <c r="F4642" i="13"/>
  <c r="F4643" i="13"/>
  <c r="F4644" i="13"/>
  <c r="F4645" i="13"/>
  <c r="F4646" i="13"/>
  <c r="F4647" i="13"/>
  <c r="F4648" i="13"/>
  <c r="F4649" i="13"/>
  <c r="F4650" i="13"/>
  <c r="F4651" i="13"/>
  <c r="F4652" i="13"/>
  <c r="F4653" i="13"/>
  <c r="F4654" i="13"/>
  <c r="F4655" i="13"/>
  <c r="F4656" i="13"/>
  <c r="F4657" i="13"/>
  <c r="F4658" i="13"/>
  <c r="F4659" i="13"/>
  <c r="F4660" i="13"/>
  <c r="F4661" i="13"/>
  <c r="F4662" i="13"/>
  <c r="F4663" i="13"/>
  <c r="F4664" i="13"/>
  <c r="F4665" i="13"/>
  <c r="F4666" i="13"/>
  <c r="F4667" i="13"/>
  <c r="F4668" i="13"/>
  <c r="F4669" i="13"/>
  <c r="F4670" i="13"/>
  <c r="F4671" i="13"/>
  <c r="F4672" i="13"/>
  <c r="F4673" i="13"/>
  <c r="F4674" i="13"/>
  <c r="F4675" i="13"/>
  <c r="F4676" i="13"/>
  <c r="F4677" i="13"/>
  <c r="F4678" i="13"/>
  <c r="F4679" i="13"/>
  <c r="F4680" i="13"/>
  <c r="F4681" i="13"/>
  <c r="F4682" i="13"/>
  <c r="F4683" i="13"/>
  <c r="F4684" i="13"/>
  <c r="F4685" i="13"/>
  <c r="F4686" i="13"/>
  <c r="F4687" i="13"/>
  <c r="F4688" i="13"/>
  <c r="F4689" i="13"/>
  <c r="F4690" i="13"/>
  <c r="F4691" i="13"/>
  <c r="F4692" i="13"/>
  <c r="F4693" i="13"/>
  <c r="F4694" i="13"/>
  <c r="F4695" i="13"/>
  <c r="F4696" i="13"/>
  <c r="F4697" i="13"/>
  <c r="F4698" i="13"/>
  <c r="F4699" i="13"/>
  <c r="F4700" i="13"/>
  <c r="F4701" i="13"/>
  <c r="F4702" i="13"/>
  <c r="F4703" i="13"/>
  <c r="F4704" i="13"/>
  <c r="F4705" i="13"/>
  <c r="F4706" i="13"/>
  <c r="F4707" i="13"/>
  <c r="F4708" i="13"/>
  <c r="F4709" i="13"/>
  <c r="F4710" i="13"/>
  <c r="F4711" i="13"/>
  <c r="F4712" i="13"/>
  <c r="F4713" i="13"/>
  <c r="F4714" i="13"/>
  <c r="F4715" i="13"/>
  <c r="F4716" i="13"/>
  <c r="F4717" i="13"/>
  <c r="F4718" i="13"/>
  <c r="F4719" i="13"/>
  <c r="F4720" i="13"/>
  <c r="F4721" i="13"/>
  <c r="F4722" i="13"/>
  <c r="F4723" i="13"/>
  <c r="F4724" i="13"/>
  <c r="F4725" i="13"/>
  <c r="F4726" i="13"/>
  <c r="F4727" i="13"/>
  <c r="F4728" i="13"/>
  <c r="F4729" i="13"/>
  <c r="F4730" i="13"/>
  <c r="F4731" i="13"/>
  <c r="F4732" i="13"/>
  <c r="F4733" i="13"/>
  <c r="F4734" i="13"/>
  <c r="F4735" i="13"/>
  <c r="F4736" i="13"/>
  <c r="F4737" i="13"/>
  <c r="F4738" i="13"/>
  <c r="F4739" i="13"/>
  <c r="F4740" i="13"/>
  <c r="F4741" i="13"/>
  <c r="F4742" i="13"/>
  <c r="F4743" i="13"/>
  <c r="F4744" i="13"/>
  <c r="F4745" i="13"/>
  <c r="F4746" i="13"/>
  <c r="F4747" i="13"/>
  <c r="F4748" i="13"/>
  <c r="F4749" i="13"/>
  <c r="F4750" i="13"/>
  <c r="F4751" i="13"/>
  <c r="F4752" i="13"/>
  <c r="F4753" i="13"/>
  <c r="F4754" i="13"/>
  <c r="F4755" i="13"/>
  <c r="F4756" i="13"/>
  <c r="F4757" i="13"/>
  <c r="F4758" i="13"/>
  <c r="F4759" i="13"/>
  <c r="F4760" i="13"/>
  <c r="F4761" i="13"/>
  <c r="F4762" i="13"/>
  <c r="F4763" i="13"/>
  <c r="F4764" i="13"/>
  <c r="F4765" i="13"/>
  <c r="F4766" i="13"/>
  <c r="F4767" i="13"/>
  <c r="F4768" i="13"/>
  <c r="F4769" i="13"/>
  <c r="F4770" i="13"/>
  <c r="F4771" i="13"/>
  <c r="F4772" i="13"/>
  <c r="F4773" i="13"/>
  <c r="F4774" i="13"/>
  <c r="F4775" i="13"/>
  <c r="F4776" i="13"/>
  <c r="F4777" i="13"/>
  <c r="F4778" i="13"/>
  <c r="F4779" i="13"/>
  <c r="F4780" i="13"/>
  <c r="F4781" i="13"/>
  <c r="F4782" i="13"/>
  <c r="F4783" i="13"/>
  <c r="F4784" i="13"/>
  <c r="F4785" i="13"/>
  <c r="F4786" i="13"/>
  <c r="F4787" i="13"/>
  <c r="F4788" i="13"/>
  <c r="F4789" i="13"/>
  <c r="F4790" i="13"/>
  <c r="F4791" i="13"/>
  <c r="F4792" i="13"/>
  <c r="F4793" i="13"/>
  <c r="F4794" i="13"/>
  <c r="F4795" i="13"/>
  <c r="F4796" i="13"/>
  <c r="F4797" i="13"/>
  <c r="F4798" i="13"/>
  <c r="F4799" i="13"/>
  <c r="F4800" i="13"/>
  <c r="F4801" i="13"/>
  <c r="F4802" i="13"/>
  <c r="F4803" i="13"/>
  <c r="F4804" i="13"/>
  <c r="F4805" i="13"/>
  <c r="F4806" i="13"/>
  <c r="F4807" i="13"/>
  <c r="F4808" i="13"/>
  <c r="F4809" i="13"/>
  <c r="F4810" i="13"/>
  <c r="F4811" i="13"/>
  <c r="F4812" i="13"/>
  <c r="F4813" i="13"/>
  <c r="F4814" i="13"/>
  <c r="F4815" i="13"/>
  <c r="F4816" i="13"/>
  <c r="F4817" i="13"/>
  <c r="F4818" i="13"/>
  <c r="F4819" i="13"/>
  <c r="F4820" i="13"/>
  <c r="F4821" i="13"/>
  <c r="F4822" i="13"/>
  <c r="F4823" i="13"/>
  <c r="F4824" i="13"/>
  <c r="F4825" i="13"/>
  <c r="F4826" i="13"/>
  <c r="F4827" i="13"/>
  <c r="F4828" i="13"/>
  <c r="F4829" i="13"/>
  <c r="F4830" i="13"/>
  <c r="F4831" i="13"/>
  <c r="F4832" i="13"/>
  <c r="F4833" i="13"/>
  <c r="F4834" i="13"/>
  <c r="F4835" i="13"/>
  <c r="F4836" i="13"/>
  <c r="F4837" i="13"/>
  <c r="F4838" i="13"/>
  <c r="F4839" i="13"/>
  <c r="F4840" i="13"/>
  <c r="F4841" i="13"/>
  <c r="F4842" i="13"/>
  <c r="F4843" i="13"/>
  <c r="F4844" i="13"/>
  <c r="F4845" i="13"/>
  <c r="F4846" i="13"/>
  <c r="F4847" i="13"/>
  <c r="F4848" i="13"/>
  <c r="F4849" i="13"/>
  <c r="F4850" i="13"/>
  <c r="F4851" i="13"/>
  <c r="F4852" i="13"/>
  <c r="F4853" i="13"/>
  <c r="F4854" i="13"/>
  <c r="F4855" i="13"/>
  <c r="F4856" i="13"/>
  <c r="F4857" i="13"/>
  <c r="F4858" i="13"/>
  <c r="F4859" i="13"/>
  <c r="F4860" i="13"/>
  <c r="F4861" i="13"/>
  <c r="F4862" i="13"/>
  <c r="F4863" i="13"/>
  <c r="F4864" i="13"/>
  <c r="F4865" i="13"/>
  <c r="F4866" i="13"/>
  <c r="F4867" i="13"/>
  <c r="F4868" i="13"/>
  <c r="F4869" i="13"/>
  <c r="F4870" i="13"/>
  <c r="F4871" i="13"/>
  <c r="F4872" i="13"/>
  <c r="F4873" i="13"/>
  <c r="F4874" i="13"/>
  <c r="F4875" i="13"/>
  <c r="F4876" i="13"/>
  <c r="F4877" i="13"/>
  <c r="F4878" i="13"/>
  <c r="F4879" i="13"/>
  <c r="F4880" i="13"/>
  <c r="F4881" i="13"/>
  <c r="F4882" i="13"/>
  <c r="F4883" i="13"/>
  <c r="F4884" i="13"/>
  <c r="F4885" i="13"/>
  <c r="F4886" i="13"/>
  <c r="F4887" i="13"/>
  <c r="F4888" i="13"/>
  <c r="F4889" i="13"/>
  <c r="F4890" i="13"/>
  <c r="F4891" i="13"/>
  <c r="F4892" i="13"/>
  <c r="F4893" i="13"/>
  <c r="F4894" i="13"/>
  <c r="F4895" i="13"/>
  <c r="F4896" i="13"/>
  <c r="F4897" i="13"/>
  <c r="F4898" i="13"/>
  <c r="F4899" i="13"/>
  <c r="F4900" i="13"/>
  <c r="F4901" i="13"/>
  <c r="F4902" i="13"/>
  <c r="F4903" i="13"/>
  <c r="F4904" i="13"/>
  <c r="F4905" i="13"/>
  <c r="F4906" i="13"/>
  <c r="F4907" i="13"/>
  <c r="F4908" i="13"/>
  <c r="F4909" i="13"/>
  <c r="F4910" i="13"/>
  <c r="F4911" i="13"/>
  <c r="F4912" i="13"/>
  <c r="F4913" i="13"/>
  <c r="F4914" i="13"/>
  <c r="F4915" i="13"/>
  <c r="F4916" i="13"/>
  <c r="F4917" i="13"/>
  <c r="F4918" i="13"/>
  <c r="F4919" i="13"/>
  <c r="F4920" i="13"/>
  <c r="F4921" i="13"/>
  <c r="F4922" i="13"/>
  <c r="F4923" i="13"/>
  <c r="F4924" i="13"/>
  <c r="F4925" i="13"/>
  <c r="F4926" i="13"/>
  <c r="F4927" i="13"/>
  <c r="F4928" i="13"/>
  <c r="F4929" i="13"/>
  <c r="F4930" i="13"/>
  <c r="F4931" i="13"/>
  <c r="F4932" i="13"/>
  <c r="F4933" i="13"/>
  <c r="F4934" i="13"/>
  <c r="F4935" i="13"/>
  <c r="F4936" i="13"/>
  <c r="F4937" i="13"/>
  <c r="F4938" i="13"/>
  <c r="F4939" i="13"/>
  <c r="F4940" i="13"/>
  <c r="F4941" i="13"/>
  <c r="F4942" i="13"/>
  <c r="F4943" i="13"/>
  <c r="F4944" i="13"/>
  <c r="F4945" i="13"/>
  <c r="F4946" i="13"/>
  <c r="F4947" i="13"/>
  <c r="F4948" i="13"/>
  <c r="F4949" i="13"/>
  <c r="F4950" i="13"/>
  <c r="F4951" i="13"/>
  <c r="F4952" i="13"/>
  <c r="F4953" i="13"/>
  <c r="F4954" i="13"/>
  <c r="F4955" i="13"/>
  <c r="F4956" i="13"/>
  <c r="F4957" i="13"/>
  <c r="F4958" i="13"/>
  <c r="F4959" i="13"/>
  <c r="F4960" i="13"/>
  <c r="F4961" i="13"/>
  <c r="F4962" i="13"/>
  <c r="F4963" i="13"/>
  <c r="F4964" i="13"/>
  <c r="F4965" i="13"/>
  <c r="F4966" i="13"/>
  <c r="F4967" i="13"/>
  <c r="F4968" i="13"/>
  <c r="F4969" i="13"/>
  <c r="F4970" i="13"/>
  <c r="F4971" i="13"/>
  <c r="F4972" i="13"/>
  <c r="F4973" i="13"/>
  <c r="F4974" i="13"/>
  <c r="F4975" i="13"/>
  <c r="F4976" i="13"/>
  <c r="F4977" i="13"/>
  <c r="F4978" i="13"/>
  <c r="F4979" i="13"/>
  <c r="F4980" i="13"/>
  <c r="F4981" i="13"/>
  <c r="F4982" i="13"/>
  <c r="F4983" i="13"/>
  <c r="F4984" i="13"/>
  <c r="F4985" i="13"/>
  <c r="F4986" i="13"/>
  <c r="F4987" i="13"/>
  <c r="F4988" i="13"/>
  <c r="F4989" i="13"/>
  <c r="F4990" i="13"/>
  <c r="F4991" i="13"/>
  <c r="F4992" i="13"/>
  <c r="F4993" i="13"/>
  <c r="F4994" i="13"/>
  <c r="F4995" i="13"/>
  <c r="F4996" i="13"/>
  <c r="F4997" i="13"/>
  <c r="F4998" i="13"/>
  <c r="F4999" i="13"/>
  <c r="F5000" i="13"/>
  <c r="F5001" i="13"/>
  <c r="F5002" i="13"/>
  <c r="F5003" i="13"/>
  <c r="F5004" i="13"/>
  <c r="F5005" i="13"/>
  <c r="F5006" i="13"/>
  <c r="F5007" i="13"/>
  <c r="F5008" i="13"/>
  <c r="F5009" i="13"/>
  <c r="F5010" i="13"/>
  <c r="F5011" i="13"/>
  <c r="F5012" i="13"/>
  <c r="F5013" i="13"/>
  <c r="F5014" i="13"/>
  <c r="F5015" i="13"/>
  <c r="F5016" i="13"/>
  <c r="F5017" i="13"/>
  <c r="F5018" i="13"/>
  <c r="F5019" i="13"/>
  <c r="F5020" i="13"/>
  <c r="F5021" i="13"/>
  <c r="F5022" i="13"/>
  <c r="F5023" i="13"/>
  <c r="F5024" i="13"/>
  <c r="F5025" i="13"/>
  <c r="F5026" i="13"/>
  <c r="F5027" i="13"/>
  <c r="F5028" i="13"/>
  <c r="F5029" i="13"/>
  <c r="F5030" i="13"/>
  <c r="F5031" i="13"/>
  <c r="F5032" i="13"/>
  <c r="F5033" i="13"/>
  <c r="F5034" i="13"/>
  <c r="F5035" i="13"/>
  <c r="F5036" i="13"/>
  <c r="F5037" i="13"/>
  <c r="F5038" i="13"/>
  <c r="F5039" i="13"/>
  <c r="F5040" i="13"/>
  <c r="F5041" i="13"/>
  <c r="F5042" i="13"/>
  <c r="F5043" i="13"/>
  <c r="F5044" i="13"/>
  <c r="F5045" i="13"/>
  <c r="F5046" i="13"/>
  <c r="F5047" i="13"/>
  <c r="F5048" i="13"/>
  <c r="F5049" i="13"/>
  <c r="F5050" i="13"/>
  <c r="F5051" i="13"/>
  <c r="F5052" i="13"/>
  <c r="F5053" i="13"/>
  <c r="F5054" i="13"/>
  <c r="F5055" i="13"/>
  <c r="F5056" i="13"/>
  <c r="F5057" i="13"/>
  <c r="F5058" i="13"/>
  <c r="F5059" i="13"/>
  <c r="F5060" i="13"/>
  <c r="F5061" i="13"/>
  <c r="F5062" i="13"/>
  <c r="F5063" i="13"/>
  <c r="F5064" i="13"/>
  <c r="F5065" i="13"/>
  <c r="F5066" i="13"/>
  <c r="F5067" i="13"/>
  <c r="F5068" i="13"/>
  <c r="F5069" i="13"/>
  <c r="F5070" i="13"/>
  <c r="F5071" i="13"/>
  <c r="F5072" i="13"/>
  <c r="F5073" i="13"/>
  <c r="F5074" i="13"/>
  <c r="F5075" i="13"/>
  <c r="F5076" i="13"/>
  <c r="F5077" i="13"/>
  <c r="F5078" i="13"/>
  <c r="F5079" i="13"/>
  <c r="F5080" i="13"/>
  <c r="F5081" i="13"/>
  <c r="F5082" i="13"/>
  <c r="F5083" i="13"/>
  <c r="F5084" i="13"/>
  <c r="F5085" i="13"/>
  <c r="F5086" i="13"/>
  <c r="F5087" i="13"/>
  <c r="F5088" i="13"/>
  <c r="F5089" i="13"/>
  <c r="F5090" i="13"/>
  <c r="F5091" i="13"/>
  <c r="F5092" i="13"/>
  <c r="F5093" i="13"/>
  <c r="F5094" i="13"/>
  <c r="F5095" i="13"/>
  <c r="F5096" i="13"/>
  <c r="F5097" i="13"/>
  <c r="F5098" i="13"/>
  <c r="F5099" i="13"/>
  <c r="F5100" i="13"/>
  <c r="F5101" i="13"/>
  <c r="F5102" i="13"/>
  <c r="F5103" i="13"/>
  <c r="F5104" i="13"/>
  <c r="F5105" i="13"/>
  <c r="F5106" i="13"/>
  <c r="F5107" i="13"/>
  <c r="F5108" i="13"/>
  <c r="F5109" i="13"/>
  <c r="F5110" i="13"/>
  <c r="F5111" i="13"/>
  <c r="F5112" i="13"/>
  <c r="F5113" i="13"/>
  <c r="F5114" i="13"/>
  <c r="F5115" i="13"/>
  <c r="F5116" i="13"/>
  <c r="F5117" i="13"/>
  <c r="F5118" i="13"/>
  <c r="F5119" i="13"/>
  <c r="F5120" i="13"/>
  <c r="F5121" i="13"/>
  <c r="F5122" i="13"/>
  <c r="F5123" i="13"/>
  <c r="F5124" i="13"/>
  <c r="F5125" i="13"/>
  <c r="F5126" i="13"/>
  <c r="F5127" i="13"/>
  <c r="F5128" i="13"/>
  <c r="F5129" i="13"/>
  <c r="F5130" i="13"/>
  <c r="F5131" i="13"/>
  <c r="F5132" i="13"/>
  <c r="F5133" i="13"/>
  <c r="F5134" i="13"/>
  <c r="F5135" i="13"/>
  <c r="F5136" i="13"/>
  <c r="F5137" i="13"/>
  <c r="F5138" i="13"/>
  <c r="F5139" i="13"/>
  <c r="F5140" i="13"/>
  <c r="F5141" i="13"/>
  <c r="F5142" i="13"/>
  <c r="F5143" i="13"/>
  <c r="F5144" i="13"/>
  <c r="F5145" i="13"/>
  <c r="F5146" i="13"/>
  <c r="F5147" i="13"/>
  <c r="F5148" i="13"/>
  <c r="F5149" i="13"/>
  <c r="F5150" i="13"/>
  <c r="F5151" i="13"/>
  <c r="F5152" i="13"/>
  <c r="F5153" i="13"/>
  <c r="F5154" i="13"/>
  <c r="F5155" i="13"/>
  <c r="F5156" i="13"/>
  <c r="F5157" i="13"/>
  <c r="F5158" i="13"/>
  <c r="F5159" i="13"/>
  <c r="F5160" i="13"/>
  <c r="F5161" i="13"/>
  <c r="F5162" i="13"/>
  <c r="F5163" i="13"/>
  <c r="F5164" i="13"/>
  <c r="F5165" i="13"/>
  <c r="F5166" i="13"/>
  <c r="F5167" i="13"/>
  <c r="F5168" i="13"/>
  <c r="F5169" i="13"/>
  <c r="F5170" i="13"/>
  <c r="F5171" i="13"/>
  <c r="F5172" i="13"/>
  <c r="F5173" i="13"/>
  <c r="F5174" i="13"/>
  <c r="F5175" i="13"/>
  <c r="F5176" i="13"/>
  <c r="F5177" i="13"/>
  <c r="F5178" i="13"/>
  <c r="F5179" i="13"/>
  <c r="F5180" i="13"/>
  <c r="F5181" i="13"/>
  <c r="F5182" i="13"/>
  <c r="F5183" i="13"/>
  <c r="F5184" i="13"/>
  <c r="F5185" i="13"/>
  <c r="F5186" i="13"/>
  <c r="F5187" i="13"/>
  <c r="F5188" i="13"/>
  <c r="F5189" i="13"/>
  <c r="F5190" i="13"/>
  <c r="F5191" i="13"/>
  <c r="F5192" i="13"/>
  <c r="F5193" i="13"/>
  <c r="F5194" i="13"/>
  <c r="F5195" i="13"/>
  <c r="F5196" i="13"/>
  <c r="F5197" i="13"/>
  <c r="F5198" i="13"/>
  <c r="F5199" i="13"/>
  <c r="F5200" i="13"/>
  <c r="F5201" i="13"/>
  <c r="F5202" i="13"/>
  <c r="F5203" i="13"/>
  <c r="F5204" i="13"/>
  <c r="F5205" i="13"/>
  <c r="F5206" i="13"/>
  <c r="F5207" i="13"/>
  <c r="F5208" i="13"/>
  <c r="F5209" i="13"/>
  <c r="F5210" i="13"/>
  <c r="F5211" i="13"/>
  <c r="F5212" i="13"/>
  <c r="F5213" i="13"/>
  <c r="F5214" i="13"/>
  <c r="F5215" i="13"/>
  <c r="F5216" i="13"/>
  <c r="F5217" i="13"/>
  <c r="F5218" i="13"/>
  <c r="F5219" i="13"/>
  <c r="F5220" i="13"/>
  <c r="F5221" i="13"/>
  <c r="F5222" i="13"/>
  <c r="F5223" i="13"/>
  <c r="F5224" i="13"/>
  <c r="F5225" i="13"/>
  <c r="F5226" i="13"/>
  <c r="F5227" i="13"/>
  <c r="F5228" i="13"/>
  <c r="F5229" i="13"/>
  <c r="F5230" i="13"/>
  <c r="F5231" i="13"/>
  <c r="F5232" i="13"/>
  <c r="F5233" i="13"/>
  <c r="F5234" i="13"/>
  <c r="F5235" i="13"/>
  <c r="F5236" i="13"/>
  <c r="F5237" i="13"/>
  <c r="F5238" i="13"/>
  <c r="F5239" i="13"/>
  <c r="F5240" i="13"/>
  <c r="F5241" i="13"/>
  <c r="F5242" i="13"/>
  <c r="F5243" i="13"/>
  <c r="F5244" i="13"/>
  <c r="F5245" i="13"/>
  <c r="F5246" i="13"/>
  <c r="F5247" i="13"/>
  <c r="F5248" i="13"/>
  <c r="F5249" i="13"/>
  <c r="F5250" i="13"/>
  <c r="F5251" i="13"/>
  <c r="F5252" i="13"/>
  <c r="F5253" i="13"/>
  <c r="F5254" i="13"/>
  <c r="F5255" i="13"/>
  <c r="F5256" i="13"/>
  <c r="F5257" i="13"/>
  <c r="F5258" i="13"/>
  <c r="F5259" i="13"/>
  <c r="F5260" i="13"/>
  <c r="F5261" i="13"/>
  <c r="F5262" i="13"/>
  <c r="F5263" i="13"/>
  <c r="F5264" i="13"/>
  <c r="F5265" i="13"/>
  <c r="F5266" i="13"/>
  <c r="F5267" i="13"/>
  <c r="F5268" i="13"/>
  <c r="F5269" i="13"/>
  <c r="F5270" i="13"/>
  <c r="F5271" i="13"/>
  <c r="F5272" i="13"/>
  <c r="F5273" i="13"/>
  <c r="F5274" i="13"/>
  <c r="F5275" i="13"/>
  <c r="F5276" i="13"/>
  <c r="F5277" i="13"/>
  <c r="F5278" i="13"/>
  <c r="F5279" i="13"/>
  <c r="F5280" i="13"/>
  <c r="F5281" i="13"/>
  <c r="F5282" i="13"/>
  <c r="F5283" i="13"/>
  <c r="F5284" i="13"/>
  <c r="F5285" i="13"/>
  <c r="F5286" i="13"/>
  <c r="F5287" i="13"/>
  <c r="F5288" i="13"/>
  <c r="F5289" i="13"/>
  <c r="F5290" i="13"/>
  <c r="F5291" i="13"/>
  <c r="F5292" i="13"/>
  <c r="F5293" i="13"/>
  <c r="F5294" i="13"/>
  <c r="F5295" i="13"/>
  <c r="F5296" i="13"/>
  <c r="F5297" i="13"/>
  <c r="F5298" i="13"/>
  <c r="F5299" i="13"/>
  <c r="F5300" i="13"/>
  <c r="F5301" i="13"/>
  <c r="F5302" i="13"/>
  <c r="F5303" i="13"/>
  <c r="F5304" i="13"/>
  <c r="F5305" i="13"/>
  <c r="F5306" i="13"/>
  <c r="F5307" i="13"/>
  <c r="F5308" i="13"/>
  <c r="F5309" i="13"/>
  <c r="F5310" i="13"/>
  <c r="F5311" i="13"/>
  <c r="F5312" i="13"/>
  <c r="F5313" i="13"/>
  <c r="F5314" i="13"/>
  <c r="F5315" i="13"/>
  <c r="F5316" i="13"/>
  <c r="F5317" i="13"/>
  <c r="F5318" i="13"/>
  <c r="F5319" i="13"/>
  <c r="F5320" i="13"/>
  <c r="F5321" i="13"/>
  <c r="F5322" i="13"/>
  <c r="F5323" i="13"/>
  <c r="F5324" i="13"/>
  <c r="F5325" i="13"/>
  <c r="F5326" i="13"/>
  <c r="F5327" i="13"/>
  <c r="F5328" i="13"/>
  <c r="F5329" i="13"/>
  <c r="F5330" i="13"/>
  <c r="F5331" i="13"/>
  <c r="F5332" i="13"/>
  <c r="F5333" i="13"/>
  <c r="F5334" i="13"/>
  <c r="F5335" i="13"/>
  <c r="F5336" i="13"/>
  <c r="F5337" i="13"/>
  <c r="F5338" i="13"/>
  <c r="F5339" i="13"/>
  <c r="F5340" i="13"/>
  <c r="F5341" i="13"/>
  <c r="F5342" i="13"/>
  <c r="F5343" i="13"/>
  <c r="F5344" i="13"/>
  <c r="F5345" i="13"/>
  <c r="F5346" i="13"/>
  <c r="F5347" i="13"/>
  <c r="F5348" i="13"/>
  <c r="F5349" i="13"/>
  <c r="F5350" i="13"/>
  <c r="F5351" i="13"/>
  <c r="F5352" i="13"/>
  <c r="F5353" i="13"/>
  <c r="F5354" i="13"/>
  <c r="F5355" i="13"/>
  <c r="F5356" i="13"/>
  <c r="F5357" i="13"/>
  <c r="F5358" i="13"/>
  <c r="F5359" i="13"/>
  <c r="F5360" i="13"/>
  <c r="F5361" i="13"/>
  <c r="F5362" i="13"/>
  <c r="F5363" i="13"/>
  <c r="F5364" i="13"/>
  <c r="F5365" i="13"/>
  <c r="F5366" i="13"/>
  <c r="F5367" i="13"/>
  <c r="F5368" i="13"/>
  <c r="F5369" i="13"/>
  <c r="F5370" i="13"/>
  <c r="F5371" i="13"/>
  <c r="F5372" i="13"/>
  <c r="F5373" i="13"/>
  <c r="F5374" i="13"/>
  <c r="F5375" i="13"/>
  <c r="F5376" i="13"/>
  <c r="F5377" i="13"/>
  <c r="F5378" i="13"/>
  <c r="F5379" i="13"/>
  <c r="F5380" i="13"/>
  <c r="F5381" i="13"/>
  <c r="F5382" i="13"/>
  <c r="F5383" i="13"/>
  <c r="F5384" i="13"/>
  <c r="F5385" i="13"/>
  <c r="F5386" i="13"/>
  <c r="F5387" i="13"/>
  <c r="F5388" i="13"/>
  <c r="F5389" i="13"/>
  <c r="F5390" i="13"/>
  <c r="F5391" i="13"/>
  <c r="F5392" i="13"/>
  <c r="F5393" i="13"/>
  <c r="F5394" i="13"/>
  <c r="F5395" i="13"/>
  <c r="F5396" i="13"/>
  <c r="F5397" i="13"/>
  <c r="F5398" i="13"/>
  <c r="F5399" i="13"/>
  <c r="F5400" i="13"/>
  <c r="F5401" i="13"/>
  <c r="F5402" i="13"/>
  <c r="F5403" i="13"/>
  <c r="F5404" i="13"/>
  <c r="F5405" i="13"/>
  <c r="F5406" i="13"/>
  <c r="F5407" i="13"/>
  <c r="F5408" i="13"/>
  <c r="F5409" i="13"/>
  <c r="F5410" i="13"/>
  <c r="F5411" i="13"/>
  <c r="F5412" i="13"/>
  <c r="F5413" i="13"/>
  <c r="F5414" i="13"/>
  <c r="F5415" i="13"/>
  <c r="F5416" i="13"/>
  <c r="F5417" i="13"/>
  <c r="F5418" i="13"/>
  <c r="F5419" i="13"/>
  <c r="F5420" i="13"/>
  <c r="F5421" i="13"/>
  <c r="F5422" i="13"/>
  <c r="F5423" i="13"/>
  <c r="F5424" i="13"/>
  <c r="F5425" i="13"/>
  <c r="F5426" i="13"/>
  <c r="F5427" i="13"/>
  <c r="F5428" i="13"/>
  <c r="F5429" i="13"/>
  <c r="F5430" i="13"/>
  <c r="F5431" i="13"/>
  <c r="F5432" i="13"/>
  <c r="F5433" i="13"/>
  <c r="F5434" i="13"/>
  <c r="F5435" i="13"/>
  <c r="F5436" i="13"/>
  <c r="F5437" i="13"/>
  <c r="F5438" i="13"/>
  <c r="F5439" i="13"/>
  <c r="F5440" i="13"/>
  <c r="F5441" i="13"/>
  <c r="F5442" i="13"/>
  <c r="F5443" i="13"/>
  <c r="F5444" i="13"/>
  <c r="F5445" i="13"/>
  <c r="F5446" i="13"/>
  <c r="F5447" i="13"/>
  <c r="F5448" i="13"/>
  <c r="F5449" i="13"/>
  <c r="F5450" i="13"/>
  <c r="F5451" i="13"/>
  <c r="F5452" i="13"/>
  <c r="F5453" i="13"/>
  <c r="F5454" i="13"/>
  <c r="F5455" i="13"/>
  <c r="F5456" i="13"/>
  <c r="F5457" i="13"/>
  <c r="F5458" i="13"/>
  <c r="F5459" i="13"/>
  <c r="F5460" i="13"/>
  <c r="F5461" i="13"/>
  <c r="F5462" i="13"/>
  <c r="F5463" i="13"/>
  <c r="F5464" i="13"/>
  <c r="F5465" i="13"/>
  <c r="F5466" i="13"/>
  <c r="F5467" i="13"/>
  <c r="F5468" i="13"/>
  <c r="F5469" i="13"/>
  <c r="F5470" i="13"/>
  <c r="F5471" i="13"/>
  <c r="F5472" i="13"/>
  <c r="F5473" i="13"/>
  <c r="F5474" i="13"/>
  <c r="F5475" i="13"/>
  <c r="F5476" i="13"/>
  <c r="F5477" i="13"/>
  <c r="F5478" i="13"/>
  <c r="F5479" i="13"/>
  <c r="F5480" i="13"/>
  <c r="F5481" i="13"/>
  <c r="F5482" i="13"/>
  <c r="F5483" i="13"/>
  <c r="F5484" i="13"/>
  <c r="F5485" i="13"/>
  <c r="F5486" i="13"/>
  <c r="F5487" i="13"/>
  <c r="F5488" i="13"/>
  <c r="F5489" i="13"/>
  <c r="F5490" i="13"/>
  <c r="F5491" i="13"/>
  <c r="F5492" i="13"/>
  <c r="F5493" i="13"/>
  <c r="F5494" i="13"/>
  <c r="F5495" i="13"/>
  <c r="F5496" i="13"/>
  <c r="F5497" i="13"/>
  <c r="F5498" i="13"/>
  <c r="F5499" i="13"/>
  <c r="F5500" i="13"/>
  <c r="F5501" i="13"/>
  <c r="F5502" i="13"/>
  <c r="F5503" i="13"/>
  <c r="F5504" i="13"/>
  <c r="F5505" i="13"/>
  <c r="F5506" i="13"/>
  <c r="F5507" i="13"/>
  <c r="F5508" i="13"/>
  <c r="F5509" i="13"/>
  <c r="F5510" i="13"/>
  <c r="F5511" i="13"/>
  <c r="F5512" i="13"/>
  <c r="F5513" i="13"/>
  <c r="F5514" i="13"/>
  <c r="F5515" i="13"/>
  <c r="F5516" i="13"/>
  <c r="F5517" i="13"/>
  <c r="F5518" i="13"/>
  <c r="F5519" i="13"/>
  <c r="F5520" i="13"/>
  <c r="F5521" i="13"/>
  <c r="F5522" i="13"/>
  <c r="F5523" i="13"/>
  <c r="F5524" i="13"/>
  <c r="F5525" i="13"/>
  <c r="F5526" i="13"/>
  <c r="F5527" i="13"/>
  <c r="F5528" i="13"/>
  <c r="F5529" i="13"/>
  <c r="F5530" i="13"/>
  <c r="F5531" i="13"/>
  <c r="F5532" i="13"/>
  <c r="F5533" i="13"/>
  <c r="F5534" i="13"/>
  <c r="F5535" i="13"/>
  <c r="F5536" i="13"/>
  <c r="F5537" i="13"/>
  <c r="F5538" i="13"/>
  <c r="F5539" i="13"/>
  <c r="F5540" i="13"/>
  <c r="F5541" i="13"/>
  <c r="F5542" i="13"/>
  <c r="F5543" i="13"/>
  <c r="F5544" i="13"/>
  <c r="F5545" i="13"/>
  <c r="F5546" i="13"/>
  <c r="F5547" i="13"/>
  <c r="F5548" i="13"/>
  <c r="F5549" i="13"/>
  <c r="F5550" i="13"/>
  <c r="F5551" i="13"/>
  <c r="F5552" i="13"/>
  <c r="F5553" i="13"/>
  <c r="F5554" i="13"/>
  <c r="F5555" i="13"/>
  <c r="F5556" i="13"/>
  <c r="F5557" i="13"/>
  <c r="F5558" i="13"/>
  <c r="F5559" i="13"/>
  <c r="F5560" i="13"/>
  <c r="F5561" i="13"/>
  <c r="F5562" i="13"/>
  <c r="F5563" i="13"/>
  <c r="F5564" i="13"/>
  <c r="F5565" i="13"/>
  <c r="F5566" i="13"/>
  <c r="F5567" i="13"/>
  <c r="F5568" i="13"/>
  <c r="F5569" i="13"/>
  <c r="F5570" i="13"/>
  <c r="F5571" i="13"/>
  <c r="F5572" i="13"/>
  <c r="F5573" i="13"/>
  <c r="F5574" i="13"/>
  <c r="F5575" i="13"/>
  <c r="F5576" i="13"/>
  <c r="F5577" i="13"/>
  <c r="F5578" i="13"/>
  <c r="F5579" i="13"/>
  <c r="F5580" i="13"/>
  <c r="F5581" i="13"/>
  <c r="F5582" i="13"/>
  <c r="F5583" i="13"/>
  <c r="F5584" i="13"/>
  <c r="F5585" i="13"/>
  <c r="F5586" i="13"/>
  <c r="F5587" i="13"/>
  <c r="F5588" i="13"/>
  <c r="F5589" i="13"/>
  <c r="F5590" i="13"/>
  <c r="F5591" i="13"/>
  <c r="F5592" i="13"/>
  <c r="F5593" i="13"/>
  <c r="F5594" i="13"/>
  <c r="F5595" i="13"/>
  <c r="F5596" i="13"/>
  <c r="F5597" i="13"/>
  <c r="F5598" i="13"/>
  <c r="F5599" i="13"/>
  <c r="F5600" i="13"/>
  <c r="F5601" i="13"/>
  <c r="F5602" i="13"/>
  <c r="F5603" i="13"/>
  <c r="F5604" i="13"/>
  <c r="F5605" i="13"/>
  <c r="F5606" i="13"/>
  <c r="F5607" i="13"/>
  <c r="F5608" i="13"/>
  <c r="F5609" i="13"/>
  <c r="F5610" i="13"/>
  <c r="F5611" i="13"/>
  <c r="F5612" i="13"/>
  <c r="F5613" i="13"/>
  <c r="F5614" i="13"/>
  <c r="F5615" i="13"/>
  <c r="F5616" i="13"/>
  <c r="F5617" i="13"/>
  <c r="F5618" i="13"/>
  <c r="F5619" i="13"/>
  <c r="F5620" i="13"/>
  <c r="F5621" i="13"/>
  <c r="F5622" i="13"/>
  <c r="F5623" i="13"/>
  <c r="F5624" i="13"/>
  <c r="F5625" i="13"/>
  <c r="F5626" i="13"/>
  <c r="F5627" i="13"/>
  <c r="F5628" i="13"/>
  <c r="F5629" i="13"/>
  <c r="F5630" i="13"/>
  <c r="F5631" i="13"/>
  <c r="F5632" i="13"/>
  <c r="F5633" i="13"/>
  <c r="F5634" i="13"/>
  <c r="F5635" i="13"/>
  <c r="F5636" i="13"/>
  <c r="F5637" i="13"/>
  <c r="F5638" i="13"/>
  <c r="F5639" i="13"/>
  <c r="F5640" i="13"/>
  <c r="F5641" i="13"/>
  <c r="F5642" i="13"/>
  <c r="F5643" i="13"/>
  <c r="F5644" i="13"/>
  <c r="F5645" i="13"/>
  <c r="F5646" i="13"/>
  <c r="F5647" i="13"/>
  <c r="F5648" i="13"/>
  <c r="F5649" i="13"/>
  <c r="F5650" i="13"/>
  <c r="F5651" i="13"/>
  <c r="F5652" i="13"/>
  <c r="F5653" i="13"/>
  <c r="F5654" i="13"/>
  <c r="F5655" i="13"/>
  <c r="F5656" i="13"/>
  <c r="F5657" i="13"/>
  <c r="F5658" i="13"/>
  <c r="F5659" i="13"/>
  <c r="F5660" i="13"/>
  <c r="F5661" i="13"/>
  <c r="F5662" i="13"/>
  <c r="F5663" i="13"/>
  <c r="F5664" i="13"/>
  <c r="F5665" i="13"/>
  <c r="F5666" i="13"/>
  <c r="F5667" i="13"/>
  <c r="F5668" i="13"/>
  <c r="F5669" i="13"/>
  <c r="F5670" i="13"/>
  <c r="F5671" i="13"/>
  <c r="F5672" i="13"/>
  <c r="F5673" i="13"/>
  <c r="F5674" i="13"/>
  <c r="F5675" i="13"/>
  <c r="F5676" i="13"/>
  <c r="F5677" i="13"/>
  <c r="F5678" i="13"/>
  <c r="F5679" i="13"/>
  <c r="F5680" i="13"/>
  <c r="F5681" i="13"/>
  <c r="F5682" i="13"/>
  <c r="F5683" i="13"/>
  <c r="F5684" i="13"/>
  <c r="F5685" i="13"/>
  <c r="F5686" i="13"/>
  <c r="F5687" i="13"/>
  <c r="F5688" i="13"/>
  <c r="F5689" i="13"/>
  <c r="F5690" i="13"/>
  <c r="F5691" i="13"/>
  <c r="F5692" i="13"/>
  <c r="F5693" i="13"/>
  <c r="F5694" i="13"/>
  <c r="F5695" i="13"/>
  <c r="F5696" i="13"/>
  <c r="F5697" i="13"/>
  <c r="F5698" i="13"/>
  <c r="F5699" i="13"/>
  <c r="F5700" i="13"/>
  <c r="F5701" i="13"/>
  <c r="F5702" i="13"/>
  <c r="F5703" i="13"/>
  <c r="F5704" i="13"/>
  <c r="F5705" i="13"/>
  <c r="F5706" i="13"/>
  <c r="F5707" i="13"/>
  <c r="F5708" i="13"/>
  <c r="F5709" i="13"/>
  <c r="F5710" i="13"/>
  <c r="F5711" i="13"/>
  <c r="F5712" i="13"/>
  <c r="F5713" i="13"/>
  <c r="F5714" i="13"/>
  <c r="F5715" i="13"/>
  <c r="F5716" i="13"/>
  <c r="F5717" i="13"/>
  <c r="F5718" i="13"/>
  <c r="F5719" i="13"/>
  <c r="F5720" i="13"/>
  <c r="F5721" i="13"/>
  <c r="F5722" i="13"/>
  <c r="F5723" i="13"/>
  <c r="F5724" i="13"/>
  <c r="F5725" i="13"/>
  <c r="F5726" i="13"/>
  <c r="F5727" i="13"/>
  <c r="F5728" i="13"/>
  <c r="F5729" i="13"/>
  <c r="F5730" i="13"/>
  <c r="F5731" i="13"/>
  <c r="F5732" i="13"/>
  <c r="F5733" i="13"/>
  <c r="F5734" i="13"/>
  <c r="F5735" i="13"/>
  <c r="F5736" i="13"/>
  <c r="F5737" i="13"/>
  <c r="F5738" i="13"/>
  <c r="F5739" i="13"/>
  <c r="F5740" i="13"/>
  <c r="F5741" i="13"/>
  <c r="F5742" i="13"/>
  <c r="F5743" i="13"/>
  <c r="F5744" i="13"/>
  <c r="F5745" i="13"/>
  <c r="F5746" i="13"/>
  <c r="F5747" i="13"/>
  <c r="F5748" i="13"/>
  <c r="F5749" i="13"/>
  <c r="F5750" i="13"/>
  <c r="F5751" i="13"/>
  <c r="F5752" i="13"/>
  <c r="F5753" i="13"/>
  <c r="F5754" i="13"/>
  <c r="F5755" i="13"/>
  <c r="F5756" i="13"/>
  <c r="F5757" i="13"/>
  <c r="F5758" i="13"/>
  <c r="F5759" i="13"/>
  <c r="F5760" i="13"/>
  <c r="F5761" i="13"/>
  <c r="F5762" i="13"/>
  <c r="F5763" i="13"/>
  <c r="F5764" i="13"/>
  <c r="F5765" i="13"/>
  <c r="F5766" i="13"/>
  <c r="F5767" i="13"/>
  <c r="F5768" i="13"/>
  <c r="F5769" i="13"/>
  <c r="F5770" i="13"/>
  <c r="F5771" i="13"/>
  <c r="F5772" i="13"/>
  <c r="F5773" i="13"/>
  <c r="F5774" i="13"/>
  <c r="F5775" i="13"/>
  <c r="F5776" i="13"/>
  <c r="F5777" i="13"/>
  <c r="F5778" i="13"/>
  <c r="F5779" i="13"/>
  <c r="F5780" i="13"/>
  <c r="F5781" i="13"/>
  <c r="F5782" i="13"/>
  <c r="F5783" i="13"/>
  <c r="F5784" i="13"/>
  <c r="F5785" i="13"/>
  <c r="F5786" i="13"/>
  <c r="F5787" i="13"/>
  <c r="F5788" i="13"/>
  <c r="F5789" i="13"/>
  <c r="F5790" i="13"/>
  <c r="F5791" i="13"/>
  <c r="F5792" i="13"/>
  <c r="F5793" i="13"/>
  <c r="F5794" i="13"/>
  <c r="F5795" i="13"/>
  <c r="F5796" i="13"/>
  <c r="F5797" i="13"/>
  <c r="F5798" i="13"/>
  <c r="F5799" i="13"/>
  <c r="F5800" i="13"/>
  <c r="F5801" i="13"/>
  <c r="F5802" i="13"/>
  <c r="F5803" i="13"/>
  <c r="F5804" i="13"/>
  <c r="F5805" i="13"/>
  <c r="F5806" i="13"/>
  <c r="F5807" i="13"/>
  <c r="F5808" i="13"/>
  <c r="F5809" i="13"/>
  <c r="F5810" i="13"/>
  <c r="F5811" i="13"/>
  <c r="F5812" i="13"/>
  <c r="F5813" i="13"/>
  <c r="F5814" i="13"/>
  <c r="F5815" i="13"/>
  <c r="F5816" i="13"/>
  <c r="F5817" i="13"/>
  <c r="F5818" i="13"/>
  <c r="F5819" i="13"/>
  <c r="F5820" i="13"/>
  <c r="F5821" i="13"/>
  <c r="F5822" i="13"/>
  <c r="F5823" i="13"/>
  <c r="F5824" i="13"/>
  <c r="F5825" i="13"/>
  <c r="F5826" i="13"/>
  <c r="F5827" i="13"/>
  <c r="F5828" i="13"/>
  <c r="F5829" i="13"/>
  <c r="F5830" i="13"/>
  <c r="F5831" i="13"/>
  <c r="F5832" i="13"/>
  <c r="F5833" i="13"/>
  <c r="F5834" i="13"/>
  <c r="F5835" i="13"/>
  <c r="F5836" i="13"/>
  <c r="F5837" i="13"/>
  <c r="F5838" i="13"/>
  <c r="F5839" i="13"/>
  <c r="F5840" i="13"/>
  <c r="F5841" i="13"/>
  <c r="F5842" i="13"/>
  <c r="F5843" i="13"/>
  <c r="F5844" i="13"/>
  <c r="F5845" i="13"/>
  <c r="F5846" i="13"/>
  <c r="F5847" i="13"/>
  <c r="F5848" i="13"/>
  <c r="F5849" i="13"/>
  <c r="F5850" i="13"/>
  <c r="F5851" i="13"/>
  <c r="F5852" i="13"/>
  <c r="F5853" i="13"/>
  <c r="F5854" i="13"/>
  <c r="F5855" i="13"/>
  <c r="F5856" i="13"/>
  <c r="F5857" i="13"/>
  <c r="F5858" i="13"/>
  <c r="F5859" i="13"/>
  <c r="F5860" i="13"/>
  <c r="F5861" i="13"/>
  <c r="F5862" i="13"/>
  <c r="F5863" i="13"/>
  <c r="F5864" i="13"/>
  <c r="F5865" i="13"/>
  <c r="F5866" i="13"/>
  <c r="F5867" i="13"/>
  <c r="F5868" i="13"/>
  <c r="F5869" i="13"/>
  <c r="F5870" i="13"/>
  <c r="F5871" i="13"/>
  <c r="F5872" i="13"/>
  <c r="F5873" i="13"/>
  <c r="F5874" i="13"/>
  <c r="F5875" i="13"/>
  <c r="F5876" i="13"/>
  <c r="F5877" i="13"/>
  <c r="F5878" i="13"/>
  <c r="F5879" i="13"/>
  <c r="F5880" i="13"/>
  <c r="F5881" i="13"/>
  <c r="F5882" i="13"/>
  <c r="F5883" i="13"/>
  <c r="F5884" i="13"/>
  <c r="F5885" i="13"/>
  <c r="F5886" i="13"/>
  <c r="F5887" i="13"/>
  <c r="F5888" i="13"/>
  <c r="F5889" i="13"/>
  <c r="F5890" i="13"/>
  <c r="F5891" i="13"/>
  <c r="F5892" i="13"/>
  <c r="F5893" i="13"/>
  <c r="F5894" i="13"/>
  <c r="F5895" i="13"/>
  <c r="F5896" i="13"/>
  <c r="F5897" i="13"/>
  <c r="F5898" i="13"/>
  <c r="F5899" i="13"/>
  <c r="F5900" i="13"/>
  <c r="H3872" i="13"/>
  <c r="H3873" i="13"/>
  <c r="H3874" i="13"/>
  <c r="H3875" i="13"/>
  <c r="H3882" i="13"/>
  <c r="H3884" i="13"/>
  <c r="H3897" i="13"/>
  <c r="H3915" i="13"/>
  <c r="H3920" i="13"/>
  <c r="H3929" i="13"/>
  <c r="H3945" i="13"/>
  <c r="H3947" i="13"/>
  <c r="H3948" i="13"/>
  <c r="H3949" i="13"/>
  <c r="H3950" i="13"/>
  <c r="H3956" i="13"/>
  <c r="H3966" i="13"/>
  <c r="H3973" i="13"/>
  <c r="H3983" i="13"/>
  <c r="H3985" i="13"/>
  <c r="H3996" i="13"/>
  <c r="H4002" i="13"/>
  <c r="H4003" i="13"/>
  <c r="H4004" i="13"/>
  <c r="H4005" i="13"/>
  <c r="H4007" i="13"/>
  <c r="H4009" i="13"/>
  <c r="H4010" i="13"/>
  <c r="H4011" i="13"/>
  <c r="H4025" i="13"/>
  <c r="H4026" i="13"/>
  <c r="H4031" i="13"/>
  <c r="H4042" i="13"/>
  <c r="H4043" i="13"/>
  <c r="H4047" i="13"/>
  <c r="H4048" i="13"/>
  <c r="H4054" i="13"/>
  <c r="H4055" i="13"/>
  <c r="H4056" i="13"/>
  <c r="H4057" i="13"/>
  <c r="H4058" i="13"/>
  <c r="H4067" i="13"/>
  <c r="H4071" i="13"/>
  <c r="H4072" i="13"/>
  <c r="H4073" i="13"/>
  <c r="H4074" i="13"/>
  <c r="H4075" i="13"/>
  <c r="H4076" i="13"/>
  <c r="H4077" i="13"/>
  <c r="H4079" i="13"/>
  <c r="H4080" i="13"/>
  <c r="H4081" i="13"/>
  <c r="H4082" i="13"/>
  <c r="H4083" i="13" s="1"/>
  <c r="H4084" i="13"/>
  <c r="H4085" i="13"/>
  <c r="H4086" i="13"/>
  <c r="H4087" i="13"/>
  <c r="H4128" i="13"/>
  <c r="H4130" i="13"/>
  <c r="H4133" i="13"/>
  <c r="H4139" i="13"/>
  <c r="H4142" i="13"/>
  <c r="H4144" i="13"/>
  <c r="H4154" i="13"/>
  <c r="H4160" i="13"/>
  <c r="H4168" i="13"/>
  <c r="H4169" i="13"/>
  <c r="H4171" i="13"/>
  <c r="H4172" i="13"/>
  <c r="H4181" i="13"/>
  <c r="H4195" i="13"/>
  <c r="H4203" i="13"/>
  <c r="H4206" i="13"/>
  <c r="H4214" i="13"/>
  <c r="H4217" i="13"/>
  <c r="H4219" i="13"/>
  <c r="H4220" i="13"/>
  <c r="H4222" i="13"/>
  <c r="H4223" i="13"/>
  <c r="H4225" i="13"/>
  <c r="H4226" i="13"/>
  <c r="H4227" i="13"/>
  <c r="H4230" i="13"/>
  <c r="H4231" i="13"/>
  <c r="H4250" i="13"/>
  <c r="H4251" i="13"/>
  <c r="H4276" i="13"/>
  <c r="H4292" i="13"/>
  <c r="H4293" i="13"/>
  <c r="H4294" i="13"/>
  <c r="H4295" i="13"/>
  <c r="H4300" i="13"/>
  <c r="H4306" i="13"/>
  <c r="H4312" i="13"/>
  <c r="H4318" i="13"/>
  <c r="H4324" i="13"/>
  <c r="H4329" i="13"/>
  <c r="H4345" i="13"/>
  <c r="H4346" i="13"/>
  <c r="H4349" i="13"/>
  <c r="H4353" i="13"/>
  <c r="H4356" i="13"/>
  <c r="H4377" i="13"/>
  <c r="H4396" i="13"/>
  <c r="H4397" i="13"/>
  <c r="H4399" i="13"/>
  <c r="H4400" i="13"/>
  <c r="H4401" i="13"/>
  <c r="H4402" i="13"/>
  <c r="H4403" i="13"/>
  <c r="H4404" i="13"/>
  <c r="H4405" i="13"/>
  <c r="H4422" i="13"/>
  <c r="H4423" i="13"/>
  <c r="H4424" i="13"/>
  <c r="H4425" i="13"/>
  <c r="H4430" i="13"/>
  <c r="H4453" i="13"/>
  <c r="H4458" i="13"/>
  <c r="H4459" i="13"/>
  <c r="H4460" i="13"/>
  <c r="H4461" i="13"/>
  <c r="H4462" i="13"/>
  <c r="H4463" i="13"/>
  <c r="H4466" i="13"/>
  <c r="H4470" i="13"/>
  <c r="H4477" i="13"/>
  <c r="H4484" i="13"/>
  <c r="H4489" i="13"/>
  <c r="H4496" i="13"/>
  <c r="H4503" i="13"/>
  <c r="H4511" i="13"/>
  <c r="H4521" i="13"/>
  <c r="H4522" i="13"/>
  <c r="H4532" i="13"/>
  <c r="H4556" i="13"/>
  <c r="H4557" i="13"/>
  <c r="H4561" i="13"/>
  <c r="H4578" i="13"/>
  <c r="H4579" i="13"/>
  <c r="H4629" i="13"/>
  <c r="H4630" i="13"/>
  <c r="H4631" i="13"/>
  <c r="H4649" i="13"/>
  <c r="H4658" i="13"/>
  <c r="H4659" i="13"/>
  <c r="H4660" i="13"/>
  <c r="H4661" i="13" s="1"/>
  <c r="H4662" i="13"/>
  <c r="H4663" i="13"/>
  <c r="H4665" i="13"/>
  <c r="H4667" i="13"/>
  <c r="H4671" i="13"/>
  <c r="H4682" i="13"/>
  <c r="H4686" i="13"/>
  <c r="H4687" i="13"/>
  <c r="H4693" i="13"/>
  <c r="H4700" i="13"/>
  <c r="H4707" i="13"/>
  <c r="H4711" i="13"/>
  <c r="H4712" i="13"/>
  <c r="H4716" i="13"/>
  <c r="H4724" i="13"/>
  <c r="H4733" i="13"/>
  <c r="H4738" i="13"/>
  <c r="H4745" i="13"/>
  <c r="H4753" i="13"/>
  <c r="H4761" i="13"/>
  <c r="H4768" i="13"/>
  <c r="H4769" i="13"/>
  <c r="H4785" i="13"/>
  <c r="H4807" i="13"/>
  <c r="H4811" i="13"/>
  <c r="H4842" i="13"/>
  <c r="H4843" i="13"/>
  <c r="H4844" i="13"/>
  <c r="H4845" i="13"/>
  <c r="H4846" i="13"/>
  <c r="H4847" i="13"/>
  <c r="H4848" i="13"/>
  <c r="H4849" i="13"/>
  <c r="H4876" i="13"/>
  <c r="H4878" i="13"/>
  <c r="H4879" i="13"/>
  <c r="H4887" i="13"/>
  <c r="H4888" i="13"/>
  <c r="H4912" i="13"/>
  <c r="H4914" i="13"/>
  <c r="H4915" i="13"/>
  <c r="H4916" i="13"/>
  <c r="H4917" i="13"/>
  <c r="H4918" i="13"/>
  <c r="H4933" i="13"/>
  <c r="H4952" i="13"/>
  <c r="H4966" i="13"/>
  <c r="H5025" i="13"/>
  <c r="H5027" i="13"/>
  <c r="H5029" i="13"/>
  <c r="H5030" i="13"/>
  <c r="H5031" i="13"/>
  <c r="H5032" i="13"/>
  <c r="H5034" i="13"/>
  <c r="H5035" i="13"/>
  <c r="H5037" i="13"/>
  <c r="H5041" i="13"/>
  <c r="H5047" i="13"/>
  <c r="H5054" i="13"/>
  <c r="H5064" i="13"/>
  <c r="H5065" i="13"/>
  <c r="H5072" i="13"/>
  <c r="H5076" i="13"/>
  <c r="H5079" i="13" s="1"/>
  <c r="H5078" i="13"/>
  <c r="H5102" i="13"/>
  <c r="H5116" i="13"/>
  <c r="H5135" i="13"/>
  <c r="H5136" i="13"/>
  <c r="H5137" i="13"/>
  <c r="H5138" i="13"/>
  <c r="H5139" i="13"/>
  <c r="H5140" i="13"/>
  <c r="H5141" i="13"/>
  <c r="H5143" i="13"/>
  <c r="H5145" i="13"/>
  <c r="H5151" i="13"/>
  <c r="H5152" i="13"/>
  <c r="H5153" i="13"/>
  <c r="H5178" i="13"/>
  <c r="H5186" i="13"/>
  <c r="H5220" i="13"/>
  <c r="H5221" i="13"/>
  <c r="H5222" i="13"/>
  <c r="H5254" i="13"/>
  <c r="H5256" i="13"/>
  <c r="H5260" i="13"/>
  <c r="H5267" i="13"/>
  <c r="H5271" i="13"/>
  <c r="H5278" i="13"/>
  <c r="H5286" i="13"/>
  <c r="H5289" i="13"/>
  <c r="H5295" i="13"/>
  <c r="H5297" i="13"/>
  <c r="H5298" i="13"/>
  <c r="H5299" i="13"/>
  <c r="H5300" i="13"/>
  <c r="H5301" i="13"/>
  <c r="H5302" i="13"/>
  <c r="H5304" i="13"/>
  <c r="H5305" i="13"/>
  <c r="H5306" i="13"/>
  <c r="H5308" i="13"/>
  <c r="H5309" i="13"/>
  <c r="H5312" i="13"/>
  <c r="H5337" i="13"/>
  <c r="H5338" i="13"/>
  <c r="H5340" i="13"/>
  <c r="H5388" i="13"/>
  <c r="H5398" i="13"/>
  <c r="H5399" i="13"/>
  <c r="H5402" i="13"/>
  <c r="H5407" i="13"/>
  <c r="H5414" i="13"/>
  <c r="H5419" i="13"/>
  <c r="H5420" i="13"/>
  <c r="H5425" i="13"/>
  <c r="H5432" i="13"/>
  <c r="H5436" i="13"/>
  <c r="H5440" i="13"/>
  <c r="H5441" i="13"/>
  <c r="H5446" i="13"/>
  <c r="H5447" i="13"/>
  <c r="H5449" i="13"/>
  <c r="H5451" i="13"/>
  <c r="H5452" i="13"/>
  <c r="H5454" i="13"/>
  <c r="H5455" i="13"/>
  <c r="H5456" i="13"/>
  <c r="H5458" i="13"/>
  <c r="H5460" i="13"/>
  <c r="H5461" i="13"/>
  <c r="H5463" i="13"/>
  <c r="H5464" i="13"/>
  <c r="H5465" i="13"/>
  <c r="H5489" i="13"/>
  <c r="H5494" i="13"/>
  <c r="H5498" i="13"/>
  <c r="H5500" i="13"/>
  <c r="H5501" i="13"/>
  <c r="H5502" i="13"/>
  <c r="H5542" i="13"/>
  <c r="H5557" i="13"/>
  <c r="H5564" i="13"/>
  <c r="H5566" i="13"/>
  <c r="H5576" i="13"/>
  <c r="H5630" i="13"/>
  <c r="H5635" i="13"/>
  <c r="H5661" i="13"/>
  <c r="H5662" i="13"/>
  <c r="H5663" i="13"/>
  <c r="H5664" i="13"/>
  <c r="H5666" i="13"/>
  <c r="H5668" i="13"/>
  <c r="H5669" i="13"/>
  <c r="H5670" i="13"/>
  <c r="H5671" i="13"/>
  <c r="H5672" i="13"/>
  <c r="H5673" i="13"/>
  <c r="H5675" i="13"/>
  <c r="H5677" i="13" s="1"/>
  <c r="H5676" i="13"/>
  <c r="H5678" i="13"/>
  <c r="H5684" i="13"/>
  <c r="H5693" i="13"/>
  <c r="H5701" i="13"/>
  <c r="H5706" i="13"/>
  <c r="H5712" i="13"/>
  <c r="H5715" i="13"/>
  <c r="H5720" i="13"/>
  <c r="H5722" i="13"/>
  <c r="H5728" i="13"/>
  <c r="H5731" i="13"/>
  <c r="H5740" i="13"/>
  <c r="H5746" i="13"/>
  <c r="H5754" i="13"/>
  <c r="H5760" i="13"/>
  <c r="H5767" i="13"/>
  <c r="H5769" i="13"/>
  <c r="H5771" i="13"/>
  <c r="H5777" i="13"/>
  <c r="H5784" i="13"/>
  <c r="H5792" i="13"/>
  <c r="H5794" i="13"/>
  <c r="H5840" i="13"/>
  <c r="H5880" i="13"/>
  <c r="H5881" i="13"/>
  <c r="H5883" i="13"/>
  <c r="H5888" i="13"/>
  <c r="H5890" i="13"/>
  <c r="H3868" i="13" l="1"/>
  <c r="H3864" i="13"/>
  <c r="H3860" i="13"/>
  <c r="H3858" i="13"/>
  <c r="H3857" i="13"/>
  <c r="H3855" i="13"/>
  <c r="H3853" i="13"/>
  <c r="H3850" i="13"/>
  <c r="H3849" i="13"/>
  <c r="H3846" i="13"/>
  <c r="H3844" i="13"/>
  <c r="H3839" i="13"/>
  <c r="H3838" i="13"/>
  <c r="H3837" i="13"/>
  <c r="H3835" i="13"/>
  <c r="H3833" i="13"/>
  <c r="H3830" i="13"/>
  <c r="H3827" i="13"/>
  <c r="H3826" i="13"/>
  <c r="H3824" i="13"/>
  <c r="H3823" i="13"/>
  <c r="H3822" i="13"/>
  <c r="H3820" i="13"/>
  <c r="H3817" i="13"/>
  <c r="H3815" i="13"/>
  <c r="H3813" i="13"/>
  <c r="H3812" i="13"/>
  <c r="H3808" i="13"/>
  <c r="H3805" i="13"/>
  <c r="H3802" i="13"/>
  <c r="H3803" i="13"/>
  <c r="H3801" i="13"/>
  <c r="H3800" i="13"/>
  <c r="H3797" i="13"/>
  <c r="H3794" i="13"/>
  <c r="H3793" i="13"/>
  <c r="H3792" i="13"/>
  <c r="H3790" i="13"/>
  <c r="H3789" i="13"/>
  <c r="H3788" i="13"/>
  <c r="H3776" i="13"/>
  <c r="H3774" i="13"/>
  <c r="H3767" i="13"/>
  <c r="H3766" i="13"/>
  <c r="H3764" i="13"/>
  <c r="H3763" i="13"/>
  <c r="H3756" i="13"/>
  <c r="H3752" i="13"/>
  <c r="H3742" i="13"/>
  <c r="H3740" i="13"/>
  <c r="H3741" i="13"/>
  <c r="H3739" i="13"/>
  <c r="H3738" i="13"/>
  <c r="H3735" i="13"/>
  <c r="H3732" i="13"/>
  <c r="F3698" i="13"/>
  <c r="H3692" i="13"/>
  <c r="H3673" i="13"/>
  <c r="H3663" i="13"/>
  <c r="F3646" i="13"/>
  <c r="H3635" i="13"/>
  <c r="H3634" i="13"/>
  <c r="H3631" i="13"/>
  <c r="H3599" i="13"/>
  <c r="H3598" i="13"/>
  <c r="H3596" i="13"/>
  <c r="H3594" i="13"/>
  <c r="H3591" i="13"/>
  <c r="H3590" i="13"/>
  <c r="B3582" i="13"/>
  <c r="B3583" i="13"/>
  <c r="B3584" i="13"/>
  <c r="B3585" i="13"/>
  <c r="B3586" i="13"/>
  <c r="B3587" i="13"/>
  <c r="B3588" i="13"/>
  <c r="B3589" i="13"/>
  <c r="H3588" i="13"/>
  <c r="H3587" i="13"/>
  <c r="F3582" i="13"/>
  <c r="H3585" i="13"/>
  <c r="H3582" i="13"/>
  <c r="H3581" i="13"/>
  <c r="H3579" i="13"/>
  <c r="H3577" i="13"/>
  <c r="H3575" i="13"/>
  <c r="H3573" i="13"/>
  <c r="H3572" i="13"/>
  <c r="H3569" i="13"/>
  <c r="H3567" i="13"/>
  <c r="H3566" i="13"/>
  <c r="H3563" i="13"/>
  <c r="H3561" i="13"/>
  <c r="H3558" i="13"/>
  <c r="H3554" i="13"/>
  <c r="H3552" i="13"/>
  <c r="H3550" i="13"/>
  <c r="H3548" i="13"/>
  <c r="H3546" i="13"/>
  <c r="H3545" i="13"/>
  <c r="H3542" i="13"/>
  <c r="H3540" i="13"/>
  <c r="H3536" i="13"/>
  <c r="H3535" i="13"/>
  <c r="H3532" i="13"/>
  <c r="H3531" i="13"/>
  <c r="H3524" i="13" l="1"/>
  <c r="H3523" i="13"/>
  <c r="H3522" i="13"/>
  <c r="H3495" i="13"/>
  <c r="H3490" i="13"/>
  <c r="H3483" i="13" l="1"/>
  <c r="H3482" i="13"/>
  <c r="H3408" i="13"/>
  <c r="H3378" i="13"/>
  <c r="H3377" i="13"/>
  <c r="H3374" i="13"/>
  <c r="H3364" i="13"/>
  <c r="H3363" i="13"/>
  <c r="H3340" i="13"/>
  <c r="H3335" i="13"/>
  <c r="H3333" i="13"/>
  <c r="H3328" i="13"/>
  <c r="H3326" i="13"/>
  <c r="H3324" i="13"/>
  <c r="H3323" i="13"/>
  <c r="H3320" i="13"/>
  <c r="H3317" i="13"/>
  <c r="H3313" i="13"/>
  <c r="H3310" i="13"/>
  <c r="H3308" i="13"/>
  <c r="H3306" i="13"/>
  <c r="H3305" i="13"/>
  <c r="H3302" i="13"/>
  <c r="H3300" i="13"/>
  <c r="H3298" i="13"/>
  <c r="H3295" i="13"/>
  <c r="H3293" i="13"/>
  <c r="H3291" i="13"/>
  <c r="H3289" i="13"/>
  <c r="H3287" i="13"/>
  <c r="H3285" i="13"/>
  <c r="H3283" i="13"/>
  <c r="H3281" i="13"/>
  <c r="H3277" i="13"/>
  <c r="H3273" i="13"/>
  <c r="H3272" i="13"/>
  <c r="H3271" i="13"/>
  <c r="H3267" i="13"/>
  <c r="H3262" i="13"/>
  <c r="H3260" i="13"/>
  <c r="H3257" i="13"/>
  <c r="H3250" i="13"/>
  <c r="H3237" i="13"/>
  <c r="H3238" i="13"/>
  <c r="H3229" i="13"/>
  <c r="H3230" i="13" s="1"/>
  <c r="H3227" i="13"/>
  <c r="H3212" i="13"/>
  <c r="H3211" i="13"/>
  <c r="H3164" i="13"/>
  <c r="H3163" i="13"/>
  <c r="H3149" i="13"/>
  <c r="H3139" i="13"/>
  <c r="H3131" i="13"/>
  <c r="H3128" i="13"/>
  <c r="H3103" i="13"/>
  <c r="H3080" i="13"/>
  <c r="H3079" i="13"/>
  <c r="H3072" i="13"/>
  <c r="H3071" i="13"/>
  <c r="H3070" i="13"/>
  <c r="H3140" i="13" l="1"/>
  <c r="H3068" i="13"/>
  <c r="H3067" i="13"/>
  <c r="H3066" i="13"/>
  <c r="H3065" i="13"/>
  <c r="H3064" i="13"/>
  <c r="H3061" i="13"/>
  <c r="H3062" i="13" s="1"/>
  <c r="H3058" i="13"/>
  <c r="H3057" i="13"/>
  <c r="H3056" i="13"/>
  <c r="H3053" i="13"/>
  <c r="H3051" i="13"/>
  <c r="H3049" i="13"/>
  <c r="H3047" i="13"/>
  <c r="H3045" i="13"/>
  <c r="H3044" i="13"/>
  <c r="H3043" i="13"/>
  <c r="H3042" i="13"/>
  <c r="H3040" i="13"/>
  <c r="H3039" i="13"/>
  <c r="H3037" i="13"/>
  <c r="H3035" i="13"/>
  <c r="H3034" i="13"/>
  <c r="H3033" i="13"/>
  <c r="H3032" i="13"/>
  <c r="H3030" i="13"/>
  <c r="H3029" i="13"/>
  <c r="H3027" i="13"/>
  <c r="H3026" i="13"/>
  <c r="H3024" i="13"/>
  <c r="H3023" i="13"/>
  <c r="H3022" i="13"/>
  <c r="H3018" i="13"/>
  <c r="H3013" i="13"/>
  <c r="H3007" i="13"/>
  <c r="H3002" i="13"/>
  <c r="H2998" i="13"/>
  <c r="H2981" i="13"/>
  <c r="H2922" i="13"/>
  <c r="H2913" i="13"/>
  <c r="H2912" i="13"/>
  <c r="H2911" i="13"/>
  <c r="H2884" i="13"/>
  <c r="H2874" i="13"/>
  <c r="H2870" i="13"/>
  <c r="F2866" i="13"/>
  <c r="H2861" i="13"/>
  <c r="H2854" i="13"/>
  <c r="H2853" i="13"/>
  <c r="H2832" i="13"/>
  <c r="H2795" i="13"/>
  <c r="H2787" i="13"/>
  <c r="H2780" i="13"/>
  <c r="H2777" i="13"/>
  <c r="H2773" i="13"/>
  <c r="H2772" i="13"/>
  <c r="H2770" i="13"/>
  <c r="H2768" i="13"/>
  <c r="H2767" i="13"/>
  <c r="H2764" i="13"/>
  <c r="H2763" i="13"/>
  <c r="H2760" i="13"/>
  <c r="H2758" i="13"/>
  <c r="H2750" i="13"/>
  <c r="H2751" i="13"/>
  <c r="H2749" i="13"/>
  <c r="H2744" i="13"/>
  <c r="H2743" i="13"/>
  <c r="H2742" i="13"/>
  <c r="H2740" i="13"/>
  <c r="H2737" i="13"/>
  <c r="H2730" i="13"/>
  <c r="H2727" i="13"/>
  <c r="H2723" i="13"/>
  <c r="H2721" i="13"/>
  <c r="H2720" i="13"/>
  <c r="H2718" i="13"/>
  <c r="H2717" i="13"/>
  <c r="H2715" i="13"/>
  <c r="H2711" i="13"/>
  <c r="H2706" i="13"/>
  <c r="H2703" i="13"/>
  <c r="H2700" i="13"/>
  <c r="H2697" i="13"/>
  <c r="H2694" i="13"/>
  <c r="H2691" i="13"/>
  <c r="H2677" i="13"/>
  <c r="H2676" i="13"/>
  <c r="H2671" i="13"/>
  <c r="H2664" i="13"/>
  <c r="H2660" i="13"/>
  <c r="H2657" i="13"/>
  <c r="H2656" i="13"/>
  <c r="H2650" i="13"/>
  <c r="H2645" i="13"/>
  <c r="H2644" i="13"/>
  <c r="H2638" i="13"/>
  <c r="H2624" i="13"/>
  <c r="H2616" i="13"/>
  <c r="H2608" i="13"/>
  <c r="H2609" i="13" s="1"/>
  <c r="H2564" i="13"/>
  <c r="H2544" i="13"/>
  <c r="H2543" i="13"/>
  <c r="H2542" i="13"/>
  <c r="H2476" i="13"/>
  <c r="H2475" i="13"/>
  <c r="H2444" i="13"/>
  <c r="H2442" i="13"/>
  <c r="H2439" i="13"/>
  <c r="H2437" i="13"/>
  <c r="H2436" i="13"/>
  <c r="H2434" i="13"/>
  <c r="H2433" i="13"/>
  <c r="H2432" i="13"/>
  <c r="H2431" i="13"/>
  <c r="H2427" i="13"/>
  <c r="H2424" i="13"/>
  <c r="H2423" i="13"/>
  <c r="H2422" i="13"/>
  <c r="H2421" i="13"/>
  <c r="H2420" i="13"/>
  <c r="H2414" i="13"/>
  <c r="H2413" i="13"/>
  <c r="H2412" i="13"/>
  <c r="H2410" i="13"/>
  <c r="H2406" i="13"/>
  <c r="H2405" i="13"/>
  <c r="H2400" i="13"/>
  <c r="H2398" i="13"/>
  <c r="H2397" i="13"/>
  <c r="H2395" i="13"/>
  <c r="H2393" i="13"/>
  <c r="H2392" i="13"/>
  <c r="H2391" i="13"/>
  <c r="H2389" i="13"/>
  <c r="H2388" i="13"/>
  <c r="H2384" i="13"/>
  <c r="H2383" i="13"/>
  <c r="H2381" i="13"/>
  <c r="H2379" i="13"/>
  <c r="H2378" i="13"/>
  <c r="H2377" i="13"/>
  <c r="H2375" i="13"/>
  <c r="H2372" i="13"/>
  <c r="H2367" i="13"/>
  <c r="H2365" i="13"/>
  <c r="H2362" i="13"/>
  <c r="H2357" i="13"/>
  <c r="H2356" i="13"/>
  <c r="H2354" i="13"/>
  <c r="H2349" i="13"/>
  <c r="H2348" i="13"/>
  <c r="H2347" i="13"/>
  <c r="H2346" i="13"/>
  <c r="H2345" i="13"/>
  <c r="F2313" i="13"/>
  <c r="F2314" i="13"/>
  <c r="F2315" i="13"/>
  <c r="H2302" i="13"/>
  <c r="H2213" i="13"/>
  <c r="H2205" i="13"/>
  <c r="H2195" i="13"/>
  <c r="H2196" i="13" s="1"/>
  <c r="H2138" i="13"/>
  <c r="H2134" i="13"/>
  <c r="H2132" i="13"/>
  <c r="H2131" i="13"/>
  <c r="H2127" i="13"/>
  <c r="H2123" i="13"/>
  <c r="H2117" i="13"/>
  <c r="H2112" i="13"/>
  <c r="H2107" i="13"/>
  <c r="H2106" i="13"/>
  <c r="H2102" i="13"/>
  <c r="H2101" i="13"/>
  <c r="H2100" i="13"/>
  <c r="H2095" i="13"/>
  <c r="H2089" i="13"/>
  <c r="H2084" i="13"/>
  <c r="H2079" i="13"/>
  <c r="H2073" i="13"/>
  <c r="H2071" i="13"/>
  <c r="H2069" i="13"/>
  <c r="H2059" i="13"/>
  <c r="H2056" i="13"/>
  <c r="H2055" i="13"/>
  <c r="H2051" i="13"/>
  <c r="H2049" i="13"/>
  <c r="H2048" i="13"/>
  <c r="H2047" i="13"/>
  <c r="H2046" i="13"/>
  <c r="H2044" i="13"/>
  <c r="H2037" i="13"/>
  <c r="H2034" i="13"/>
  <c r="H2032" i="13"/>
  <c r="H2024" i="13"/>
  <c r="H2023" i="13"/>
  <c r="H1973" i="13"/>
  <c r="H1919" i="13"/>
  <c r="H1918" i="13"/>
  <c r="H1917" i="13"/>
  <c r="H1904" i="13"/>
  <c r="H1905" i="13" s="1"/>
  <c r="H1901" i="13"/>
  <c r="H1893" i="13"/>
  <c r="H1892" i="13"/>
  <c r="H1884" i="13"/>
  <c r="H1883" i="13"/>
  <c r="H1877" i="13"/>
  <c r="H1834" i="13"/>
  <c r="H1829" i="13"/>
  <c r="H1827" i="13"/>
  <c r="H1824" i="13"/>
  <c r="H1821" i="13"/>
  <c r="H1818" i="13"/>
  <c r="H1816" i="13"/>
  <c r="H1814" i="13"/>
  <c r="H1811" i="13"/>
  <c r="H1812" i="13" s="1"/>
  <c r="H1802" i="13"/>
  <c r="H1799" i="13"/>
  <c r="H1771" i="13"/>
  <c r="H1766" i="13"/>
  <c r="H1763" i="13"/>
  <c r="H1757" i="13"/>
  <c r="H1754" i="13"/>
  <c r="H1752" i="13"/>
  <c r="H1749" i="13"/>
  <c r="H1745" i="13"/>
  <c r="H1733" i="13"/>
  <c r="H1730" i="13"/>
  <c r="H1729" i="13"/>
  <c r="H1722" i="13"/>
  <c r="H1721" i="13"/>
  <c r="H1720" i="13"/>
  <c r="H1716" i="13"/>
  <c r="H1715" i="13"/>
  <c r="H1712" i="13"/>
  <c r="H1711" i="13"/>
  <c r="H1697" i="13"/>
  <c r="H1696" i="13"/>
  <c r="F1680" i="13"/>
  <c r="H1672" i="13"/>
  <c r="H1661" i="13"/>
  <c r="H1658" i="13"/>
  <c r="H1657" i="13"/>
  <c r="H1656" i="13"/>
  <c r="H1654" i="13"/>
  <c r="H1652" i="13"/>
  <c r="H1651" i="13"/>
  <c r="H1633" i="13"/>
  <c r="H1628" i="13"/>
  <c r="H1624" i="13"/>
  <c r="H1621" i="13"/>
  <c r="H1612" i="13"/>
  <c r="H1611" i="13"/>
  <c r="H1608" i="13"/>
  <c r="H1601" i="13"/>
  <c r="H1600" i="13"/>
  <c r="H1594" i="13"/>
  <c r="H1590" i="13"/>
  <c r="H1589" i="13"/>
  <c r="H1581" i="13"/>
  <c r="H1577" i="13"/>
  <c r="H1572" i="13"/>
  <c r="H1564" i="13"/>
  <c r="H1560" i="13"/>
  <c r="H1556" i="13"/>
  <c r="H1552" i="13"/>
  <c r="H1548" i="13"/>
  <c r="H1536" i="13"/>
  <c r="H1533" i="13"/>
  <c r="H1513" i="13"/>
  <c r="H1509" i="13"/>
  <c r="H1503" i="13"/>
  <c r="H1497" i="13"/>
  <c r="H1496" i="13"/>
  <c r="H1489" i="13"/>
  <c r="H1487" i="13"/>
  <c r="H1486" i="13"/>
  <c r="H1483" i="13"/>
  <c r="H1482" i="13"/>
  <c r="H1473" i="13"/>
  <c r="H1464" i="13"/>
  <c r="H1463" i="13"/>
  <c r="H1462" i="13"/>
  <c r="H1457" i="13"/>
  <c r="H1458" i="13" s="1"/>
  <c r="H1438" i="13"/>
  <c r="H1436" i="13"/>
  <c r="H1435" i="13"/>
  <c r="H1434" i="13"/>
  <c r="H1432" i="13"/>
  <c r="H1431" i="13"/>
  <c r="H1430" i="13"/>
  <c r="H1423" i="13"/>
  <c r="H1422" i="13"/>
  <c r="H1421" i="13"/>
  <c r="H1420" i="13"/>
  <c r="H1411" i="13"/>
  <c r="H1407" i="13"/>
  <c r="H1402" i="13"/>
  <c r="H1397" i="13"/>
  <c r="H1390" i="13"/>
  <c r="H1379" i="13"/>
  <c r="H1374" i="13"/>
  <c r="H1369" i="13"/>
  <c r="H1360" i="13"/>
  <c r="H1359" i="13"/>
  <c r="H1348" i="13"/>
  <c r="H1336" i="13"/>
  <c r="H1328" i="13"/>
  <c r="H1324" i="13"/>
  <c r="H1314" i="13"/>
  <c r="H1309" i="13"/>
  <c r="H1303" i="13"/>
  <c r="H1300" i="13"/>
  <c r="H1287" i="13"/>
  <c r="H1286" i="13"/>
  <c r="H1282" i="13"/>
  <c r="H1281" i="13"/>
  <c r="H1275" i="13"/>
  <c r="H1265" i="13"/>
  <c r="H1266" i="13" s="1"/>
  <c r="H1257" i="13"/>
  <c r="H1248" i="13"/>
  <c r="H1237" i="13"/>
  <c r="H1233" i="13"/>
  <c r="H1223" i="13"/>
  <c r="H1217" i="13"/>
  <c r="H1216" i="13"/>
  <c r="H1215" i="13"/>
  <c r="H1205" i="13"/>
  <c r="H1196" i="13"/>
  <c r="H1184" i="13"/>
  <c r="H1175" i="13"/>
  <c r="H1170" i="13"/>
  <c r="H1166" i="13"/>
  <c r="H1155" i="13"/>
  <c r="H1148" i="13"/>
  <c r="H1139" i="13"/>
  <c r="H1138" i="13"/>
  <c r="H1130" i="13"/>
  <c r="H1129" i="13"/>
  <c r="H1132" i="13"/>
  <c r="H1131" i="13"/>
  <c r="H1112" i="13"/>
  <c r="H1107" i="13"/>
  <c r="H1097" i="13"/>
  <c r="H1089" i="13"/>
  <c r="H1087" i="13"/>
  <c r="H1086" i="13"/>
  <c r="H1079" i="13"/>
  <c r="H1055" i="13"/>
  <c r="H1054" i="13"/>
  <c r="H1042" i="13"/>
  <c r="H1043" i="13" s="1"/>
  <c r="H1040" i="13"/>
  <c r="H1038" i="13"/>
  <c r="H1033" i="13"/>
  <c r="H1019" i="13"/>
  <c r="H1017" i="13"/>
  <c r="H1006" i="13"/>
  <c r="H1010" i="13"/>
  <c r="H1007" i="13"/>
  <c r="H1009" i="13"/>
  <c r="H1003" i="13"/>
  <c r="H1002" i="13"/>
  <c r="H1001" i="13"/>
  <c r="H995" i="13"/>
  <c r="I995" i="13" s="1"/>
  <c r="H993" i="13"/>
  <c r="H983" i="13"/>
  <c r="H973" i="13"/>
  <c r="H967" i="13"/>
  <c r="H961" i="13"/>
  <c r="H960" i="13"/>
  <c r="H956" i="13"/>
  <c r="H941" i="13"/>
  <c r="H942" i="13" s="1"/>
  <c r="H940" i="13"/>
  <c r="H939" i="13"/>
  <c r="H935" i="13"/>
  <c r="H926" i="13"/>
  <c r="H919" i="13"/>
  <c r="H909" i="13"/>
  <c r="H900" i="13"/>
  <c r="H897" i="13"/>
  <c r="H890" i="13"/>
  <c r="H886" i="13"/>
  <c r="H875" i="13"/>
  <c r="H865" i="13"/>
  <c r="H863" i="13"/>
  <c r="F858" i="13"/>
  <c r="F859" i="13"/>
  <c r="F860" i="13"/>
  <c r="F861" i="13"/>
  <c r="F862" i="13"/>
  <c r="H848" i="13"/>
  <c r="H846" i="13"/>
  <c r="H819" i="13"/>
  <c r="H812" i="13"/>
  <c r="H804" i="13"/>
  <c r="H795" i="13"/>
  <c r="H783" i="13"/>
  <c r="H788" i="13" s="1"/>
  <c r="H781" i="13"/>
  <c r="H769" i="13"/>
  <c r="H770" i="13" s="1"/>
  <c r="H767" i="13"/>
  <c r="H744" i="13"/>
  <c r="H746" i="13" s="1"/>
  <c r="H742" i="13"/>
  <c r="H1466" i="13" l="1"/>
  <c r="H1894" i="13"/>
  <c r="H1338" i="13"/>
  <c r="H1885" i="13"/>
  <c r="H1510" i="13"/>
  <c r="H734" i="13" l="1"/>
  <c r="H715" i="13"/>
  <c r="H714" i="13"/>
  <c r="H713" i="13"/>
  <c r="H711" i="13"/>
  <c r="H710" i="13"/>
  <c r="H709" i="13"/>
  <c r="H591" i="13"/>
  <c r="H584" i="13" l="1"/>
  <c r="I584" i="13" s="1"/>
  <c r="H582" i="13"/>
  <c r="H569" i="13"/>
  <c r="H568" i="13"/>
  <c r="H564" i="13"/>
  <c r="H563" i="13"/>
  <c r="H560" i="13"/>
  <c r="H559" i="13" s="1"/>
  <c r="H556" i="13"/>
  <c r="H552" i="13"/>
  <c r="H553" i="13" s="1"/>
  <c r="H541" i="13" l="1"/>
  <c r="H539" i="13"/>
  <c r="H536" i="13"/>
  <c r="H532" i="13"/>
  <c r="H529" i="13"/>
  <c r="H523" i="13"/>
  <c r="H522" i="13"/>
  <c r="H515" i="13"/>
  <c r="H514" i="13" s="1"/>
  <c r="H511" i="13"/>
  <c r="H508" i="13"/>
  <c r="H506" i="13"/>
  <c r="H505" i="13"/>
  <c r="H504" i="13"/>
  <c r="H501" i="13"/>
  <c r="H500" i="13" s="1"/>
  <c r="H484" i="13"/>
  <c r="H503" i="13" l="1"/>
  <c r="H481" i="13"/>
  <c r="H482" i="13"/>
  <c r="H479" i="13"/>
  <c r="H477" i="13"/>
  <c r="H474" i="13"/>
  <c r="H472" i="13"/>
  <c r="H467" i="13"/>
  <c r="H465" i="13"/>
  <c r="H463" i="13"/>
  <c r="H462" i="13"/>
  <c r="H454" i="13"/>
  <c r="H451" i="13"/>
  <c r="H452" i="13"/>
  <c r="H450" i="13"/>
  <c r="H444" i="13"/>
  <c r="H421" i="13" l="1"/>
  <c r="H409" i="13"/>
  <c r="H408" i="13"/>
  <c r="H380" i="13"/>
  <c r="H378" i="13"/>
  <c r="H379" i="13" s="1"/>
  <c r="H376" i="13"/>
  <c r="H371" i="13"/>
  <c r="H372" i="13" s="1"/>
  <c r="H365" i="13"/>
  <c r="H357" i="13"/>
  <c r="H422" i="13" l="1"/>
  <c r="H348" i="13" l="1"/>
  <c r="H347" i="13"/>
  <c r="H333" i="13" l="1"/>
  <c r="H332" i="13"/>
  <c r="H330" i="13"/>
  <c r="H328" i="13"/>
  <c r="H317" i="13"/>
  <c r="H318" i="13" s="1"/>
  <c r="H310" i="13"/>
  <c r="H309" i="13"/>
  <c r="H306" i="13"/>
  <c r="H305" i="13"/>
  <c r="H293" i="13"/>
  <c r="F290" i="13"/>
  <c r="H209" i="13" l="1"/>
  <c r="H211" i="13" s="1"/>
  <c r="H200" i="13"/>
  <c r="H201" i="13" s="1"/>
  <c r="H197" i="13"/>
  <c r="H196" i="13"/>
  <c r="H193" i="13"/>
  <c r="H191" i="13"/>
  <c r="H190" i="13"/>
  <c r="H189" i="13"/>
  <c r="H188" i="13"/>
  <c r="H186" i="13"/>
  <c r="H179" i="13"/>
  <c r="H173" i="13"/>
  <c r="H172" i="13"/>
  <c r="H168" i="13"/>
  <c r="H167" i="13"/>
  <c r="H166" i="13"/>
  <c r="H165" i="13"/>
  <c r="H164" i="13"/>
  <c r="H162" i="13"/>
  <c r="H148" i="13"/>
  <c r="H150" i="13" s="1"/>
  <c r="H142" i="13"/>
  <c r="H139" i="13"/>
  <c r="H56" i="13" l="1"/>
  <c r="H34" i="13"/>
  <c r="H33" i="13"/>
  <c r="H27" i="13"/>
  <c r="H26" i="13"/>
  <c r="H20" i="13"/>
  <c r="H11" i="13" l="1"/>
  <c r="H10" i="13"/>
  <c r="B3771" i="13" l="1"/>
  <c r="B3772" i="13"/>
  <c r="B3773" i="13"/>
  <c r="B3774" i="13"/>
  <c r="B3775" i="13"/>
  <c r="B3776" i="13"/>
  <c r="B3777" i="13"/>
  <c r="B3778" i="13"/>
  <c r="B3779" i="13"/>
  <c r="B3780" i="13"/>
  <c r="B3781" i="13"/>
  <c r="B3782" i="13"/>
  <c r="B3783" i="13"/>
  <c r="B3784" i="13"/>
  <c r="B3785" i="13"/>
  <c r="B3786" i="13"/>
  <c r="B3787" i="13"/>
  <c r="B3788" i="13"/>
  <c r="B3789" i="13"/>
  <c r="B3790" i="13"/>
  <c r="B3791" i="13"/>
  <c r="B3792" i="13"/>
  <c r="B3793" i="13"/>
  <c r="B3794" i="13"/>
  <c r="B3795" i="13"/>
  <c r="B3796" i="13"/>
  <c r="B3797" i="13"/>
  <c r="B3798" i="13"/>
  <c r="B3799" i="13"/>
  <c r="B3800" i="13"/>
  <c r="B3801" i="13"/>
  <c r="B3802" i="13"/>
  <c r="B3803" i="13"/>
  <c r="B3804" i="13"/>
  <c r="B3805" i="13"/>
  <c r="B3806" i="13"/>
  <c r="B3807" i="13"/>
  <c r="B3808" i="13"/>
  <c r="B3809" i="13"/>
  <c r="B3810" i="13"/>
  <c r="B3811" i="13"/>
  <c r="B3812" i="13"/>
  <c r="B3813" i="13"/>
  <c r="B3814" i="13"/>
  <c r="B3815" i="13"/>
  <c r="B3816" i="13"/>
  <c r="B3817" i="13"/>
  <c r="B3818" i="13"/>
  <c r="B3819" i="13"/>
  <c r="B3820" i="13"/>
  <c r="B3821" i="13"/>
  <c r="B3822" i="13"/>
  <c r="B3823" i="13"/>
  <c r="B3824" i="13"/>
  <c r="B3825" i="13"/>
  <c r="B3826" i="13"/>
  <c r="B3827" i="13"/>
  <c r="B3828" i="13"/>
  <c r="B3829" i="13"/>
  <c r="B3830" i="13"/>
  <c r="B3831" i="13"/>
  <c r="B3832" i="13"/>
  <c r="B3833" i="13"/>
  <c r="B3834" i="13"/>
  <c r="B3835" i="13"/>
  <c r="B3836" i="13"/>
  <c r="B3837" i="13"/>
  <c r="B3838" i="13"/>
  <c r="B3839" i="13"/>
  <c r="B3840" i="13"/>
  <c r="B3841" i="13"/>
  <c r="B3842" i="13"/>
  <c r="B3843" i="13"/>
  <c r="B3844" i="13"/>
  <c r="B3845" i="13"/>
  <c r="B3846" i="13"/>
  <c r="B3847" i="13"/>
  <c r="B3848" i="13"/>
  <c r="B3849" i="13"/>
  <c r="B3850" i="13"/>
  <c r="B3851" i="13"/>
  <c r="B3852" i="13"/>
  <c r="B3853" i="13"/>
  <c r="B3854" i="13"/>
  <c r="B3855" i="13"/>
  <c r="B3856" i="13"/>
  <c r="B3857" i="13"/>
  <c r="B3858" i="13"/>
  <c r="B3859" i="13"/>
  <c r="B3860" i="13"/>
  <c r="B3861" i="13"/>
  <c r="B3862" i="13"/>
  <c r="B3863" i="13"/>
  <c r="B3864" i="13"/>
  <c r="B3865" i="13"/>
  <c r="B3866" i="13"/>
  <c r="B3867" i="13"/>
  <c r="B3868" i="13"/>
  <c r="B3869" i="13"/>
  <c r="B3870" i="13"/>
  <c r="F3770" i="13"/>
  <c r="F3771" i="13"/>
  <c r="F3772" i="13"/>
  <c r="F3773" i="13"/>
  <c r="F3774" i="13"/>
  <c r="F3775" i="13"/>
  <c r="F3776" i="13"/>
  <c r="F3777" i="13"/>
  <c r="F3778" i="13"/>
  <c r="F3779" i="13"/>
  <c r="F3780" i="13"/>
  <c r="F3781" i="13"/>
  <c r="F3782" i="13"/>
  <c r="F3783" i="13"/>
  <c r="F3784" i="13"/>
  <c r="F3785" i="13"/>
  <c r="F3786" i="13"/>
  <c r="F3787" i="13"/>
  <c r="F3788" i="13"/>
  <c r="F3789" i="13"/>
  <c r="F3790" i="13"/>
  <c r="F3791" i="13"/>
  <c r="F3792" i="13"/>
  <c r="F3793" i="13"/>
  <c r="F3794" i="13"/>
  <c r="F3795" i="13"/>
  <c r="F3796" i="13"/>
  <c r="F3797" i="13"/>
  <c r="F3798" i="13"/>
  <c r="F3799" i="13"/>
  <c r="F3800" i="13"/>
  <c r="F3801" i="13"/>
  <c r="F3802" i="13"/>
  <c r="F3803" i="13"/>
  <c r="F3804" i="13"/>
  <c r="F3805" i="13"/>
  <c r="F3806" i="13"/>
  <c r="F3807" i="13"/>
  <c r="F3808" i="13"/>
  <c r="F3809" i="13"/>
  <c r="F3810" i="13"/>
  <c r="F3811" i="13"/>
  <c r="F3812" i="13"/>
  <c r="F3813" i="13"/>
  <c r="F3814" i="13"/>
  <c r="F3815" i="13"/>
  <c r="F3816" i="13"/>
  <c r="F3817" i="13"/>
  <c r="F3818" i="13"/>
  <c r="F3819" i="13"/>
  <c r="F3820" i="13"/>
  <c r="F3821" i="13"/>
  <c r="F3822" i="13"/>
  <c r="F3823" i="13"/>
  <c r="F3824" i="13"/>
  <c r="F3825" i="13"/>
  <c r="F3826" i="13"/>
  <c r="F3827" i="13"/>
  <c r="F3828" i="13"/>
  <c r="F3829" i="13"/>
  <c r="F3830" i="13"/>
  <c r="F3831" i="13"/>
  <c r="F3832" i="13"/>
  <c r="F3833" i="13"/>
  <c r="F3834" i="13"/>
  <c r="F3835" i="13"/>
  <c r="F3836" i="13"/>
  <c r="F3837" i="13"/>
  <c r="F3838" i="13"/>
  <c r="F3839" i="13"/>
  <c r="F3840" i="13"/>
  <c r="F3841" i="13"/>
  <c r="F3842" i="13"/>
  <c r="F3843" i="13"/>
  <c r="F3844" i="13"/>
  <c r="F3845" i="13"/>
  <c r="F3846" i="13"/>
  <c r="F3847" i="13"/>
  <c r="F3848" i="13"/>
  <c r="F3849" i="13"/>
  <c r="F3850" i="13"/>
  <c r="F3851" i="13"/>
  <c r="F3852" i="13"/>
  <c r="F3853" i="13"/>
  <c r="F3854" i="13"/>
  <c r="F3855" i="13"/>
  <c r="F3856" i="13"/>
  <c r="F3857" i="13"/>
  <c r="F3858" i="13"/>
  <c r="F3859" i="13"/>
  <c r="F3860" i="13"/>
  <c r="F3861" i="13"/>
  <c r="F3862" i="13"/>
  <c r="F3863" i="13"/>
  <c r="F3864" i="13"/>
  <c r="F3865" i="13"/>
  <c r="F3866" i="13"/>
  <c r="F3867" i="13"/>
  <c r="F3868" i="13"/>
  <c r="F3869" i="13"/>
  <c r="F3870" i="13"/>
  <c r="F3871" i="13"/>
  <c r="B3768" i="13"/>
  <c r="B3769" i="13"/>
  <c r="B3770" i="13"/>
  <c r="B3767" i="13"/>
  <c r="F3768" i="13"/>
  <c r="F3769" i="13"/>
  <c r="F3767" i="13"/>
  <c r="F3766" i="13"/>
  <c r="B3764" i="13"/>
  <c r="B3765" i="13"/>
  <c r="B3766" i="13"/>
  <c r="F3764" i="13"/>
  <c r="F3765" i="13"/>
  <c r="B3734" i="13"/>
  <c r="B3735" i="13"/>
  <c r="B3736" i="13"/>
  <c r="B3737" i="13"/>
  <c r="B3738" i="13"/>
  <c r="B3739" i="13"/>
  <c r="B3740" i="13"/>
  <c r="B3741" i="13"/>
  <c r="B3742" i="13"/>
  <c r="B3743" i="13"/>
  <c r="B3744" i="13"/>
  <c r="B3745" i="13"/>
  <c r="B3746" i="13"/>
  <c r="B3747" i="13"/>
  <c r="B3748" i="13"/>
  <c r="B3749" i="13"/>
  <c r="B3750" i="13"/>
  <c r="B3751" i="13"/>
  <c r="B3752" i="13"/>
  <c r="B3753" i="13"/>
  <c r="B3754" i="13"/>
  <c r="B3755" i="13"/>
  <c r="B3756" i="13"/>
  <c r="B3757" i="13"/>
  <c r="B3758" i="13"/>
  <c r="B3759" i="13"/>
  <c r="B3760" i="13"/>
  <c r="B3761" i="13"/>
  <c r="B3762" i="13"/>
  <c r="B3763" i="13"/>
  <c r="F3734" i="13"/>
  <c r="F3735" i="13"/>
  <c r="F3736" i="13"/>
  <c r="F3737" i="13"/>
  <c r="F3738" i="13"/>
  <c r="F3739" i="13"/>
  <c r="F3740" i="13"/>
  <c r="F3741" i="13"/>
  <c r="F3742" i="13"/>
  <c r="F3743" i="13"/>
  <c r="F3744" i="13"/>
  <c r="F3745" i="13"/>
  <c r="F3746" i="13"/>
  <c r="F3747" i="13"/>
  <c r="F3748" i="13"/>
  <c r="F3749" i="13"/>
  <c r="F3750" i="13"/>
  <c r="F3751" i="13"/>
  <c r="F3752" i="13"/>
  <c r="F3753" i="13"/>
  <c r="F3754" i="13"/>
  <c r="F3755" i="13"/>
  <c r="F3756" i="13"/>
  <c r="F3757" i="13"/>
  <c r="F3758" i="13"/>
  <c r="F3759" i="13"/>
  <c r="F3760" i="13"/>
  <c r="F3761" i="13"/>
  <c r="F3762" i="13"/>
  <c r="F3763" i="13"/>
  <c r="B3705" i="13"/>
  <c r="B3706" i="13"/>
  <c r="B3707" i="13"/>
  <c r="B3708" i="13"/>
  <c r="B3709" i="13"/>
  <c r="B3710" i="13"/>
  <c r="B3711" i="13"/>
  <c r="B3712" i="13"/>
  <c r="B3713" i="13"/>
  <c r="B3714" i="13"/>
  <c r="B3715" i="13"/>
  <c r="B3716" i="13"/>
  <c r="B3717" i="13"/>
  <c r="B3718" i="13"/>
  <c r="B3719" i="13"/>
  <c r="B3720" i="13"/>
  <c r="B3721" i="13"/>
  <c r="B3722" i="13"/>
  <c r="B3723" i="13"/>
  <c r="B3724" i="13"/>
  <c r="B3725" i="13"/>
  <c r="B3726" i="13"/>
  <c r="B3727" i="13"/>
  <c r="B3728" i="13"/>
  <c r="B3729" i="13"/>
  <c r="B3730" i="13"/>
  <c r="B3731" i="13"/>
  <c r="B3732" i="13"/>
  <c r="B3733" i="13"/>
  <c r="F3705" i="13"/>
  <c r="F3706" i="13"/>
  <c r="F3707" i="13"/>
  <c r="F3708" i="13"/>
  <c r="F3709" i="13"/>
  <c r="F3710" i="13"/>
  <c r="F3711" i="13"/>
  <c r="F3712" i="13"/>
  <c r="F3713" i="13"/>
  <c r="F3714" i="13"/>
  <c r="F3715" i="13"/>
  <c r="F3716" i="13"/>
  <c r="F3717" i="13"/>
  <c r="F3718" i="13"/>
  <c r="F3719" i="13"/>
  <c r="F3720" i="13"/>
  <c r="F3721" i="13"/>
  <c r="F3722" i="13"/>
  <c r="F3723" i="13"/>
  <c r="F3724" i="13"/>
  <c r="F3725" i="13"/>
  <c r="F3726" i="13"/>
  <c r="F3727" i="13"/>
  <c r="F3728" i="13"/>
  <c r="F3729" i="13"/>
  <c r="F3730" i="13"/>
  <c r="F3731" i="13"/>
  <c r="F3732" i="13"/>
  <c r="F3733" i="13"/>
  <c r="B3644" i="13"/>
  <c r="B3645" i="13"/>
  <c r="B3646" i="13"/>
  <c r="B3647" i="13"/>
  <c r="B3648" i="13"/>
  <c r="B3649" i="13"/>
  <c r="B3650" i="13"/>
  <c r="B3651" i="13"/>
  <c r="B3652" i="13"/>
  <c r="B3653" i="13"/>
  <c r="B3654" i="13"/>
  <c r="B3655" i="13"/>
  <c r="B3656" i="13"/>
  <c r="B3657" i="13"/>
  <c r="B3658" i="13"/>
  <c r="B3659" i="13"/>
  <c r="B3660" i="13"/>
  <c r="B3661" i="13"/>
  <c r="B3662" i="13"/>
  <c r="B3663" i="13"/>
  <c r="B3664" i="13"/>
  <c r="B3665" i="13"/>
  <c r="B3666" i="13"/>
  <c r="B3667" i="13"/>
  <c r="B3668" i="13"/>
  <c r="B3669" i="13"/>
  <c r="B3670" i="13"/>
  <c r="B3671" i="13"/>
  <c r="B3672" i="13"/>
  <c r="B3673" i="13"/>
  <c r="B3674" i="13"/>
  <c r="B3675" i="13"/>
  <c r="B3676" i="13"/>
  <c r="B3677" i="13"/>
  <c r="B3678" i="13"/>
  <c r="B3679" i="13"/>
  <c r="B3680" i="13"/>
  <c r="B3681" i="13"/>
  <c r="B3682" i="13"/>
  <c r="B3683" i="13"/>
  <c r="B3684" i="13"/>
  <c r="B3685" i="13"/>
  <c r="B3686" i="13"/>
  <c r="B3687" i="13"/>
  <c r="B3688" i="13"/>
  <c r="B3689" i="13"/>
  <c r="B3690" i="13"/>
  <c r="B3691" i="13"/>
  <c r="B3692" i="13"/>
  <c r="B3693" i="13"/>
  <c r="B3694" i="13"/>
  <c r="B3695" i="13"/>
  <c r="B3696" i="13"/>
  <c r="B3697" i="13"/>
  <c r="B3698" i="13"/>
  <c r="B3699" i="13"/>
  <c r="B3700" i="13"/>
  <c r="B3701" i="13"/>
  <c r="B3702" i="13"/>
  <c r="B3703" i="13"/>
  <c r="B3704" i="13"/>
  <c r="F3644" i="13"/>
  <c r="F3645" i="13"/>
  <c r="F3647" i="13"/>
  <c r="F3648" i="13"/>
  <c r="F3649" i="13"/>
  <c r="F3650" i="13"/>
  <c r="F3651" i="13"/>
  <c r="F3652" i="13"/>
  <c r="F3653" i="13"/>
  <c r="F3654" i="13"/>
  <c r="F3655" i="13"/>
  <c r="F3656" i="13"/>
  <c r="F3657" i="13"/>
  <c r="F3658" i="13"/>
  <c r="F3659" i="13"/>
  <c r="F3660" i="13"/>
  <c r="F3661" i="13"/>
  <c r="F3662" i="13"/>
  <c r="F3663" i="13"/>
  <c r="F3664" i="13"/>
  <c r="F3665" i="13"/>
  <c r="F3666" i="13"/>
  <c r="F3667" i="13"/>
  <c r="F3668" i="13"/>
  <c r="F3669" i="13"/>
  <c r="F3670" i="13"/>
  <c r="F3671" i="13"/>
  <c r="F3672" i="13"/>
  <c r="F3673" i="13"/>
  <c r="F3674" i="13"/>
  <c r="F3675" i="13"/>
  <c r="F3676" i="13"/>
  <c r="F3677" i="13"/>
  <c r="F3678" i="13"/>
  <c r="F3679" i="13"/>
  <c r="F3680" i="13"/>
  <c r="F3681" i="13"/>
  <c r="F3682" i="13"/>
  <c r="F3683" i="13"/>
  <c r="F3684" i="13"/>
  <c r="F3685" i="13"/>
  <c r="F3686" i="13"/>
  <c r="F3687" i="13"/>
  <c r="F3688" i="13"/>
  <c r="F3689" i="13"/>
  <c r="F3690" i="13"/>
  <c r="F3691" i="13"/>
  <c r="F3692" i="13"/>
  <c r="F3693" i="13"/>
  <c r="F3694" i="13"/>
  <c r="F3695" i="13"/>
  <c r="F3696" i="13"/>
  <c r="F3697" i="13"/>
  <c r="F3699" i="13"/>
  <c r="F3700" i="13"/>
  <c r="F3701" i="13"/>
  <c r="F3702" i="13"/>
  <c r="F3703" i="13"/>
  <c r="F3704" i="13"/>
  <c r="B3631" i="13" l="1"/>
  <c r="B3632" i="13"/>
  <c r="B3633" i="13"/>
  <c r="B3634" i="13"/>
  <c r="B3635" i="13"/>
  <c r="B3636" i="13"/>
  <c r="B3637" i="13"/>
  <c r="B3638" i="13"/>
  <c r="B3639" i="13"/>
  <c r="B3640" i="13"/>
  <c r="B3641" i="13"/>
  <c r="B3642" i="13"/>
  <c r="B3643" i="13"/>
  <c r="F3630" i="13"/>
  <c r="F3631" i="13"/>
  <c r="F3632" i="13"/>
  <c r="F3633" i="13"/>
  <c r="F3634" i="13"/>
  <c r="F3635" i="13"/>
  <c r="F3636" i="13"/>
  <c r="F3637" i="13"/>
  <c r="F3638" i="13"/>
  <c r="F3639" i="13"/>
  <c r="F3640" i="13"/>
  <c r="F3641" i="13"/>
  <c r="F3642" i="13"/>
  <c r="F3643" i="13"/>
  <c r="B3617" i="13"/>
  <c r="B3618" i="13"/>
  <c r="B3619" i="13"/>
  <c r="B3620" i="13"/>
  <c r="B3621" i="13"/>
  <c r="B3622" i="13"/>
  <c r="B3623" i="13"/>
  <c r="B3624" i="13"/>
  <c r="B3625" i="13"/>
  <c r="B3626" i="13"/>
  <c r="B3627" i="13"/>
  <c r="B3628" i="13"/>
  <c r="B3629" i="13"/>
  <c r="B3630" i="13"/>
  <c r="F3616" i="13"/>
  <c r="F3617" i="13"/>
  <c r="F3618" i="13"/>
  <c r="F3619" i="13"/>
  <c r="F3620" i="13"/>
  <c r="F3621" i="13"/>
  <c r="F3622" i="13"/>
  <c r="F3623" i="13"/>
  <c r="F3624" i="13"/>
  <c r="F3625" i="13"/>
  <c r="F3626" i="13"/>
  <c r="F3627" i="13"/>
  <c r="F3628" i="13"/>
  <c r="F3629" i="13"/>
  <c r="B3590" i="13" l="1"/>
  <c r="B3591" i="13"/>
  <c r="B3592" i="13"/>
  <c r="B3593" i="13"/>
  <c r="B3594" i="13"/>
  <c r="B3595" i="13"/>
  <c r="B3596" i="13"/>
  <c r="B3597" i="13"/>
  <c r="B3598" i="13"/>
  <c r="B3599" i="13"/>
  <c r="B3600" i="13"/>
  <c r="B3601" i="13"/>
  <c r="B3602" i="13"/>
  <c r="B3603" i="13"/>
  <c r="B3604" i="13"/>
  <c r="B3605" i="13"/>
  <c r="B3606" i="13"/>
  <c r="B3607" i="13"/>
  <c r="B3608" i="13"/>
  <c r="B3609" i="13"/>
  <c r="B3610" i="13"/>
  <c r="B3611" i="13"/>
  <c r="B3612" i="13"/>
  <c r="B3613" i="13"/>
  <c r="B3614" i="13"/>
  <c r="B3615" i="13"/>
  <c r="B3616" i="13"/>
  <c r="F3597" i="13"/>
  <c r="F3598" i="13"/>
  <c r="F3599" i="13"/>
  <c r="F3600" i="13"/>
  <c r="F3601" i="13"/>
  <c r="F3602" i="13"/>
  <c r="F3603" i="13"/>
  <c r="F3604" i="13"/>
  <c r="F3605" i="13"/>
  <c r="F3606" i="13"/>
  <c r="F3607" i="13"/>
  <c r="F3608" i="13"/>
  <c r="F3609" i="13"/>
  <c r="F3610" i="13"/>
  <c r="F3611" i="13"/>
  <c r="F3612" i="13"/>
  <c r="F3613" i="13"/>
  <c r="F3614" i="13"/>
  <c r="F3615" i="13"/>
  <c r="F3547" i="13" l="1"/>
  <c r="F3512" i="13" l="1"/>
  <c r="F3513" i="13"/>
  <c r="F3514" i="13"/>
  <c r="F3515" i="13"/>
  <c r="F3516" i="13"/>
  <c r="F3517" i="13"/>
  <c r="F3518" i="13"/>
  <c r="F3519" i="13"/>
  <c r="F3520" i="13"/>
  <c r="F3521" i="13"/>
  <c r="F3522" i="13"/>
  <c r="F3523" i="13"/>
  <c r="F3524" i="13"/>
  <c r="F3525" i="13"/>
  <c r="F3526" i="13"/>
  <c r="F3527" i="13"/>
  <c r="F3528" i="13"/>
  <c r="F3529" i="13"/>
  <c r="F3530" i="13"/>
  <c r="F3531" i="13"/>
  <c r="F3532" i="13"/>
  <c r="F3533" i="13"/>
  <c r="F3534" i="13"/>
  <c r="F3535" i="13"/>
  <c r="F3536" i="13"/>
  <c r="F3537" i="13"/>
  <c r="F3538" i="13"/>
  <c r="F3539" i="13"/>
  <c r="F3540" i="13"/>
  <c r="F3541" i="13"/>
  <c r="F3542" i="13"/>
  <c r="F3543" i="13"/>
  <c r="F3544" i="13"/>
  <c r="F3545" i="13"/>
  <c r="F3546" i="13"/>
  <c r="F3548" i="13"/>
  <c r="F3549" i="13"/>
  <c r="F3550" i="13"/>
  <c r="F3551" i="13"/>
  <c r="F3552" i="13"/>
  <c r="F3553" i="13"/>
  <c r="F3554" i="13"/>
  <c r="F3555" i="13"/>
  <c r="F3556" i="13"/>
  <c r="F3557" i="13"/>
  <c r="F3558" i="13"/>
  <c r="F3559" i="13"/>
  <c r="F3560" i="13"/>
  <c r="F3561" i="13"/>
  <c r="F3562" i="13"/>
  <c r="F3563" i="13"/>
  <c r="F3564" i="13"/>
  <c r="F3565" i="13"/>
  <c r="F3566" i="13"/>
  <c r="F3567" i="13"/>
  <c r="F3568" i="13"/>
  <c r="F3569" i="13"/>
  <c r="F3570" i="13"/>
  <c r="F3571" i="13"/>
  <c r="F3572" i="13"/>
  <c r="F3573" i="13"/>
  <c r="F3574" i="13"/>
  <c r="F3575" i="13"/>
  <c r="F3576" i="13"/>
  <c r="F3577" i="13"/>
  <c r="F3578" i="13"/>
  <c r="F3579" i="13"/>
  <c r="F3580" i="13"/>
  <c r="F3581" i="13"/>
  <c r="F3583" i="13"/>
  <c r="F3584" i="13"/>
  <c r="F3585" i="13"/>
  <c r="F3586" i="13"/>
  <c r="F3587" i="13"/>
  <c r="F3588" i="13"/>
  <c r="F3589" i="13"/>
  <c r="F3590" i="13"/>
  <c r="F3591" i="13"/>
  <c r="F3592" i="13"/>
  <c r="F3593" i="13"/>
  <c r="F3594" i="13"/>
  <c r="F3595" i="13"/>
  <c r="F3596" i="13"/>
  <c r="B3504" i="13"/>
  <c r="B3505" i="13"/>
  <c r="B3506" i="13"/>
  <c r="B3507" i="13"/>
  <c r="B3508" i="13"/>
  <c r="B3509" i="13"/>
  <c r="B3510" i="13"/>
  <c r="B3511" i="13"/>
  <c r="B3512" i="13"/>
  <c r="B3513" i="13"/>
  <c r="B3514" i="13"/>
  <c r="B3515" i="13"/>
  <c r="B3516" i="13"/>
  <c r="B3517" i="13"/>
  <c r="B3518" i="13"/>
  <c r="B3519" i="13"/>
  <c r="B3520" i="13"/>
  <c r="B3521" i="13"/>
  <c r="B3522" i="13"/>
  <c r="B3523" i="13"/>
  <c r="B3524" i="13"/>
  <c r="B3525" i="13"/>
  <c r="B3526" i="13"/>
  <c r="B3527" i="13"/>
  <c r="B3528" i="13"/>
  <c r="B3529" i="13"/>
  <c r="B3530" i="13"/>
  <c r="B3531" i="13"/>
  <c r="B3532" i="13"/>
  <c r="B3533" i="13"/>
  <c r="B3534" i="13"/>
  <c r="B3535" i="13"/>
  <c r="B3536" i="13"/>
  <c r="B3537" i="13"/>
  <c r="B3538" i="13"/>
  <c r="B3539" i="13"/>
  <c r="B3540" i="13"/>
  <c r="B3541" i="13"/>
  <c r="B3542" i="13"/>
  <c r="B3543" i="13"/>
  <c r="B3544" i="13"/>
  <c r="B3545" i="13"/>
  <c r="B3546" i="13"/>
  <c r="B3547" i="13"/>
  <c r="B3548" i="13"/>
  <c r="B3549" i="13"/>
  <c r="B3550" i="13"/>
  <c r="B3551" i="13"/>
  <c r="B3552" i="13"/>
  <c r="B3553" i="13"/>
  <c r="B3554" i="13"/>
  <c r="B3555" i="13"/>
  <c r="B3556" i="13"/>
  <c r="B3557" i="13"/>
  <c r="B3558" i="13"/>
  <c r="B3559" i="13"/>
  <c r="B3560" i="13"/>
  <c r="B3561" i="13"/>
  <c r="B3562" i="13"/>
  <c r="B3563" i="13"/>
  <c r="B3564" i="13"/>
  <c r="B3565" i="13"/>
  <c r="B3566" i="13"/>
  <c r="B3567" i="13"/>
  <c r="B3568" i="13"/>
  <c r="B3569" i="13"/>
  <c r="B3570" i="13"/>
  <c r="B3571" i="13"/>
  <c r="B3572" i="13"/>
  <c r="B3573" i="13"/>
  <c r="B3574" i="13"/>
  <c r="B3575" i="13"/>
  <c r="B3576" i="13"/>
  <c r="B3577" i="13"/>
  <c r="B3578" i="13"/>
  <c r="B3579" i="13"/>
  <c r="B3580" i="13"/>
  <c r="B3581" i="13"/>
  <c r="F3500" i="13"/>
  <c r="F3501" i="13"/>
  <c r="F3502" i="13"/>
  <c r="F3503" i="13"/>
  <c r="F3504" i="13"/>
  <c r="F3505" i="13"/>
  <c r="F3506" i="13"/>
  <c r="F3507" i="13"/>
  <c r="F3508" i="13"/>
  <c r="F3509" i="13"/>
  <c r="F3510" i="13"/>
  <c r="F3511" i="13"/>
  <c r="F3258" i="13" l="1"/>
  <c r="F3259" i="13"/>
  <c r="F2617" i="13" l="1"/>
  <c r="F2399" i="13" l="1"/>
  <c r="B3503" i="13" l="1"/>
  <c r="B3502" i="13"/>
  <c r="F1611" i="13"/>
  <c r="B3501" i="13"/>
  <c r="F1089" i="13" l="1"/>
  <c r="F1090" i="13"/>
  <c r="F1091" i="13"/>
  <c r="F1158" i="13"/>
  <c r="F1159" i="13"/>
  <c r="F1160" i="13"/>
  <c r="F1161" i="13"/>
  <c r="F1162" i="13"/>
  <c r="F1163" i="13"/>
  <c r="J1065" i="13"/>
  <c r="J1063" i="13"/>
  <c r="F974" i="13" l="1"/>
  <c r="F707" i="13" l="1"/>
  <c r="F311" i="13" l="1"/>
  <c r="H5" i="13" l="1"/>
  <c r="S22" i="13" l="1"/>
  <c r="S23" i="13"/>
  <c r="S24" i="13"/>
  <c r="S25" i="13"/>
  <c r="S26" i="13"/>
  <c r="S27" i="13"/>
  <c r="S28" i="13"/>
  <c r="S21" i="13"/>
  <c r="R29" i="13"/>
  <c r="Q29" i="13"/>
  <c r="T29" i="13" l="1"/>
  <c r="S29" i="13"/>
  <c r="F918" i="13" l="1"/>
  <c r="F14" i="13"/>
  <c r="F911" i="13"/>
  <c r="F895" i="13"/>
  <c r="F885" i="13"/>
  <c r="F879" i="13"/>
  <c r="F874" i="13"/>
  <c r="F869" i="13"/>
  <c r="F863" i="13"/>
  <c r="F853" i="13"/>
  <c r="F847" i="13"/>
  <c r="F842" i="13"/>
  <c r="F837" i="13"/>
  <c r="F831" i="13"/>
  <c r="F826" i="13"/>
  <c r="F821" i="13"/>
  <c r="F815" i="13"/>
  <c r="F810" i="13"/>
  <c r="F805" i="13"/>
  <c r="F799" i="13"/>
  <c r="F794" i="13"/>
  <c r="F789" i="13"/>
  <c r="F783" i="13"/>
  <c r="F778" i="13"/>
  <c r="F773" i="13"/>
  <c r="F767" i="13"/>
  <c r="F762" i="13"/>
  <c r="F757" i="13"/>
  <c r="F751" i="13"/>
  <c r="F746" i="13"/>
  <c r="F541" i="13"/>
  <c r="F736" i="13"/>
  <c r="F731" i="13"/>
  <c r="F726" i="13"/>
  <c r="F720" i="13"/>
  <c r="F715" i="13"/>
  <c r="F710" i="13"/>
  <c r="F704" i="13"/>
  <c r="F699" i="13"/>
  <c r="F694" i="13"/>
  <c r="F681" i="13"/>
  <c r="F676" i="13"/>
  <c r="F671" i="13"/>
  <c r="F665" i="13"/>
  <c r="F660" i="13"/>
  <c r="F655" i="13"/>
  <c r="F649" i="13"/>
  <c r="F644" i="13"/>
  <c r="F639" i="13"/>
  <c r="F633" i="13"/>
  <c r="F628" i="13"/>
  <c r="F623" i="13"/>
  <c r="F617" i="13"/>
  <c r="F612" i="13"/>
  <c r="F607" i="13"/>
  <c r="F601" i="13"/>
  <c r="F596" i="13"/>
  <c r="F591" i="13"/>
  <c r="F585" i="13"/>
  <c r="F580" i="13"/>
  <c r="F575" i="13"/>
  <c r="F569" i="13"/>
  <c r="F564" i="13"/>
  <c r="F559" i="13"/>
  <c r="F553" i="13"/>
  <c r="F548" i="13"/>
  <c r="F543" i="13"/>
  <c r="F537" i="13"/>
  <c r="F532" i="13"/>
  <c r="F527" i="13"/>
  <c r="F521" i="13"/>
  <c r="F516" i="13"/>
  <c r="F511" i="13"/>
  <c r="F505" i="13"/>
  <c r="F500" i="13"/>
  <c r="F495" i="13"/>
  <c r="F489" i="13"/>
  <c r="F484" i="13"/>
  <c r="F479" i="13"/>
  <c r="F473" i="13"/>
  <c r="F462" i="13"/>
  <c r="F457" i="13"/>
  <c r="F444" i="13"/>
  <c r="F428" i="13"/>
  <c r="F412" i="13"/>
  <c r="F396" i="13"/>
  <c r="F380" i="13"/>
  <c r="F364" i="13"/>
  <c r="F348" i="13"/>
  <c r="F323" i="13"/>
  <c r="F307" i="13"/>
  <c r="F291" i="13"/>
  <c r="F275" i="13"/>
  <c r="F259" i="13"/>
  <c r="F243" i="13"/>
  <c r="F227" i="13"/>
  <c r="F211" i="13"/>
  <c r="F195" i="13"/>
  <c r="F179" i="13"/>
  <c r="F163" i="13"/>
  <c r="F147" i="13"/>
  <c r="F131" i="13"/>
  <c r="F115" i="13"/>
  <c r="F99" i="13"/>
  <c r="F83" i="13"/>
  <c r="F67" i="13"/>
  <c r="F51" i="13"/>
  <c r="F35" i="13"/>
  <c r="B7" i="13"/>
  <c r="B14" i="13"/>
  <c r="B27" i="13"/>
  <c r="B486" i="13"/>
  <c r="B464" i="13"/>
  <c r="B468" i="13"/>
  <c r="B435" i="13"/>
  <c r="B419" i="13"/>
  <c r="B403" i="13"/>
  <c r="B387" i="13"/>
  <c r="B371" i="13"/>
  <c r="B355" i="13"/>
  <c r="B339" i="13"/>
  <c r="B323" i="13"/>
  <c r="B307" i="13"/>
  <c r="B291" i="13"/>
  <c r="B275" i="13"/>
  <c r="B259" i="13"/>
  <c r="B243" i="13"/>
  <c r="B227" i="13"/>
  <c r="B211" i="13"/>
  <c r="B195" i="13"/>
  <c r="B179" i="13"/>
  <c r="B163" i="13"/>
  <c r="B147" i="13"/>
  <c r="B131" i="13"/>
  <c r="B115" i="13"/>
  <c r="B99" i="13"/>
  <c r="B83" i="13"/>
  <c r="B67" i="13"/>
  <c r="B51" i="13"/>
  <c r="B929" i="13"/>
  <c r="B915" i="13"/>
  <c r="B899" i="13"/>
  <c r="B883" i="13"/>
  <c r="B867" i="13"/>
  <c r="B851" i="13"/>
  <c r="B835" i="13"/>
  <c r="B819" i="13"/>
  <c r="B803" i="13"/>
  <c r="F10" i="13"/>
  <c r="F9" i="13"/>
  <c r="F922" i="13"/>
  <c r="F906" i="13"/>
  <c r="F890" i="13"/>
  <c r="F18" i="13"/>
  <c r="F13" i="13"/>
  <c r="F921" i="13"/>
  <c r="F915" i="13"/>
  <c r="F910" i="13"/>
  <c r="F905" i="13"/>
  <c r="F899" i="13"/>
  <c r="F894" i="13"/>
  <c r="F889" i="13"/>
  <c r="F883" i="13"/>
  <c r="F878" i="13"/>
  <c r="F873" i="13"/>
  <c r="F867" i="13"/>
  <c r="F857" i="13"/>
  <c r="F851" i="13"/>
  <c r="F846" i="13"/>
  <c r="F841" i="13"/>
  <c r="F835" i="13"/>
  <c r="F830" i="13"/>
  <c r="F825" i="13"/>
  <c r="F819" i="13"/>
  <c r="F814" i="13"/>
  <c r="F809" i="13"/>
  <c r="F803" i="13"/>
  <c r="F798" i="13"/>
  <c r="F793" i="13"/>
  <c r="F787" i="13"/>
  <c r="F782" i="13"/>
  <c r="F777" i="13"/>
  <c r="F771" i="13"/>
  <c r="F766" i="13"/>
  <c r="F761" i="13"/>
  <c r="F755" i="13"/>
  <c r="F750" i="13"/>
  <c r="F745" i="13"/>
  <c r="F471" i="13"/>
  <c r="F735" i="13"/>
  <c r="F730" i="13"/>
  <c r="F724" i="13"/>
  <c r="F719" i="13"/>
  <c r="F714" i="13"/>
  <c r="F708" i="13"/>
  <c r="F703" i="13"/>
  <c r="F698" i="13"/>
  <c r="F692" i="13"/>
  <c r="F680" i="13"/>
  <c r="F675" i="13"/>
  <c r="F669" i="13"/>
  <c r="F664" i="13"/>
  <c r="F659" i="13"/>
  <c r="F653" i="13"/>
  <c r="F648" i="13"/>
  <c r="F643" i="13"/>
  <c r="F637" i="13"/>
  <c r="F632" i="13"/>
  <c r="F627" i="13"/>
  <c r="F621" i="13"/>
  <c r="F616" i="13"/>
  <c r="F611" i="13"/>
  <c r="F605" i="13"/>
  <c r="F600" i="13"/>
  <c r="F595" i="13"/>
  <c r="F589" i="13"/>
  <c r="F584" i="13"/>
  <c r="F579" i="13"/>
  <c r="F573" i="13"/>
  <c r="F568" i="13"/>
  <c r="F563" i="13"/>
  <c r="F557" i="13"/>
  <c r="F552" i="13"/>
  <c r="F547" i="13"/>
  <c r="F470" i="13"/>
  <c r="F536" i="13"/>
  <c r="F531" i="13"/>
  <c r="F525" i="13"/>
  <c r="F520" i="13"/>
  <c r="F515" i="13"/>
  <c r="F509" i="13"/>
  <c r="F504" i="13"/>
  <c r="F499" i="13"/>
  <c r="F493" i="13"/>
  <c r="F488" i="13"/>
  <c r="F483" i="13"/>
  <c r="F477" i="13"/>
  <c r="F466" i="13"/>
  <c r="F461" i="13"/>
  <c r="F467" i="13"/>
  <c r="F440" i="13"/>
  <c r="F424" i="13"/>
  <c r="F408" i="13"/>
  <c r="F392" i="13"/>
  <c r="F376" i="13"/>
  <c r="F360" i="13"/>
  <c r="F344" i="13"/>
  <c r="F319" i="13"/>
  <c r="F303" i="13"/>
  <c r="F287" i="13"/>
  <c r="F271" i="13"/>
  <c r="F255" i="13"/>
  <c r="F239" i="13"/>
  <c r="F223" i="13"/>
  <c r="F207" i="13"/>
  <c r="F191" i="13"/>
  <c r="F175" i="13"/>
  <c r="F159" i="13"/>
  <c r="F143" i="13"/>
  <c r="F127" i="13"/>
  <c r="F111" i="13"/>
  <c r="F95" i="13"/>
  <c r="F79" i="13"/>
  <c r="F63" i="13"/>
  <c r="F47" i="13"/>
  <c r="F31" i="13"/>
  <c r="B8" i="13"/>
  <c r="B39" i="13"/>
  <c r="B498" i="13"/>
  <c r="B482" i="13"/>
  <c r="B460" i="13"/>
  <c r="B447" i="13"/>
  <c r="B431" i="13"/>
  <c r="B415" i="13"/>
  <c r="B399" i="13"/>
  <c r="B383" i="13"/>
  <c r="B367" i="13"/>
  <c r="B351" i="13"/>
  <c r="B335" i="13"/>
  <c r="B319" i="13"/>
  <c r="B303" i="13"/>
  <c r="B287" i="13"/>
  <c r="B271" i="13"/>
  <c r="B255" i="13"/>
  <c r="B239" i="13"/>
  <c r="B223" i="13"/>
  <c r="B207" i="13"/>
  <c r="B191" i="13"/>
  <c r="B175" i="13"/>
  <c r="B159" i="13"/>
  <c r="B143" i="13"/>
  <c r="B127" i="13"/>
  <c r="B111" i="13"/>
  <c r="B95" i="13"/>
  <c r="B79" i="13"/>
  <c r="B63" i="13"/>
  <c r="B47" i="13"/>
  <c r="B741" i="13"/>
  <c r="B911" i="13"/>
  <c r="B895" i="13"/>
  <c r="B879" i="13"/>
  <c r="B863" i="13"/>
  <c r="B847" i="13"/>
  <c r="B831" i="13"/>
  <c r="B815" i="13"/>
  <c r="B799" i="13"/>
  <c r="F16" i="13"/>
  <c r="F913" i="13"/>
  <c r="F917" i="13"/>
  <c r="F901" i="13"/>
  <c r="F7" i="13"/>
  <c r="F17" i="13"/>
  <c r="F12" i="13"/>
  <c r="F919" i="13"/>
  <c r="F914" i="13"/>
  <c r="F909" i="13"/>
  <c r="F903" i="13"/>
  <c r="F898" i="13"/>
  <c r="F893" i="13"/>
  <c r="F887" i="13"/>
  <c r="F882" i="13"/>
  <c r="F877" i="13"/>
  <c r="F871" i="13"/>
  <c r="F866" i="13"/>
  <c r="F855" i="13"/>
  <c r="F850" i="13"/>
  <c r="F845" i="13"/>
  <c r="F839" i="13"/>
  <c r="F834" i="13"/>
  <c r="F829" i="13"/>
  <c r="F823" i="13"/>
  <c r="F818" i="13"/>
  <c r="F813" i="13"/>
  <c r="F807" i="13"/>
  <c r="F802" i="13"/>
  <c r="F797" i="13"/>
  <c r="F791" i="13"/>
  <c r="F786" i="13"/>
  <c r="F781" i="13"/>
  <c r="F775" i="13"/>
  <c r="F770" i="13"/>
  <c r="F765" i="13"/>
  <c r="F759" i="13"/>
  <c r="F754" i="13"/>
  <c r="F749" i="13"/>
  <c r="F743" i="13"/>
  <c r="F739" i="13"/>
  <c r="F734" i="13"/>
  <c r="F728" i="13"/>
  <c r="F723" i="13"/>
  <c r="F718" i="13"/>
  <c r="F712" i="13"/>
  <c r="F702" i="13"/>
  <c r="F696" i="13"/>
  <c r="F691" i="13"/>
  <c r="F679" i="13"/>
  <c r="F673" i="13"/>
  <c r="F668" i="13"/>
  <c r="F663" i="13"/>
  <c r="F657" i="13"/>
  <c r="F652" i="13"/>
  <c r="F647" i="13"/>
  <c r="F641" i="13"/>
  <c r="F636" i="13"/>
  <c r="F631" i="13"/>
  <c r="F625" i="13"/>
  <c r="F620" i="13"/>
  <c r="F615" i="13"/>
  <c r="F609" i="13"/>
  <c r="F604" i="13"/>
  <c r="F599" i="13"/>
  <c r="F593" i="13"/>
  <c r="F588" i="13"/>
  <c r="F583" i="13"/>
  <c r="F577" i="13"/>
  <c r="F572" i="13"/>
  <c r="F567" i="13"/>
  <c r="F561" i="13"/>
  <c r="F556" i="13"/>
  <c r="F551" i="13"/>
  <c r="F545" i="13"/>
  <c r="F540" i="13"/>
  <c r="F535" i="13"/>
  <c r="F529" i="13"/>
  <c r="F524" i="13"/>
  <c r="F519" i="13"/>
  <c r="F513" i="13"/>
  <c r="F508" i="13"/>
  <c r="F503" i="13"/>
  <c r="F497" i="13"/>
  <c r="F492" i="13"/>
  <c r="F487" i="13"/>
  <c r="F481" i="13"/>
  <c r="F476" i="13"/>
  <c r="F465" i="13"/>
  <c r="F459" i="13"/>
  <c r="F451" i="13"/>
  <c r="F436" i="13"/>
  <c r="F420" i="13"/>
  <c r="F404" i="13"/>
  <c r="F388" i="13"/>
  <c r="F372" i="13"/>
  <c r="F356" i="13"/>
  <c r="F340" i="13"/>
  <c r="F315" i="13"/>
  <c r="F299" i="13"/>
  <c r="F283" i="13"/>
  <c r="F267" i="13"/>
  <c r="F251" i="13"/>
  <c r="F235" i="13"/>
  <c r="F219" i="13"/>
  <c r="F203" i="13"/>
  <c r="F187" i="13"/>
  <c r="F171" i="13"/>
  <c r="F155" i="13"/>
  <c r="F139" i="13"/>
  <c r="F123" i="13"/>
  <c r="F107" i="13"/>
  <c r="F91" i="13"/>
  <c r="F75" i="13"/>
  <c r="F59" i="13"/>
  <c r="F43" i="13"/>
  <c r="F27" i="13"/>
  <c r="B22" i="13"/>
  <c r="B35" i="13"/>
  <c r="B494" i="13"/>
  <c r="B478" i="13"/>
  <c r="B456" i="13"/>
  <c r="B443" i="13"/>
  <c r="B427" i="13"/>
  <c r="B411" i="13"/>
  <c r="B395" i="13"/>
  <c r="B379" i="13"/>
  <c r="B363" i="13"/>
  <c r="B347" i="13"/>
  <c r="B331" i="13"/>
  <c r="B315" i="13"/>
  <c r="B299" i="13"/>
  <c r="B283" i="13"/>
  <c r="B267" i="13"/>
  <c r="B251" i="13"/>
  <c r="B235" i="13"/>
  <c r="B219" i="13"/>
  <c r="B203" i="13"/>
  <c r="B187" i="13"/>
  <c r="B171" i="13"/>
  <c r="B155" i="13"/>
  <c r="B139" i="13"/>
  <c r="B123" i="13"/>
  <c r="B107" i="13"/>
  <c r="B91" i="13"/>
  <c r="B75" i="13"/>
  <c r="B59" i="13"/>
  <c r="B43" i="13"/>
  <c r="B923" i="13"/>
  <c r="B907" i="13"/>
  <c r="B891" i="13"/>
  <c r="B875" i="13"/>
  <c r="B859" i="13"/>
  <c r="B843" i="13"/>
  <c r="B827" i="13"/>
  <c r="B811" i="13"/>
  <c r="B795" i="13"/>
  <c r="F923" i="13"/>
  <c r="F907" i="13"/>
  <c r="F902" i="13"/>
  <c r="F897" i="13"/>
  <c r="F891" i="13"/>
  <c r="F886" i="13"/>
  <c r="F881" i="13"/>
  <c r="F875" i="13"/>
  <c r="F870" i="13"/>
  <c r="F865" i="13"/>
  <c r="F854" i="13"/>
  <c r="F849" i="13"/>
  <c r="F843" i="13"/>
  <c r="F838" i="13"/>
  <c r="F833" i="13"/>
  <c r="F827" i="13"/>
  <c r="F822" i="13"/>
  <c r="F817" i="13"/>
  <c r="F811" i="13"/>
  <c r="F806" i="13"/>
  <c r="F801" i="13"/>
  <c r="F795" i="13"/>
  <c r="F790" i="13"/>
  <c r="F785" i="13"/>
  <c r="F779" i="13"/>
  <c r="F774" i="13"/>
  <c r="F769" i="13"/>
  <c r="F763" i="13"/>
  <c r="F758" i="13"/>
  <c r="F753" i="13"/>
  <c r="F747" i="13"/>
  <c r="F742" i="13"/>
  <c r="F738" i="13"/>
  <c r="F732" i="13"/>
  <c r="F727" i="13"/>
  <c r="F722" i="13"/>
  <c r="F716" i="13"/>
  <c r="F711" i="13"/>
  <c r="F706" i="13"/>
  <c r="F700" i="13"/>
  <c r="F695" i="13"/>
  <c r="F683" i="13"/>
  <c r="F677" i="13"/>
  <c r="F672" i="13"/>
  <c r="F667" i="13"/>
  <c r="F661" i="13"/>
  <c r="F656" i="13"/>
  <c r="F651" i="13"/>
  <c r="F645" i="13"/>
  <c r="F640" i="13"/>
  <c r="F635" i="13"/>
  <c r="F629" i="13"/>
  <c r="F624" i="13"/>
  <c r="F619" i="13"/>
  <c r="F613" i="13"/>
  <c r="F608" i="13"/>
  <c r="F603" i="13"/>
  <c r="F597" i="13"/>
  <c r="F592" i="13"/>
  <c r="F587" i="13"/>
  <c r="F581" i="13"/>
  <c r="F576" i="13"/>
  <c r="F571" i="13"/>
  <c r="F565" i="13"/>
  <c r="F560" i="13"/>
  <c r="F555" i="13"/>
  <c r="F549" i="13"/>
  <c r="F544" i="13"/>
  <c r="F539" i="13"/>
  <c r="F533" i="13"/>
  <c r="F528" i="13"/>
  <c r="F523" i="13"/>
  <c r="F517" i="13"/>
  <c r="F512" i="13"/>
  <c r="F507" i="13"/>
  <c r="F501" i="13"/>
  <c r="F496" i="13"/>
  <c r="F491" i="13"/>
  <c r="F485" i="13"/>
  <c r="F480" i="13"/>
  <c r="F475" i="13"/>
  <c r="F463" i="13"/>
  <c r="F458" i="13"/>
  <c r="F448" i="13"/>
  <c r="F432" i="13"/>
  <c r="F416" i="13"/>
  <c r="F400" i="13"/>
  <c r="F384" i="13"/>
  <c r="F368" i="13"/>
  <c r="F352" i="13"/>
  <c r="F336" i="13"/>
  <c r="F295" i="13"/>
  <c r="F279" i="13"/>
  <c r="F263" i="13"/>
  <c r="F247" i="13"/>
  <c r="F231" i="13"/>
  <c r="F215" i="13"/>
  <c r="F199" i="13"/>
  <c r="F183" i="13"/>
  <c r="F167" i="13"/>
  <c r="F151" i="13"/>
  <c r="F135" i="13"/>
  <c r="F119" i="13"/>
  <c r="F103" i="13"/>
  <c r="F87" i="13"/>
  <c r="F71" i="13"/>
  <c r="F55" i="13"/>
  <c r="F39" i="13"/>
  <c r="F23" i="13"/>
  <c r="B18" i="13"/>
  <c r="B31" i="13"/>
  <c r="B490" i="13"/>
  <c r="B474" i="13"/>
  <c r="B453" i="13"/>
  <c r="B439" i="13"/>
  <c r="B423" i="13"/>
  <c r="B407" i="13"/>
  <c r="B391" i="13"/>
  <c r="B375" i="13"/>
  <c r="B359" i="13"/>
  <c r="B343" i="13"/>
  <c r="B327" i="13"/>
  <c r="B311" i="13"/>
  <c r="B295" i="13"/>
  <c r="B279" i="13"/>
  <c r="B263" i="13"/>
  <c r="B247" i="13"/>
  <c r="B231" i="13"/>
  <c r="B215" i="13"/>
  <c r="B199" i="13"/>
  <c r="B183" i="13"/>
  <c r="B167" i="13"/>
  <c r="B151" i="13"/>
  <c r="B135" i="13"/>
  <c r="B119" i="13"/>
  <c r="B103" i="13"/>
  <c r="B87" i="13"/>
  <c r="B71" i="13"/>
  <c r="B55" i="13"/>
  <c r="B501" i="13"/>
  <c r="B919" i="13"/>
  <c r="B903" i="13"/>
  <c r="B887" i="13"/>
  <c r="B871" i="13"/>
  <c r="B855" i="13"/>
  <c r="B839" i="13"/>
  <c r="B823" i="13"/>
  <c r="B807" i="13"/>
  <c r="B791" i="13"/>
  <c r="B787" i="13"/>
  <c r="B783" i="13"/>
  <c r="B779" i="13"/>
  <c r="B775" i="13"/>
  <c r="B771" i="13"/>
  <c r="B767" i="13"/>
  <c r="B763" i="13"/>
  <c r="B759" i="13"/>
  <c r="B755" i="13"/>
  <c r="B751" i="13"/>
  <c r="B747" i="13"/>
  <c r="B743" i="13"/>
  <c r="B471" i="13"/>
  <c r="B736" i="13"/>
  <c r="B732" i="13"/>
  <c r="B728" i="13"/>
  <c r="B724" i="13"/>
  <c r="B720" i="13"/>
  <c r="B716" i="13"/>
  <c r="B712" i="13"/>
  <c r="B708" i="13"/>
  <c r="B704" i="13"/>
  <c r="B700" i="13"/>
  <c r="B696" i="13"/>
  <c r="B692" i="13"/>
  <c r="B688" i="13"/>
  <c r="B684" i="13"/>
  <c r="B680" i="13"/>
  <c r="B676" i="13"/>
  <c r="B672" i="13"/>
  <c r="B668" i="13"/>
  <c r="B664" i="13"/>
  <c r="B660" i="13"/>
  <c r="B656" i="13"/>
  <c r="B652" i="13"/>
  <c r="B648" i="13"/>
  <c r="B644" i="13"/>
  <c r="B640" i="13"/>
  <c r="B636" i="13"/>
  <c r="B632" i="13"/>
  <c r="B628" i="13"/>
  <c r="B624" i="13"/>
  <c r="B620" i="13"/>
  <c r="B616" i="13"/>
  <c r="B612" i="13"/>
  <c r="B608" i="13"/>
  <c r="B604" i="13"/>
  <c r="B600" i="13"/>
  <c r="B596" i="13"/>
  <c r="B592" i="13"/>
  <c r="B588" i="13"/>
  <c r="B584" i="13"/>
  <c r="B580" i="13"/>
  <c r="B576" i="13"/>
  <c r="B572" i="13"/>
  <c r="B568" i="13"/>
  <c r="B564" i="13"/>
  <c r="B560" i="13"/>
  <c r="B556" i="13"/>
  <c r="B552" i="13"/>
  <c r="B548" i="13"/>
  <c r="B544" i="13"/>
  <c r="B540" i="13"/>
  <c r="B536" i="13"/>
  <c r="B532" i="13"/>
  <c r="B528" i="13"/>
  <c r="B524" i="13"/>
  <c r="B520" i="13"/>
  <c r="B516" i="13"/>
  <c r="B512" i="13"/>
  <c r="B508" i="13"/>
  <c r="F740" i="13"/>
  <c r="F927" i="13"/>
  <c r="F8" i="13"/>
  <c r="F15" i="13"/>
  <c r="F11" i="13"/>
  <c r="F920" i="13"/>
  <c r="F916" i="13"/>
  <c r="F912" i="13"/>
  <c r="F908" i="13"/>
  <c r="F904" i="13"/>
  <c r="F900" i="13"/>
  <c r="F896" i="13"/>
  <c r="F892" i="13"/>
  <c r="F888" i="13"/>
  <c r="F884" i="13"/>
  <c r="F880" i="13"/>
  <c r="F876" i="13"/>
  <c r="F872" i="13"/>
  <c r="F868" i="13"/>
  <c r="F864" i="13"/>
  <c r="F856" i="13"/>
  <c r="F852" i="13"/>
  <c r="F848" i="13"/>
  <c r="F844" i="13"/>
  <c r="F840" i="13"/>
  <c r="F836" i="13"/>
  <c r="F832" i="13"/>
  <c r="F828" i="13"/>
  <c r="F824" i="13"/>
  <c r="F820" i="13"/>
  <c r="F816" i="13"/>
  <c r="F812" i="13"/>
  <c r="F808" i="13"/>
  <c r="F804" i="13"/>
  <c r="F800" i="13"/>
  <c r="F796" i="13"/>
  <c r="F792" i="13"/>
  <c r="F788" i="13"/>
  <c r="F784" i="13"/>
  <c r="F780" i="13"/>
  <c r="F776" i="13"/>
  <c r="F772" i="13"/>
  <c r="F768" i="13"/>
  <c r="F764" i="13"/>
  <c r="F760" i="13"/>
  <c r="F756" i="13"/>
  <c r="F752" i="13"/>
  <c r="F748" i="13"/>
  <c r="F744" i="13"/>
  <c r="F472" i="13"/>
  <c r="F737" i="13"/>
  <c r="F733" i="13"/>
  <c r="F729" i="13"/>
  <c r="F725" i="13"/>
  <c r="F721" i="13"/>
  <c r="F717" i="13"/>
  <c r="F713" i="13"/>
  <c r="F709" i="13"/>
  <c r="F705" i="13"/>
  <c r="F701" i="13"/>
  <c r="F697" i="13"/>
  <c r="F693" i="13"/>
  <c r="F682" i="13"/>
  <c r="F678" i="13"/>
  <c r="F674" i="13"/>
  <c r="F670" i="13"/>
  <c r="F666" i="13"/>
  <c r="F662" i="13"/>
  <c r="F658" i="13"/>
  <c r="F654" i="13"/>
  <c r="F650" i="13"/>
  <c r="F646" i="13"/>
  <c r="F642" i="13"/>
  <c r="F638" i="13"/>
  <c r="F634" i="13"/>
  <c r="F630" i="13"/>
  <c r="F626" i="13"/>
  <c r="F622" i="13"/>
  <c r="F618" i="13"/>
  <c r="F614" i="13"/>
  <c r="F610" i="13"/>
  <c r="F606" i="13"/>
  <c r="F602" i="13"/>
  <c r="F598" i="13"/>
  <c r="F594" i="13"/>
  <c r="F590" i="13"/>
  <c r="F586" i="13"/>
  <c r="F582" i="13"/>
  <c r="F578" i="13"/>
  <c r="F574" i="13"/>
  <c r="F570" i="13"/>
  <c r="F566" i="13"/>
  <c r="F562" i="13"/>
  <c r="F558" i="13"/>
  <c r="F554" i="13"/>
  <c r="F550" i="13"/>
  <c r="F546" i="13"/>
  <c r="F542" i="13"/>
  <c r="F538" i="13"/>
  <c r="F534" i="13"/>
  <c r="F530" i="13"/>
  <c r="F526" i="13"/>
  <c r="F522" i="13"/>
  <c r="F518" i="13"/>
  <c r="F514" i="13"/>
  <c r="F510" i="13"/>
  <c r="F506" i="13"/>
  <c r="F502" i="13"/>
  <c r="F498" i="13"/>
  <c r="F494" i="13"/>
  <c r="F490" i="13"/>
  <c r="F486" i="13"/>
  <c r="F482" i="13"/>
  <c r="F478" i="13"/>
  <c r="F474" i="13"/>
  <c r="F464" i="13"/>
  <c r="F460" i="13"/>
  <c r="F456" i="13"/>
  <c r="F453" i="13"/>
  <c r="F468" i="13"/>
  <c r="F447" i="13"/>
  <c r="F443" i="13"/>
  <c r="F439" i="13"/>
  <c r="F435" i="13"/>
  <c r="F431" i="13"/>
  <c r="F427" i="13"/>
  <c r="F423" i="13"/>
  <c r="F419" i="13"/>
  <c r="F415" i="13"/>
  <c r="F411" i="13"/>
  <c r="F407" i="13"/>
  <c r="F403" i="13"/>
  <c r="F399" i="13"/>
  <c r="F395" i="13"/>
  <c r="F391" i="13"/>
  <c r="F387" i="13"/>
  <c r="F383" i="13"/>
  <c r="F379" i="13"/>
  <c r="F375" i="13"/>
  <c r="F371" i="13"/>
  <c r="F367" i="13"/>
  <c r="F363" i="13"/>
  <c r="F359" i="13"/>
  <c r="F355" i="13"/>
  <c r="F351" i="13"/>
  <c r="F347" i="13"/>
  <c r="F343" i="13"/>
  <c r="F339" i="13"/>
  <c r="F326" i="13"/>
  <c r="F322" i="13"/>
  <c r="F318" i="13"/>
  <c r="F314" i="13"/>
  <c r="F310" i="13"/>
  <c r="F306" i="13"/>
  <c r="F302" i="13"/>
  <c r="F298" i="13"/>
  <c r="F294" i="13"/>
  <c r="F286" i="13"/>
  <c r="F282" i="13"/>
  <c r="F278" i="13"/>
  <c r="F274" i="13"/>
  <c r="F270" i="13"/>
  <c r="F266" i="13"/>
  <c r="F262" i="13"/>
  <c r="F258" i="13"/>
  <c r="F254" i="13"/>
  <c r="F250" i="13"/>
  <c r="F246" i="13"/>
  <c r="F242" i="13"/>
  <c r="F238" i="13"/>
  <c r="F234" i="13"/>
  <c r="F230" i="13"/>
  <c r="F226" i="13"/>
  <c r="F222" i="13"/>
  <c r="F218" i="13"/>
  <c r="F214" i="13"/>
  <c r="F210" i="13"/>
  <c r="F206" i="13"/>
  <c r="F202" i="13"/>
  <c r="F198" i="13"/>
  <c r="F194" i="13"/>
  <c r="F190" i="13"/>
  <c r="F186" i="13"/>
  <c r="F182" i="13"/>
  <c r="F178" i="13"/>
  <c r="F174" i="13"/>
  <c r="F170" i="13"/>
  <c r="F166" i="13"/>
  <c r="F162" i="13"/>
  <c r="F158" i="13"/>
  <c r="F154" i="13"/>
  <c r="F150" i="13"/>
  <c r="F146" i="13"/>
  <c r="F142" i="13"/>
  <c r="F138" i="13"/>
  <c r="F134" i="13"/>
  <c r="F130" i="13"/>
  <c r="F126" i="13"/>
  <c r="F122" i="13"/>
  <c r="F118" i="13"/>
  <c r="F114" i="13"/>
  <c r="F110" i="13"/>
  <c r="F106" i="13"/>
  <c r="F102" i="13"/>
  <c r="F98" i="13"/>
  <c r="F94" i="13"/>
  <c r="F90" i="13"/>
  <c r="F86" i="13"/>
  <c r="F82" i="13"/>
  <c r="F78" i="13"/>
  <c r="F74" i="13"/>
  <c r="F70" i="13"/>
  <c r="F66" i="13"/>
  <c r="F62" i="13"/>
  <c r="F58" i="13"/>
  <c r="F54" i="13"/>
  <c r="F50" i="13"/>
  <c r="F46" i="13"/>
  <c r="F42" i="13"/>
  <c r="F38" i="13"/>
  <c r="F34" i="13"/>
  <c r="F30" i="13"/>
  <c r="F26" i="13"/>
  <c r="F22" i="13"/>
  <c r="B11" i="13"/>
  <c r="B25" i="13"/>
  <c r="B21" i="13"/>
  <c r="B17" i="13"/>
  <c r="B13" i="13"/>
  <c r="B38" i="13"/>
  <c r="B34" i="13"/>
  <c r="B30" i="13"/>
  <c r="B26" i="13"/>
  <c r="B497" i="13"/>
  <c r="B493" i="13"/>
  <c r="B489" i="13"/>
  <c r="B485" i="13"/>
  <c r="B481" i="13"/>
  <c r="B477" i="13"/>
  <c r="B473" i="13"/>
  <c r="B463" i="13"/>
  <c r="B459" i="13"/>
  <c r="B455" i="13"/>
  <c r="B469" i="13"/>
  <c r="B450" i="13"/>
  <c r="B446" i="13"/>
  <c r="B442" i="13"/>
  <c r="B438" i="13"/>
  <c r="B434" i="13"/>
  <c r="B430" i="13"/>
  <c r="B426" i="13"/>
  <c r="B422" i="13"/>
  <c r="B418" i="13"/>
  <c r="B414" i="13"/>
  <c r="B410" i="13"/>
  <c r="B406" i="13"/>
  <c r="B402" i="13"/>
  <c r="B398" i="13"/>
  <c r="B394" i="13"/>
  <c r="B390" i="13"/>
  <c r="B386" i="13"/>
  <c r="B382" i="13"/>
  <c r="B378" i="13"/>
  <c r="B374" i="13"/>
  <c r="B370" i="13"/>
  <c r="B366" i="13"/>
  <c r="B362" i="13"/>
  <c r="B358" i="13"/>
  <c r="B354" i="13"/>
  <c r="B350" i="13"/>
  <c r="B346" i="13"/>
  <c r="B342" i="13"/>
  <c r="B338" i="13"/>
  <c r="B334" i="13"/>
  <c r="B330" i="13"/>
  <c r="B326" i="13"/>
  <c r="B322" i="13"/>
  <c r="B318" i="13"/>
  <c r="B314" i="13"/>
  <c r="B310" i="13"/>
  <c r="B306" i="13"/>
  <c r="B302" i="13"/>
  <c r="B298" i="13"/>
  <c r="B294" i="13"/>
  <c r="B290" i="13"/>
  <c r="B286" i="13"/>
  <c r="B282" i="13"/>
  <c r="B278" i="13"/>
  <c r="B274" i="13"/>
  <c r="B270" i="13"/>
  <c r="B266" i="13"/>
  <c r="B262" i="13"/>
  <c r="B258" i="13"/>
  <c r="B254" i="13"/>
  <c r="B250" i="13"/>
  <c r="B246" i="13"/>
  <c r="B242" i="13"/>
  <c r="B238" i="13"/>
  <c r="B234" i="13"/>
  <c r="B230" i="13"/>
  <c r="B226" i="13"/>
  <c r="B222" i="13"/>
  <c r="B218" i="13"/>
  <c r="B214" i="13"/>
  <c r="B210" i="13"/>
  <c r="B206" i="13"/>
  <c r="B202" i="13"/>
  <c r="B198" i="13"/>
  <c r="B194" i="13"/>
  <c r="B190" i="13"/>
  <c r="B186" i="13"/>
  <c r="B182" i="13"/>
  <c r="B178" i="13"/>
  <c r="B174" i="13"/>
  <c r="B170" i="13"/>
  <c r="B166" i="13"/>
  <c r="B162" i="13"/>
  <c r="B158" i="13"/>
  <c r="B154" i="13"/>
  <c r="B150" i="13"/>
  <c r="B146" i="13"/>
  <c r="B142" i="13"/>
  <c r="B138" i="13"/>
  <c r="B134" i="13"/>
  <c r="B130" i="13"/>
  <c r="B126" i="13"/>
  <c r="B122" i="13"/>
  <c r="B118" i="13"/>
  <c r="B114" i="13"/>
  <c r="B110" i="13"/>
  <c r="B106" i="13"/>
  <c r="B102" i="13"/>
  <c r="B98" i="13"/>
  <c r="B94" i="13"/>
  <c r="B90" i="13"/>
  <c r="B86" i="13"/>
  <c r="B82" i="13"/>
  <c r="B78" i="13"/>
  <c r="B74" i="13"/>
  <c r="B70" i="13"/>
  <c r="B66" i="13"/>
  <c r="B62" i="13"/>
  <c r="B58" i="13"/>
  <c r="B54" i="13"/>
  <c r="B50" i="13"/>
  <c r="B46" i="13"/>
  <c r="B42" i="13"/>
  <c r="B504" i="13"/>
  <c r="B928" i="13"/>
  <c r="B925" i="13"/>
  <c r="B922" i="13"/>
  <c r="B918" i="13"/>
  <c r="B914" i="13"/>
  <c r="B910" i="13"/>
  <c r="B906" i="13"/>
  <c r="B902" i="13"/>
  <c r="B898" i="13"/>
  <c r="B894" i="13"/>
  <c r="B890" i="13"/>
  <c r="B886" i="13"/>
  <c r="B882" i="13"/>
  <c r="B878" i="13"/>
  <c r="B874" i="13"/>
  <c r="B870" i="13"/>
  <c r="B866" i="13"/>
  <c r="B862" i="13"/>
  <c r="B858" i="13"/>
  <c r="B854" i="13"/>
  <c r="B850" i="13"/>
  <c r="B846" i="13"/>
  <c r="B842" i="13"/>
  <c r="B838" i="13"/>
  <c r="B834" i="13"/>
  <c r="B830" i="13"/>
  <c r="B826" i="13"/>
  <c r="B822" i="13"/>
  <c r="B818" i="13"/>
  <c r="B814" i="13"/>
  <c r="B810" i="13"/>
  <c r="B806" i="13"/>
  <c r="B802" i="13"/>
  <c r="B798" i="13"/>
  <c r="B794" i="13"/>
  <c r="B790" i="13"/>
  <c r="B786" i="13"/>
  <c r="B782" i="13"/>
  <c r="B778" i="13"/>
  <c r="B774" i="13"/>
  <c r="B770" i="13"/>
  <c r="B766" i="13"/>
  <c r="B762" i="13"/>
  <c r="B758" i="13"/>
  <c r="B754" i="13"/>
  <c r="B750" i="13"/>
  <c r="B746" i="13"/>
  <c r="B742" i="13"/>
  <c r="B739" i="13"/>
  <c r="B735" i="13"/>
  <c r="B731" i="13"/>
  <c r="B727" i="13"/>
  <c r="B723" i="13"/>
  <c r="B719" i="13"/>
  <c r="B715" i="13"/>
  <c r="B711" i="13"/>
  <c r="B707" i="13"/>
  <c r="B703" i="13"/>
  <c r="B699" i="13"/>
  <c r="B695" i="13"/>
  <c r="B691" i="13"/>
  <c r="B687" i="13"/>
  <c r="B683" i="13"/>
  <c r="B679" i="13"/>
  <c r="B675" i="13"/>
  <c r="B671" i="13"/>
  <c r="B667" i="13"/>
  <c r="B663" i="13"/>
  <c r="B659" i="13"/>
  <c r="B655" i="13"/>
  <c r="B651" i="13"/>
  <c r="B647" i="13"/>
  <c r="B643" i="13"/>
  <c r="B639" i="13"/>
  <c r="B635" i="13"/>
  <c r="B631" i="13"/>
  <c r="B627" i="13"/>
  <c r="B623" i="13"/>
  <c r="B619" i="13"/>
  <c r="B615" i="13"/>
  <c r="B611" i="13"/>
  <c r="B607" i="13"/>
  <c r="B603" i="13"/>
  <c r="B599" i="13"/>
  <c r="B595" i="13"/>
  <c r="B591" i="13"/>
  <c r="B587" i="13"/>
  <c r="B583" i="13"/>
  <c r="B579" i="13"/>
  <c r="B575" i="13"/>
  <c r="B571" i="13"/>
  <c r="B567" i="13"/>
  <c r="B563" i="13"/>
  <c r="B559" i="13"/>
  <c r="B555" i="13"/>
  <c r="B551" i="13"/>
  <c r="B547" i="13"/>
  <c r="B543" i="13"/>
  <c r="B539" i="13"/>
  <c r="B535" i="13"/>
  <c r="B531" i="13"/>
  <c r="B527" i="13"/>
  <c r="B523" i="13"/>
  <c r="B519" i="13"/>
  <c r="B515" i="13"/>
  <c r="B511" i="13"/>
  <c r="B507" i="13"/>
  <c r="F924" i="13"/>
  <c r="F926" i="13"/>
  <c r="F455" i="13"/>
  <c r="F469" i="13"/>
  <c r="F450" i="13"/>
  <c r="F446" i="13"/>
  <c r="F442" i="13"/>
  <c r="F438" i="13"/>
  <c r="F434" i="13"/>
  <c r="F430" i="13"/>
  <c r="F426" i="13"/>
  <c r="F422" i="13"/>
  <c r="F418" i="13"/>
  <c r="F414" i="13"/>
  <c r="F410" i="13"/>
  <c r="F406" i="13"/>
  <c r="F402" i="13"/>
  <c r="F398" i="13"/>
  <c r="F394" i="13"/>
  <c r="F390" i="13"/>
  <c r="F386" i="13"/>
  <c r="F382" i="13"/>
  <c r="F378" i="13"/>
  <c r="F374" i="13"/>
  <c r="F370" i="13"/>
  <c r="F366" i="13"/>
  <c r="F362" i="13"/>
  <c r="F358" i="13"/>
  <c r="F354" i="13"/>
  <c r="F350" i="13"/>
  <c r="F346" i="13"/>
  <c r="F342" i="13"/>
  <c r="F338" i="13"/>
  <c r="F325" i="13"/>
  <c r="F321" i="13"/>
  <c r="F317" i="13"/>
  <c r="F313" i="13"/>
  <c r="F309" i="13"/>
  <c r="F305" i="13"/>
  <c r="F301" i="13"/>
  <c r="F297" i="13"/>
  <c r="F293" i="13"/>
  <c r="F289" i="13"/>
  <c r="F285" i="13"/>
  <c r="F281" i="13"/>
  <c r="F277" i="13"/>
  <c r="F273" i="13"/>
  <c r="F269" i="13"/>
  <c r="F265" i="13"/>
  <c r="F261" i="13"/>
  <c r="F257" i="13"/>
  <c r="F253" i="13"/>
  <c r="F249" i="13"/>
  <c r="F245" i="13"/>
  <c r="F241" i="13"/>
  <c r="F237" i="13"/>
  <c r="F233" i="13"/>
  <c r="F229" i="13"/>
  <c r="F225" i="13"/>
  <c r="F221" i="13"/>
  <c r="F217" i="13"/>
  <c r="F213" i="13"/>
  <c r="F209" i="13"/>
  <c r="F205" i="13"/>
  <c r="F201" i="13"/>
  <c r="F197" i="13"/>
  <c r="F193" i="13"/>
  <c r="F189" i="13"/>
  <c r="F185" i="13"/>
  <c r="F181" i="13"/>
  <c r="F177" i="13"/>
  <c r="F173" i="13"/>
  <c r="F169" i="13"/>
  <c r="F165" i="13"/>
  <c r="F161" i="13"/>
  <c r="F157" i="13"/>
  <c r="F153" i="13"/>
  <c r="F149" i="13"/>
  <c r="F145" i="13"/>
  <c r="F141" i="13"/>
  <c r="F137" i="13"/>
  <c r="F133" i="13"/>
  <c r="F129" i="13"/>
  <c r="F125" i="13"/>
  <c r="F121" i="13"/>
  <c r="F117" i="13"/>
  <c r="F113" i="13"/>
  <c r="F109" i="13"/>
  <c r="F105" i="13"/>
  <c r="F101" i="13"/>
  <c r="F97" i="13"/>
  <c r="F93" i="13"/>
  <c r="F89" i="13"/>
  <c r="F85" i="13"/>
  <c r="F81" i="13"/>
  <c r="F77" i="13"/>
  <c r="F73" i="13"/>
  <c r="F69" i="13"/>
  <c r="F65" i="13"/>
  <c r="F61" i="13"/>
  <c r="F57" i="13"/>
  <c r="F53" i="13"/>
  <c r="F49" i="13"/>
  <c r="F45" i="13"/>
  <c r="F41" i="13"/>
  <c r="F37" i="13"/>
  <c r="F33" i="13"/>
  <c r="F29" i="13"/>
  <c r="F25" i="13"/>
  <c r="F21" i="13"/>
  <c r="B10" i="13"/>
  <c r="B24" i="13"/>
  <c r="B20" i="13"/>
  <c r="B16" i="13"/>
  <c r="B12" i="13"/>
  <c r="B37" i="13"/>
  <c r="B33" i="13"/>
  <c r="B29" i="13"/>
  <c r="B500" i="13"/>
  <c r="B496" i="13"/>
  <c r="B492" i="13"/>
  <c r="B488" i="13"/>
  <c r="B484" i="13"/>
  <c r="B480" i="13"/>
  <c r="B476" i="13"/>
  <c r="B466" i="13"/>
  <c r="B462" i="13"/>
  <c r="B458" i="13"/>
  <c r="B454" i="13"/>
  <c r="B452" i="13"/>
  <c r="B449" i="13"/>
  <c r="B445" i="13"/>
  <c r="B441" i="13"/>
  <c r="B437" i="13"/>
  <c r="B433" i="13"/>
  <c r="B429" i="13"/>
  <c r="B425" i="13"/>
  <c r="B421" i="13"/>
  <c r="B417" i="13"/>
  <c r="B413" i="13"/>
  <c r="B409" i="13"/>
  <c r="B405" i="13"/>
  <c r="B401" i="13"/>
  <c r="B397" i="13"/>
  <c r="B393" i="13"/>
  <c r="B389" i="13"/>
  <c r="B385" i="13"/>
  <c r="B381" i="13"/>
  <c r="B377" i="13"/>
  <c r="B373" i="13"/>
  <c r="B369" i="13"/>
  <c r="B365" i="13"/>
  <c r="B361" i="13"/>
  <c r="B357" i="13"/>
  <c r="B353" i="13"/>
  <c r="B349" i="13"/>
  <c r="B345" i="13"/>
  <c r="B341" i="13"/>
  <c r="B337" i="13"/>
  <c r="B333" i="13"/>
  <c r="B329" i="13"/>
  <c r="B325" i="13"/>
  <c r="B321" i="13"/>
  <c r="B317" i="13"/>
  <c r="B313" i="13"/>
  <c r="B309" i="13"/>
  <c r="B305" i="13"/>
  <c r="B301" i="13"/>
  <c r="B297" i="13"/>
  <c r="B293" i="13"/>
  <c r="B289" i="13"/>
  <c r="B285" i="13"/>
  <c r="B281" i="13"/>
  <c r="B277" i="13"/>
  <c r="B273" i="13"/>
  <c r="B269" i="13"/>
  <c r="B265" i="13"/>
  <c r="B261" i="13"/>
  <c r="B257" i="13"/>
  <c r="B253" i="13"/>
  <c r="B249" i="13"/>
  <c r="B245" i="13"/>
  <c r="B241" i="13"/>
  <c r="B237" i="13"/>
  <c r="B233" i="13"/>
  <c r="B229" i="13"/>
  <c r="B225" i="13"/>
  <c r="B221" i="13"/>
  <c r="B217" i="13"/>
  <c r="B213" i="13"/>
  <c r="B209" i="13"/>
  <c r="B205" i="13"/>
  <c r="B201" i="13"/>
  <c r="B197" i="13"/>
  <c r="B193" i="13"/>
  <c r="B189" i="13"/>
  <c r="B185" i="13"/>
  <c r="B181" i="13"/>
  <c r="B177" i="13"/>
  <c r="B173" i="13"/>
  <c r="B169" i="13"/>
  <c r="B165" i="13"/>
  <c r="B161" i="13"/>
  <c r="B157" i="13"/>
  <c r="B153" i="13"/>
  <c r="B149" i="13"/>
  <c r="B145" i="13"/>
  <c r="B141" i="13"/>
  <c r="B137" i="13"/>
  <c r="B133" i="13"/>
  <c r="B129" i="13"/>
  <c r="B125" i="13"/>
  <c r="B121" i="13"/>
  <c r="B117" i="13"/>
  <c r="B113" i="13"/>
  <c r="B109" i="13"/>
  <c r="B105" i="13"/>
  <c r="B101" i="13"/>
  <c r="B97" i="13"/>
  <c r="B93" i="13"/>
  <c r="B89" i="13"/>
  <c r="B85" i="13"/>
  <c r="B81" i="13"/>
  <c r="B77" i="13"/>
  <c r="B73" i="13"/>
  <c r="B69" i="13"/>
  <c r="B65" i="13"/>
  <c r="B61" i="13"/>
  <c r="B57" i="13"/>
  <c r="B53" i="13"/>
  <c r="B49" i="13"/>
  <c r="B45" i="13"/>
  <c r="B41" i="13"/>
  <c r="B503" i="13"/>
  <c r="B927" i="13"/>
  <c r="B740" i="13"/>
  <c r="B921" i="13"/>
  <c r="B917" i="13"/>
  <c r="B913" i="13"/>
  <c r="B909" i="13"/>
  <c r="B905" i="13"/>
  <c r="B901" i="13"/>
  <c r="B897" i="13"/>
  <c r="B893" i="13"/>
  <c r="B889" i="13"/>
  <c r="B885" i="13"/>
  <c r="B881" i="13"/>
  <c r="B877" i="13"/>
  <c r="B873" i="13"/>
  <c r="B869" i="13"/>
  <c r="B865" i="13"/>
  <c r="B861" i="13"/>
  <c r="B857" i="13"/>
  <c r="B853" i="13"/>
  <c r="B849" i="13"/>
  <c r="B845" i="13"/>
  <c r="B841" i="13"/>
  <c r="B837" i="13"/>
  <c r="B833" i="13"/>
  <c r="B829" i="13"/>
  <c r="B825" i="13"/>
  <c r="B821" i="13"/>
  <c r="B817" i="13"/>
  <c r="B813" i="13"/>
  <c r="B809" i="13"/>
  <c r="B805" i="13"/>
  <c r="B801" i="13"/>
  <c r="B797" i="13"/>
  <c r="B793" i="13"/>
  <c r="B789" i="13"/>
  <c r="B785" i="13"/>
  <c r="B781" i="13"/>
  <c r="B777" i="13"/>
  <c r="B773" i="13"/>
  <c r="B769" i="13"/>
  <c r="B765" i="13"/>
  <c r="B761" i="13"/>
  <c r="B757" i="13"/>
  <c r="B753" i="13"/>
  <c r="B749" i="13"/>
  <c r="B745" i="13"/>
  <c r="B541" i="13"/>
  <c r="B738" i="13"/>
  <c r="B734" i="13"/>
  <c r="B730" i="13"/>
  <c r="B726" i="13"/>
  <c r="B722" i="13"/>
  <c r="B718" i="13"/>
  <c r="B714" i="13"/>
  <c r="B710" i="13"/>
  <c r="B706" i="13"/>
  <c r="B702" i="13"/>
  <c r="B698" i="13"/>
  <c r="B694" i="13"/>
  <c r="B690" i="13"/>
  <c r="B686" i="13"/>
  <c r="B682" i="13"/>
  <c r="B678" i="13"/>
  <c r="B674" i="13"/>
  <c r="B670" i="13"/>
  <c r="B666" i="13"/>
  <c r="B662" i="13"/>
  <c r="B658" i="13"/>
  <c r="B654" i="13"/>
  <c r="B650" i="13"/>
  <c r="B646" i="13"/>
  <c r="B642" i="13"/>
  <c r="B638" i="13"/>
  <c r="B634" i="13"/>
  <c r="B630" i="13"/>
  <c r="B626" i="13"/>
  <c r="B622" i="13"/>
  <c r="B618" i="13"/>
  <c r="B614" i="13"/>
  <c r="B610" i="13"/>
  <c r="B606" i="13"/>
  <c r="B602" i="13"/>
  <c r="B598" i="13"/>
  <c r="B594" i="13"/>
  <c r="B590" i="13"/>
  <c r="B586" i="13"/>
  <c r="B582" i="13"/>
  <c r="B578" i="13"/>
  <c r="B574" i="13"/>
  <c r="B570" i="13"/>
  <c r="B566" i="13"/>
  <c r="B562" i="13"/>
  <c r="B558" i="13"/>
  <c r="B554" i="13"/>
  <c r="B550" i="13"/>
  <c r="B546" i="13"/>
  <c r="B542" i="13"/>
  <c r="B538" i="13"/>
  <c r="B534" i="13"/>
  <c r="B530" i="13"/>
  <c r="B526" i="13"/>
  <c r="B522" i="13"/>
  <c r="B518" i="13"/>
  <c r="B514" i="13"/>
  <c r="B510" i="13"/>
  <c r="B506" i="13"/>
  <c r="F929" i="13"/>
  <c r="F741" i="13"/>
  <c r="F454" i="13"/>
  <c r="F452" i="13"/>
  <c r="F449" i="13"/>
  <c r="F445" i="13"/>
  <c r="F441" i="13"/>
  <c r="F437" i="13"/>
  <c r="F433" i="13"/>
  <c r="F429" i="13"/>
  <c r="F425" i="13"/>
  <c r="F421" i="13"/>
  <c r="F417" i="13"/>
  <c r="F413" i="13"/>
  <c r="F409" i="13"/>
  <c r="F405" i="13"/>
  <c r="F401" i="13"/>
  <c r="F397" i="13"/>
  <c r="F393" i="13"/>
  <c r="F389" i="13"/>
  <c r="F385" i="13"/>
  <c r="F381" i="13"/>
  <c r="F377" i="13"/>
  <c r="F373" i="13"/>
  <c r="F369" i="13"/>
  <c r="F365" i="13"/>
  <c r="F361" i="13"/>
  <c r="F357" i="13"/>
  <c r="F353" i="13"/>
  <c r="F349" i="13"/>
  <c r="F345" i="13"/>
  <c r="F341" i="13"/>
  <c r="F337" i="13"/>
  <c r="F324" i="13"/>
  <c r="F320" i="13"/>
  <c r="F316" i="13"/>
  <c r="F312" i="13"/>
  <c r="F308" i="13"/>
  <c r="F304" i="13"/>
  <c r="F300" i="13"/>
  <c r="F296" i="13"/>
  <c r="F292" i="13"/>
  <c r="F288" i="13"/>
  <c r="F284" i="13"/>
  <c r="F280" i="13"/>
  <c r="F276" i="13"/>
  <c r="F272" i="13"/>
  <c r="F268" i="13"/>
  <c r="F264" i="13"/>
  <c r="F260" i="13"/>
  <c r="F256" i="13"/>
  <c r="F252" i="13"/>
  <c r="F248" i="13"/>
  <c r="F244" i="13"/>
  <c r="F240" i="13"/>
  <c r="F236" i="13"/>
  <c r="F232" i="13"/>
  <c r="F228" i="13"/>
  <c r="F224" i="13"/>
  <c r="F220" i="13"/>
  <c r="F216" i="13"/>
  <c r="F212" i="13"/>
  <c r="F208" i="13"/>
  <c r="F204" i="13"/>
  <c r="F200" i="13"/>
  <c r="F196" i="13"/>
  <c r="F192" i="13"/>
  <c r="F188" i="13"/>
  <c r="F184" i="13"/>
  <c r="F180" i="13"/>
  <c r="F176" i="13"/>
  <c r="F172" i="13"/>
  <c r="F168" i="13"/>
  <c r="F164" i="13"/>
  <c r="F160" i="13"/>
  <c r="F156" i="13"/>
  <c r="F152" i="13"/>
  <c r="F148" i="13"/>
  <c r="F144" i="13"/>
  <c r="F140" i="13"/>
  <c r="F136" i="13"/>
  <c r="F132" i="13"/>
  <c r="F128" i="13"/>
  <c r="F124" i="13"/>
  <c r="F120" i="13"/>
  <c r="F116" i="13"/>
  <c r="F112" i="13"/>
  <c r="F108" i="13"/>
  <c r="F104" i="13"/>
  <c r="F100" i="13"/>
  <c r="F96" i="13"/>
  <c r="F92" i="13"/>
  <c r="F88" i="13"/>
  <c r="F84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B9" i="13"/>
  <c r="B23" i="13"/>
  <c r="B19" i="13"/>
  <c r="B15" i="13"/>
  <c r="B40" i="13"/>
  <c r="B36" i="13"/>
  <c r="B32" i="13"/>
  <c r="B28" i="13"/>
  <c r="B499" i="13"/>
  <c r="B495" i="13"/>
  <c r="B491" i="13"/>
  <c r="B487" i="13"/>
  <c r="B483" i="13"/>
  <c r="B479" i="13"/>
  <c r="B475" i="13"/>
  <c r="B465" i="13"/>
  <c r="B461" i="13"/>
  <c r="B457" i="13"/>
  <c r="B467" i="13"/>
  <c r="B451" i="13"/>
  <c r="B448" i="13"/>
  <c r="B444" i="13"/>
  <c r="B440" i="13"/>
  <c r="B436" i="13"/>
  <c r="B432" i="13"/>
  <c r="B428" i="13"/>
  <c r="B424" i="13"/>
  <c r="B420" i="13"/>
  <c r="B416" i="13"/>
  <c r="B412" i="13"/>
  <c r="B408" i="13"/>
  <c r="B404" i="13"/>
  <c r="B400" i="13"/>
  <c r="B396" i="13"/>
  <c r="B392" i="13"/>
  <c r="B388" i="13"/>
  <c r="B384" i="13"/>
  <c r="B380" i="13"/>
  <c r="B376" i="13"/>
  <c r="B372" i="13"/>
  <c r="B368" i="13"/>
  <c r="B364" i="13"/>
  <c r="B360" i="13"/>
  <c r="B356" i="13"/>
  <c r="B352" i="13"/>
  <c r="B348" i="13"/>
  <c r="B344" i="13"/>
  <c r="B340" i="13"/>
  <c r="B336" i="13"/>
  <c r="B332" i="13"/>
  <c r="B328" i="13"/>
  <c r="B324" i="13"/>
  <c r="B320" i="13"/>
  <c r="B316" i="13"/>
  <c r="B312" i="13"/>
  <c r="B308" i="13"/>
  <c r="B304" i="13"/>
  <c r="B300" i="13"/>
  <c r="B296" i="13"/>
  <c r="B292" i="13"/>
  <c r="B288" i="13"/>
  <c r="B284" i="13"/>
  <c r="B280" i="13"/>
  <c r="B276" i="13"/>
  <c r="B272" i="13"/>
  <c r="B268" i="13"/>
  <c r="B264" i="13"/>
  <c r="B260" i="13"/>
  <c r="B256" i="13"/>
  <c r="B252" i="13"/>
  <c r="B248" i="13"/>
  <c r="B244" i="13"/>
  <c r="B240" i="13"/>
  <c r="B236" i="13"/>
  <c r="B232" i="13"/>
  <c r="B228" i="13"/>
  <c r="B224" i="13"/>
  <c r="B220" i="13"/>
  <c r="B216" i="13"/>
  <c r="B212" i="13"/>
  <c r="B208" i="13"/>
  <c r="B204" i="13"/>
  <c r="B200" i="13"/>
  <c r="B196" i="13"/>
  <c r="B192" i="13"/>
  <c r="B188" i="13"/>
  <c r="B184" i="13"/>
  <c r="B180" i="13"/>
  <c r="B176" i="13"/>
  <c r="B172" i="13"/>
  <c r="B168" i="13"/>
  <c r="B164" i="13"/>
  <c r="B160" i="13"/>
  <c r="B156" i="13"/>
  <c r="B152" i="13"/>
  <c r="B148" i="13"/>
  <c r="B144" i="13"/>
  <c r="B140" i="13"/>
  <c r="B136" i="13"/>
  <c r="B132" i="13"/>
  <c r="B128" i="13"/>
  <c r="B124" i="13"/>
  <c r="B120" i="13"/>
  <c r="B116" i="13"/>
  <c r="B112" i="13"/>
  <c r="B108" i="13"/>
  <c r="B104" i="13"/>
  <c r="B100" i="13"/>
  <c r="B96" i="13"/>
  <c r="B92" i="13"/>
  <c r="B88" i="13"/>
  <c r="B84" i="13"/>
  <c r="B80" i="13"/>
  <c r="B76" i="13"/>
  <c r="B72" i="13"/>
  <c r="B68" i="13"/>
  <c r="B64" i="13"/>
  <c r="B60" i="13"/>
  <c r="B56" i="13"/>
  <c r="B52" i="13"/>
  <c r="B48" i="13"/>
  <c r="B44" i="13"/>
  <c r="B502" i="13"/>
  <c r="B930" i="13"/>
  <c r="B926" i="13"/>
  <c r="B924" i="13"/>
  <c r="B920" i="13"/>
  <c r="B916" i="13"/>
  <c r="B912" i="13"/>
  <c r="B908" i="13"/>
  <c r="B904" i="13"/>
  <c r="B900" i="13"/>
  <c r="B896" i="13"/>
  <c r="B892" i="13"/>
  <c r="B888" i="13"/>
  <c r="B884" i="13"/>
  <c r="B880" i="13"/>
  <c r="B876" i="13"/>
  <c r="B872" i="13"/>
  <c r="B868" i="13"/>
  <c r="B864" i="13"/>
  <c r="B860" i="13"/>
  <c r="B856" i="13"/>
  <c r="B852" i="13"/>
  <c r="B848" i="13"/>
  <c r="B844" i="13"/>
  <c r="B840" i="13"/>
  <c r="B836" i="13"/>
  <c r="B832" i="13"/>
  <c r="B828" i="13"/>
  <c r="B824" i="13"/>
  <c r="B820" i="13"/>
  <c r="B816" i="13"/>
  <c r="B812" i="13"/>
  <c r="B808" i="13"/>
  <c r="B804" i="13"/>
  <c r="B800" i="13"/>
  <c r="B796" i="13"/>
  <c r="B792" i="13"/>
  <c r="B788" i="13"/>
  <c r="B784" i="13"/>
  <c r="B780" i="13"/>
  <c r="B776" i="13"/>
  <c r="B772" i="13"/>
  <c r="B768" i="13"/>
  <c r="B764" i="13"/>
  <c r="B760" i="13"/>
  <c r="B756" i="13"/>
  <c r="B752" i="13"/>
  <c r="B748" i="13"/>
  <c r="B744" i="13"/>
  <c r="B472" i="13"/>
  <c r="B737" i="13"/>
  <c r="B733" i="13"/>
  <c r="B729" i="13"/>
  <c r="B725" i="13"/>
  <c r="B721" i="13"/>
  <c r="B717" i="13"/>
  <c r="B713" i="13"/>
  <c r="B709" i="13"/>
  <c r="B705" i="13"/>
  <c r="B701" i="13"/>
  <c r="B697" i="13"/>
  <c r="B693" i="13"/>
  <c r="B689" i="13"/>
  <c r="B685" i="13"/>
  <c r="B681" i="13"/>
  <c r="B677" i="13"/>
  <c r="B673" i="13"/>
  <c r="B669" i="13"/>
  <c r="B665" i="13"/>
  <c r="B661" i="13"/>
  <c r="B657" i="13"/>
  <c r="B653" i="13"/>
  <c r="B649" i="13"/>
  <c r="B645" i="13"/>
  <c r="B641" i="13"/>
  <c r="B637" i="13"/>
  <c r="B633" i="13"/>
  <c r="B629" i="13"/>
  <c r="B625" i="13"/>
  <c r="B621" i="13"/>
  <c r="B617" i="13"/>
  <c r="B613" i="13"/>
  <c r="B609" i="13"/>
  <c r="B605" i="13"/>
  <c r="B601" i="13"/>
  <c r="B597" i="13"/>
  <c r="B593" i="13"/>
  <c r="B589" i="13"/>
  <c r="B585" i="13"/>
  <c r="B581" i="13"/>
  <c r="B577" i="13"/>
  <c r="B573" i="13"/>
  <c r="B569" i="13"/>
  <c r="B565" i="13"/>
  <c r="B561" i="13"/>
  <c r="B557" i="13"/>
  <c r="B553" i="13"/>
  <c r="B549" i="13"/>
  <c r="B545" i="13"/>
  <c r="B470" i="13"/>
  <c r="B537" i="13"/>
  <c r="B533" i="13"/>
  <c r="B529" i="13"/>
  <c r="B525" i="13"/>
  <c r="B521" i="13"/>
  <c r="B517" i="13"/>
  <c r="B513" i="13"/>
  <c r="B509" i="13"/>
  <c r="B505" i="13"/>
  <c r="F928" i="13"/>
  <c r="F925" i="13"/>
  <c r="F327" i="13"/>
  <c r="F330" i="13"/>
  <c r="F3498" i="13"/>
  <c r="F3486" i="13"/>
  <c r="F3482" i="13"/>
  <c r="F3478" i="13"/>
  <c r="F3474" i="13"/>
  <c r="F3470" i="13"/>
  <c r="F3466" i="13"/>
  <c r="F3462" i="13"/>
  <c r="F3458" i="13"/>
  <c r="F3454" i="13"/>
  <c r="F3450" i="13"/>
  <c r="F3446" i="13"/>
  <c r="F3442" i="13"/>
  <c r="F3438" i="13"/>
  <c r="F3434" i="13"/>
  <c r="F3430" i="13"/>
  <c r="F3426" i="13"/>
  <c r="F3422" i="13"/>
  <c r="F3418" i="13"/>
  <c r="F3414" i="13"/>
  <c r="F3410" i="13"/>
  <c r="F3406" i="13"/>
  <c r="F3402" i="13"/>
  <c r="F3398" i="13"/>
  <c r="F3394" i="13"/>
  <c r="F3390" i="13"/>
  <c r="F3386" i="13"/>
  <c r="F3382" i="13"/>
  <c r="F3378" i="13"/>
  <c r="F3374" i="13"/>
  <c r="F3370" i="13"/>
  <c r="F3366" i="13"/>
  <c r="F3362" i="13"/>
  <c r="F3358" i="13"/>
  <c r="F3354" i="13"/>
  <c r="F3350" i="13"/>
  <c r="F3346" i="13"/>
  <c r="F3342" i="13"/>
  <c r="F3338" i="13"/>
  <c r="F3334" i="13"/>
  <c r="F3330" i="13"/>
  <c r="F3326" i="13"/>
  <c r="F3322" i="13"/>
  <c r="F3318" i="13"/>
  <c r="F3314" i="13"/>
  <c r="F3310" i="13"/>
  <c r="F3306" i="13"/>
  <c r="F3302" i="13"/>
  <c r="F3298" i="13"/>
  <c r="F3294" i="13"/>
  <c r="F3290" i="13"/>
  <c r="F3286" i="13"/>
  <c r="F3282" i="13"/>
  <c r="F3278" i="13"/>
  <c r="F3274" i="13"/>
  <c r="F3270" i="13"/>
  <c r="F3266" i="13"/>
  <c r="F3262" i="13"/>
  <c r="F3254" i="13"/>
  <c r="F3250" i="13"/>
  <c r="F3246" i="13"/>
  <c r="F3242" i="13"/>
  <c r="F3238" i="13"/>
  <c r="F3234" i="13"/>
  <c r="F3230" i="13"/>
  <c r="F3226" i="13"/>
  <c r="F3222" i="13"/>
  <c r="F3218" i="13"/>
  <c r="F3214" i="13"/>
  <c r="F3210" i="13"/>
  <c r="F3206" i="13"/>
  <c r="F3202" i="13"/>
  <c r="F3198" i="13"/>
  <c r="F3194" i="13"/>
  <c r="F3190" i="13"/>
  <c r="F3186" i="13"/>
  <c r="F3182" i="13"/>
  <c r="F3178" i="13"/>
  <c r="F3174" i="13"/>
  <c r="F3170" i="13"/>
  <c r="F3166" i="13"/>
  <c r="F3162" i="13"/>
  <c r="F3158" i="13"/>
  <c r="F3154" i="13"/>
  <c r="F3150" i="13"/>
  <c r="F3146" i="13"/>
  <c r="F3142" i="13"/>
  <c r="F3138" i="13"/>
  <c r="F3134" i="13"/>
  <c r="F3130" i="13"/>
  <c r="F3126" i="13"/>
  <c r="F3122" i="13"/>
  <c r="F3118" i="13"/>
  <c r="F3114" i="13"/>
  <c r="F3110" i="13"/>
  <c r="F3106" i="13"/>
  <c r="F3102" i="13"/>
  <c r="F3098" i="13"/>
  <c r="F3094" i="13"/>
  <c r="F3090" i="13"/>
  <c r="F3086" i="13"/>
  <c r="F3082" i="13"/>
  <c r="F3078" i="13"/>
  <c r="F3074" i="13"/>
  <c r="F3070" i="13"/>
  <c r="F3066" i="13"/>
  <c r="F3062" i="13"/>
  <c r="F3058" i="13"/>
  <c r="F3054" i="13"/>
  <c r="F3050" i="13"/>
  <c r="F3046" i="13"/>
  <c r="F3042" i="13"/>
  <c r="F3038" i="13"/>
  <c r="F3034" i="13"/>
  <c r="F3030" i="13"/>
  <c r="F3026" i="13"/>
  <c r="F3022" i="13"/>
  <c r="F3018" i="13"/>
  <c r="F3014" i="13"/>
  <c r="F3010" i="13"/>
  <c r="F3006" i="13"/>
  <c r="F3002" i="13"/>
  <c r="F2998" i="13"/>
  <c r="F2994" i="13"/>
  <c r="F2990" i="13"/>
  <c r="F2986" i="13"/>
  <c r="F2982" i="13"/>
  <c r="F2978" i="13"/>
  <c r="F2974" i="13"/>
  <c r="F2970" i="13"/>
  <c r="F2966" i="13"/>
  <c r="F2962" i="13"/>
  <c r="F2958" i="13"/>
  <c r="F2954" i="13"/>
  <c r="F2950" i="13"/>
  <c r="F2942" i="13"/>
  <c r="F2934" i="13"/>
  <c r="F2926" i="13"/>
  <c r="F335" i="13"/>
  <c r="F3499" i="13"/>
  <c r="F690" i="13"/>
  <c r="F3494" i="13"/>
  <c r="F333" i="13"/>
  <c r="F329" i="13"/>
  <c r="F689" i="13"/>
  <c r="F685" i="13"/>
  <c r="F3497" i="13"/>
  <c r="F3493" i="13"/>
  <c r="F3489" i="13"/>
  <c r="F3485" i="13"/>
  <c r="F3481" i="13"/>
  <c r="F3477" i="13"/>
  <c r="F3473" i="13"/>
  <c r="F3469" i="13"/>
  <c r="F3465" i="13"/>
  <c r="F3461" i="13"/>
  <c r="F3457" i="13"/>
  <c r="F3453" i="13"/>
  <c r="F3449" i="13"/>
  <c r="F3445" i="13"/>
  <c r="F3441" i="13"/>
  <c r="F3437" i="13"/>
  <c r="F3433" i="13"/>
  <c r="F3429" i="13"/>
  <c r="F3425" i="13"/>
  <c r="F3421" i="13"/>
  <c r="F3417" i="13"/>
  <c r="F3413" i="13"/>
  <c r="F3409" i="13"/>
  <c r="F3405" i="13"/>
  <c r="F3401" i="13"/>
  <c r="F3397" i="13"/>
  <c r="F3393" i="13"/>
  <c r="F3389" i="13"/>
  <c r="F3385" i="13"/>
  <c r="F3381" i="13"/>
  <c r="F3377" i="13"/>
  <c r="F3373" i="13"/>
  <c r="F3369" i="13"/>
  <c r="F3365" i="13"/>
  <c r="F3361" i="13"/>
  <c r="F3357" i="13"/>
  <c r="F3353" i="13"/>
  <c r="F3349" i="13"/>
  <c r="F3345" i="13"/>
  <c r="F3341" i="13"/>
  <c r="F3337" i="13"/>
  <c r="F3333" i="13"/>
  <c r="F3329" i="13"/>
  <c r="F3325" i="13"/>
  <c r="F3321" i="13"/>
  <c r="F3317" i="13"/>
  <c r="F3313" i="13"/>
  <c r="F3309" i="13"/>
  <c r="F3305" i="13"/>
  <c r="F3301" i="13"/>
  <c r="F3297" i="13"/>
  <c r="F3293" i="13"/>
  <c r="F3289" i="13"/>
  <c r="F3285" i="13"/>
  <c r="F3281" i="13"/>
  <c r="F3277" i="13"/>
  <c r="F3273" i="13"/>
  <c r="F3269" i="13"/>
  <c r="F3265" i="13"/>
  <c r="F3261" i="13"/>
  <c r="F3257" i="13"/>
  <c r="F3253" i="13"/>
  <c r="F3249" i="13"/>
  <c r="F3245" i="13"/>
  <c r="F3241" i="13"/>
  <c r="F3237" i="13"/>
  <c r="F3233" i="13"/>
  <c r="F3229" i="13"/>
  <c r="F3225" i="13"/>
  <c r="F3221" i="13"/>
  <c r="F3217" i="13"/>
  <c r="F3213" i="13"/>
  <c r="F3209" i="13"/>
  <c r="F3205" i="13"/>
  <c r="F3201" i="13"/>
  <c r="F3197" i="13"/>
  <c r="F3193" i="13"/>
  <c r="F3189" i="13"/>
  <c r="F3185" i="13"/>
  <c r="F3181" i="13"/>
  <c r="F3177" i="13"/>
  <c r="F3173" i="13"/>
  <c r="F3169" i="13"/>
  <c r="F3165" i="13"/>
  <c r="F3161" i="13"/>
  <c r="F3157" i="13"/>
  <c r="F3153" i="13"/>
  <c r="F3149" i="13"/>
  <c r="F3145" i="13"/>
  <c r="F3141" i="13"/>
  <c r="F3137" i="13"/>
  <c r="F3133" i="13"/>
  <c r="F3129" i="13"/>
  <c r="F3125" i="13"/>
  <c r="F3121" i="13"/>
  <c r="F3117" i="13"/>
  <c r="F3113" i="13"/>
  <c r="F3109" i="13"/>
  <c r="F3105" i="13"/>
  <c r="F3101" i="13"/>
  <c r="F3097" i="13"/>
  <c r="F3093" i="13"/>
  <c r="F3089" i="13"/>
  <c r="F3085" i="13"/>
  <c r="F3081" i="13"/>
  <c r="F3077" i="13"/>
  <c r="F3073" i="13"/>
  <c r="F3069" i="13"/>
  <c r="F3065" i="13"/>
  <c r="F3061" i="13"/>
  <c r="F3057" i="13"/>
  <c r="F3053" i="13"/>
  <c r="F3049" i="13"/>
  <c r="F3045" i="13"/>
  <c r="F3041" i="13"/>
  <c r="F3037" i="13"/>
  <c r="F3033" i="13"/>
  <c r="F3029" i="13"/>
  <c r="F3025" i="13"/>
  <c r="F3021" i="13"/>
  <c r="F3017" i="13"/>
  <c r="F3013" i="13"/>
  <c r="F3009" i="13"/>
  <c r="F3005" i="13"/>
  <c r="F3001" i="13"/>
  <c r="F2997" i="13"/>
  <c r="F2993" i="13"/>
  <c r="F2989" i="13"/>
  <c r="F2985" i="13"/>
  <c r="F2981" i="13"/>
  <c r="F2977" i="13"/>
  <c r="F2973" i="13"/>
  <c r="F2969" i="13"/>
  <c r="F2965" i="13"/>
  <c r="F2961" i="13"/>
  <c r="F2957" i="13"/>
  <c r="F2953" i="13"/>
  <c r="F2947" i="13"/>
  <c r="F2939" i="13"/>
  <c r="F2931" i="13"/>
  <c r="F331" i="13"/>
  <c r="F334" i="13"/>
  <c r="F686" i="13"/>
  <c r="F3490" i="13"/>
  <c r="F332" i="13"/>
  <c r="F328" i="13"/>
  <c r="F688" i="13"/>
  <c r="F684" i="13"/>
  <c r="F3496" i="13"/>
  <c r="F3492" i="13"/>
  <c r="F3488" i="13"/>
  <c r="F3484" i="13"/>
  <c r="F3480" i="13"/>
  <c r="F3476" i="13"/>
  <c r="F3472" i="13"/>
  <c r="F3468" i="13"/>
  <c r="F3464" i="13"/>
  <c r="F3460" i="13"/>
  <c r="F3456" i="13"/>
  <c r="F3452" i="13"/>
  <c r="F3448" i="13"/>
  <c r="F3444" i="13"/>
  <c r="F3440" i="13"/>
  <c r="F3436" i="13"/>
  <c r="F3432" i="13"/>
  <c r="F3428" i="13"/>
  <c r="F3424" i="13"/>
  <c r="F3420" i="13"/>
  <c r="F3416" i="13"/>
  <c r="F3412" i="13"/>
  <c r="F3408" i="13"/>
  <c r="F3404" i="13"/>
  <c r="F3400" i="13"/>
  <c r="F3396" i="13"/>
  <c r="F3392" i="13"/>
  <c r="F3388" i="13"/>
  <c r="F3384" i="13"/>
  <c r="F3380" i="13"/>
  <c r="F3376" i="13"/>
  <c r="F3372" i="13"/>
  <c r="F3368" i="13"/>
  <c r="F3364" i="13"/>
  <c r="F3360" i="13"/>
  <c r="F3356" i="13"/>
  <c r="F3352" i="13"/>
  <c r="F3348" i="13"/>
  <c r="F3344" i="13"/>
  <c r="F3340" i="13"/>
  <c r="F3336" i="13"/>
  <c r="F3332" i="13"/>
  <c r="F3328" i="13"/>
  <c r="F3324" i="13"/>
  <c r="F3320" i="13"/>
  <c r="F3316" i="13"/>
  <c r="F3312" i="13"/>
  <c r="F3308" i="13"/>
  <c r="F3304" i="13"/>
  <c r="F3300" i="13"/>
  <c r="F3296" i="13"/>
  <c r="F3292" i="13"/>
  <c r="F3288" i="13"/>
  <c r="F3284" i="13"/>
  <c r="F3280" i="13"/>
  <c r="F3276" i="13"/>
  <c r="F3272" i="13"/>
  <c r="F3268" i="13"/>
  <c r="F3264" i="13"/>
  <c r="F3260" i="13"/>
  <c r="F3256" i="13"/>
  <c r="F3252" i="13"/>
  <c r="F3248" i="13"/>
  <c r="F3244" i="13"/>
  <c r="F3240" i="13"/>
  <c r="F3236" i="13"/>
  <c r="F3232" i="13"/>
  <c r="F3228" i="13"/>
  <c r="F3224" i="13"/>
  <c r="F3220" i="13"/>
  <c r="F3216" i="13"/>
  <c r="F3212" i="13"/>
  <c r="F3208" i="13"/>
  <c r="F3204" i="13"/>
  <c r="F3200" i="13"/>
  <c r="F3196" i="13"/>
  <c r="F3192" i="13"/>
  <c r="F3188" i="13"/>
  <c r="F3184" i="13"/>
  <c r="F3180" i="13"/>
  <c r="F3176" i="13"/>
  <c r="F3172" i="13"/>
  <c r="F3168" i="13"/>
  <c r="F3164" i="13"/>
  <c r="F3160" i="13"/>
  <c r="F3156" i="13"/>
  <c r="F3152" i="13"/>
  <c r="F3148" i="13"/>
  <c r="F3144" i="13"/>
  <c r="F3140" i="13"/>
  <c r="F3136" i="13"/>
  <c r="F3132" i="13"/>
  <c r="F3128" i="13"/>
  <c r="F3124" i="13"/>
  <c r="F3120" i="13"/>
  <c r="F3116" i="13"/>
  <c r="F3112" i="13"/>
  <c r="F3108" i="13"/>
  <c r="F3104" i="13"/>
  <c r="F3100" i="13"/>
  <c r="F3096" i="13"/>
  <c r="F3092" i="13"/>
  <c r="F3088" i="13"/>
  <c r="F3084" i="13"/>
  <c r="F3080" i="13"/>
  <c r="F3076" i="13"/>
  <c r="F3072" i="13"/>
  <c r="F3068" i="13"/>
  <c r="F3064" i="13"/>
  <c r="F3060" i="13"/>
  <c r="F3056" i="13"/>
  <c r="F3052" i="13"/>
  <c r="F3048" i="13"/>
  <c r="F3044" i="13"/>
  <c r="F3040" i="13"/>
  <c r="F3036" i="13"/>
  <c r="F3032" i="13"/>
  <c r="F3028" i="13"/>
  <c r="F3024" i="13"/>
  <c r="F3020" i="13"/>
  <c r="F3016" i="13"/>
  <c r="F3012" i="13"/>
  <c r="F3008" i="13"/>
  <c r="F3004" i="13"/>
  <c r="F3000" i="13"/>
  <c r="F2996" i="13"/>
  <c r="F2992" i="13"/>
  <c r="F2988" i="13"/>
  <c r="F2984" i="13"/>
  <c r="F2980" i="13"/>
  <c r="F2976" i="13"/>
  <c r="F2972" i="13"/>
  <c r="F2968" i="13"/>
  <c r="F2964" i="13"/>
  <c r="F2960" i="13"/>
  <c r="F2956" i="13"/>
  <c r="F2952" i="13"/>
  <c r="F2946" i="13"/>
  <c r="F2938" i="13"/>
  <c r="F2930" i="13"/>
  <c r="F687" i="13"/>
  <c r="F3495" i="13"/>
  <c r="F3491" i="13"/>
  <c r="F3487" i="13"/>
  <c r="F3483" i="13"/>
  <c r="F3479" i="13"/>
  <c r="F3475" i="13"/>
  <c r="F3471" i="13"/>
  <c r="F3467" i="13"/>
  <c r="F3463" i="13"/>
  <c r="F3459" i="13"/>
  <c r="F3455" i="13"/>
  <c r="F3451" i="13"/>
  <c r="F3447" i="13"/>
  <c r="F3443" i="13"/>
  <c r="F3439" i="13"/>
  <c r="F3435" i="13"/>
  <c r="F3431" i="13"/>
  <c r="F3427" i="13"/>
  <c r="F3423" i="13"/>
  <c r="F3419" i="13"/>
  <c r="F3415" i="13"/>
  <c r="F3411" i="13"/>
  <c r="F3407" i="13"/>
  <c r="F3403" i="13"/>
  <c r="F3399" i="13"/>
  <c r="F3395" i="13"/>
  <c r="F3391" i="13"/>
  <c r="F3387" i="13"/>
  <c r="F3383" i="13"/>
  <c r="F3379" i="13"/>
  <c r="F3375" i="13"/>
  <c r="F3371" i="13"/>
  <c r="F3367" i="13"/>
  <c r="F3363" i="13"/>
  <c r="F3359" i="13"/>
  <c r="F3355" i="13"/>
  <c r="F3351" i="13"/>
  <c r="F3347" i="13"/>
  <c r="F3343" i="13"/>
  <c r="F3339" i="13"/>
  <c r="F3335" i="13"/>
  <c r="F3331" i="13"/>
  <c r="F3327" i="13"/>
  <c r="F3323" i="13"/>
  <c r="F3319" i="13"/>
  <c r="F3315" i="13"/>
  <c r="F3311" i="13"/>
  <c r="F3307" i="13"/>
  <c r="F3303" i="13"/>
  <c r="F3299" i="13"/>
  <c r="F3295" i="13"/>
  <c r="F3291" i="13"/>
  <c r="F3287" i="13"/>
  <c r="F3283" i="13"/>
  <c r="F3279" i="13"/>
  <c r="F3275" i="13"/>
  <c r="F3271" i="13"/>
  <c r="F3267" i="13"/>
  <c r="F3263" i="13"/>
  <c r="F3255" i="13"/>
  <c r="F3251" i="13"/>
  <c r="F3247" i="13"/>
  <c r="F3243" i="13"/>
  <c r="F3239" i="13"/>
  <c r="F3235" i="13"/>
  <c r="F3231" i="13"/>
  <c r="F3227" i="13"/>
  <c r="F3223" i="13"/>
  <c r="F3219" i="13"/>
  <c r="F3215" i="13"/>
  <c r="F3211" i="13"/>
  <c r="F3207" i="13"/>
  <c r="F3203" i="13"/>
  <c r="F3199" i="13"/>
  <c r="F3195" i="13"/>
  <c r="F3191" i="13"/>
  <c r="F3187" i="13"/>
  <c r="F3183" i="13"/>
  <c r="F3179" i="13"/>
  <c r="F3175" i="13"/>
  <c r="F3171" i="13"/>
  <c r="F3167" i="13"/>
  <c r="F3163" i="13"/>
  <c r="F3159" i="13"/>
  <c r="F3155" i="13"/>
  <c r="F3151" i="13"/>
  <c r="F3147" i="13"/>
  <c r="F3143" i="13"/>
  <c r="F3139" i="13"/>
  <c r="F3135" i="13"/>
  <c r="F3131" i="13"/>
  <c r="F3127" i="13"/>
  <c r="F3123" i="13"/>
  <c r="F3119" i="13"/>
  <c r="F3115" i="13"/>
  <c r="F3111" i="13"/>
  <c r="F3107" i="13"/>
  <c r="F3103" i="13"/>
  <c r="F3099" i="13"/>
  <c r="F3095" i="13"/>
  <c r="F3091" i="13"/>
  <c r="F3087" i="13"/>
  <c r="F3083" i="13"/>
  <c r="F3079" i="13"/>
  <c r="F3075" i="13"/>
  <c r="F3071" i="13"/>
  <c r="F3067" i="13"/>
  <c r="F3063" i="13"/>
  <c r="F3059" i="13"/>
  <c r="F3055" i="13"/>
  <c r="F3051" i="13"/>
  <c r="F3047" i="13"/>
  <c r="F3043" i="13"/>
  <c r="F3039" i="13"/>
  <c r="F3035" i="13"/>
  <c r="F3031" i="13"/>
  <c r="F3027" i="13"/>
  <c r="F3023" i="13"/>
  <c r="F3019" i="13"/>
  <c r="F3015" i="13"/>
  <c r="F3011" i="13"/>
  <c r="F3007" i="13"/>
  <c r="F3003" i="13"/>
  <c r="F2999" i="13"/>
  <c r="F2995" i="13"/>
  <c r="F2991" i="13"/>
  <c r="F2987" i="13"/>
  <c r="F2983" i="13"/>
  <c r="F2979" i="13"/>
  <c r="F2975" i="13"/>
  <c r="F2971" i="13"/>
  <c r="F2967" i="13"/>
  <c r="F2963" i="13"/>
  <c r="F2959" i="13"/>
  <c r="F2955" i="13"/>
  <c r="F2951" i="13"/>
  <c r="F2943" i="13"/>
  <c r="F2935" i="13"/>
  <c r="F2927" i="13"/>
  <c r="F2922" i="13"/>
  <c r="F2918" i="13"/>
  <c r="F2914" i="13"/>
  <c r="F2910" i="13"/>
  <c r="F2906" i="13"/>
  <c r="F2902" i="13"/>
  <c r="F2898" i="13"/>
  <c r="F2894" i="13"/>
  <c r="F2890" i="13"/>
  <c r="F2886" i="13"/>
  <c r="F2882" i="13"/>
  <c r="F2878" i="13"/>
  <c r="F2874" i="13"/>
  <c r="F2870" i="13"/>
  <c r="F2862" i="13"/>
  <c r="F2858" i="13"/>
  <c r="F2854" i="13"/>
  <c r="F2850" i="13"/>
  <c r="F2846" i="13"/>
  <c r="F2842" i="13"/>
  <c r="F2838" i="13"/>
  <c r="F2834" i="13"/>
  <c r="F2830" i="13"/>
  <c r="F2826" i="13"/>
  <c r="F2822" i="13"/>
  <c r="F2818" i="13"/>
  <c r="F2814" i="13"/>
  <c r="F2810" i="13"/>
  <c r="F2806" i="13"/>
  <c r="F2802" i="13"/>
  <c r="F2798" i="13"/>
  <c r="F2794" i="13"/>
  <c r="F2790" i="13"/>
  <c r="F2786" i="13"/>
  <c r="F2782" i="13"/>
  <c r="F2778" i="13"/>
  <c r="F2774" i="13"/>
  <c r="F2770" i="13"/>
  <c r="F2766" i="13"/>
  <c r="F2762" i="13"/>
  <c r="F2758" i="13"/>
  <c r="F2754" i="13"/>
  <c r="F2750" i="13"/>
  <c r="F2746" i="13"/>
  <c r="F2742" i="13"/>
  <c r="F2738" i="13"/>
  <c r="F2734" i="13"/>
  <c r="F2730" i="13"/>
  <c r="F2726" i="13"/>
  <c r="F2722" i="13"/>
  <c r="F2718" i="13"/>
  <c r="F2714" i="13"/>
  <c r="F2710" i="13"/>
  <c r="F2706" i="13"/>
  <c r="F2702" i="13"/>
  <c r="F2698" i="13"/>
  <c r="F2694" i="13"/>
  <c r="F2690" i="13"/>
  <c r="F2686" i="13"/>
  <c r="F2682" i="13"/>
  <c r="F2678" i="13"/>
  <c r="F2674" i="13"/>
  <c r="F2670" i="13"/>
  <c r="F2666" i="13"/>
  <c r="F2662" i="13"/>
  <c r="F2658" i="13"/>
  <c r="F2654" i="13"/>
  <c r="F2650" i="13"/>
  <c r="F2646" i="13"/>
  <c r="F2642" i="13"/>
  <c r="F2638" i="13"/>
  <c r="F2634" i="13"/>
  <c r="F2630" i="13"/>
  <c r="F2626" i="13"/>
  <c r="F2622" i="13"/>
  <c r="F2618" i="13"/>
  <c r="F2614" i="13"/>
  <c r="F2610" i="13"/>
  <c r="F2606" i="13"/>
  <c r="F2602" i="13"/>
  <c r="F2598" i="13"/>
  <c r="F2594" i="13"/>
  <c r="F2590" i="13"/>
  <c r="F2586" i="13"/>
  <c r="F2582" i="13"/>
  <c r="F2578" i="13"/>
  <c r="F2574" i="13"/>
  <c r="F2570" i="13"/>
  <c r="F2566" i="13"/>
  <c r="F2562" i="13"/>
  <c r="F2558" i="13"/>
  <c r="F2554" i="13"/>
  <c r="F2550" i="13"/>
  <c r="F2546" i="13"/>
  <c r="F2542" i="13"/>
  <c r="F2538" i="13"/>
  <c r="F2534" i="13"/>
  <c r="F2530" i="13"/>
  <c r="F2526" i="13"/>
  <c r="F2522" i="13"/>
  <c r="F2518" i="13"/>
  <c r="F2514" i="13"/>
  <c r="F2510" i="13"/>
  <c r="F2506" i="13"/>
  <c r="F2502" i="13"/>
  <c r="F2498" i="13"/>
  <c r="F2494" i="13"/>
  <c r="F2490" i="13"/>
  <c r="F2486" i="13"/>
  <c r="F2482" i="13"/>
  <c r="F2478" i="13"/>
  <c r="F2474" i="13"/>
  <c r="F2470" i="13"/>
  <c r="F2466" i="13"/>
  <c r="F2462" i="13"/>
  <c r="F2458" i="13"/>
  <c r="F2454" i="13"/>
  <c r="F2450" i="13"/>
  <c r="F2446" i="13"/>
  <c r="F2442" i="13"/>
  <c r="F2438" i="13"/>
  <c r="F2434" i="13"/>
  <c r="F2430" i="13"/>
  <c r="F2426" i="13"/>
  <c r="F2422" i="13"/>
  <c r="F2418" i="13"/>
  <c r="F2414" i="13"/>
  <c r="F2410" i="13"/>
  <c r="F2406" i="13"/>
  <c r="F2402" i="13"/>
  <c r="F2398" i="13"/>
  <c r="F2394" i="13"/>
  <c r="F2390" i="13"/>
  <c r="F2386" i="13"/>
  <c r="F2382" i="13"/>
  <c r="F2378" i="13"/>
  <c r="F2374" i="13"/>
  <c r="F2370" i="13"/>
  <c r="F2366" i="13"/>
  <c r="F2362" i="13"/>
  <c r="F2358" i="13"/>
  <c r="F2354" i="13"/>
  <c r="F2350" i="13"/>
  <c r="F2346" i="13"/>
  <c r="F2342" i="13"/>
  <c r="F2338" i="13"/>
  <c r="F2334" i="13"/>
  <c r="F2330" i="13"/>
  <c r="F2326" i="13"/>
  <c r="F2322" i="13"/>
  <c r="F2318" i="13"/>
  <c r="F2310" i="13"/>
  <c r="F2306" i="13"/>
  <c r="F2302" i="13"/>
  <c r="F2298" i="13"/>
  <c r="F2294" i="13"/>
  <c r="F2290" i="13"/>
  <c r="F2286" i="13"/>
  <c r="F2282" i="13"/>
  <c r="F2278" i="13"/>
  <c r="F2274" i="13"/>
  <c r="F2270" i="13"/>
  <c r="F2266" i="13"/>
  <c r="F2262" i="13"/>
  <c r="F2258" i="13"/>
  <c r="F2254" i="13"/>
  <c r="F2250" i="13"/>
  <c r="F2246" i="13"/>
  <c r="F2242" i="13"/>
  <c r="F2238" i="13"/>
  <c r="F2234" i="13"/>
  <c r="F2230" i="13"/>
  <c r="F2226" i="13"/>
  <c r="F2222" i="13"/>
  <c r="F2218" i="13"/>
  <c r="F2214" i="13"/>
  <c r="F2210" i="13"/>
  <c r="F2206" i="13"/>
  <c r="F2202" i="13"/>
  <c r="F2198" i="13"/>
  <c r="F2194" i="13"/>
  <c r="F2190" i="13"/>
  <c r="F2186" i="13"/>
  <c r="F2182" i="13"/>
  <c r="F2178" i="13"/>
  <c r="F2174" i="13"/>
  <c r="F2170" i="13"/>
  <c r="F2166" i="13"/>
  <c r="F2162" i="13"/>
  <c r="F2158" i="13"/>
  <c r="F2154" i="13"/>
  <c r="F2150" i="13"/>
  <c r="F2146" i="13"/>
  <c r="F2142" i="13"/>
  <c r="F2138" i="13"/>
  <c r="F2134" i="13"/>
  <c r="F2130" i="13"/>
  <c r="F2126" i="13"/>
  <c r="F2122" i="13"/>
  <c r="F2118" i="13"/>
  <c r="F2114" i="13"/>
  <c r="F2110" i="13"/>
  <c r="F2106" i="13"/>
  <c r="F2102" i="13"/>
  <c r="F2098" i="13"/>
  <c r="F2094" i="13"/>
  <c r="F2090" i="13"/>
  <c r="F2087" i="13"/>
  <c r="F2083" i="13"/>
  <c r="F2079" i="13"/>
  <c r="F2075" i="13"/>
  <c r="F2071" i="13"/>
  <c r="F2067" i="13"/>
  <c r="F2063" i="13"/>
  <c r="F2059" i="13"/>
  <c r="F2055" i="13"/>
  <c r="F2051" i="13"/>
  <c r="F2047" i="13"/>
  <c r="F2043" i="13"/>
  <c r="F2039" i="13"/>
  <c r="F2035" i="13"/>
  <c r="F2031" i="13"/>
  <c r="F2027" i="13"/>
  <c r="F2023" i="13"/>
  <c r="F2019" i="13"/>
  <c r="F2015" i="13"/>
  <c r="F2011" i="13"/>
  <c r="F2007" i="13"/>
  <c r="F2003" i="13"/>
  <c r="F1999" i="13"/>
  <c r="F1995" i="13"/>
  <c r="F1991" i="13"/>
  <c r="F1987" i="13"/>
  <c r="F1983" i="13"/>
  <c r="F1979" i="13"/>
  <c r="F1975" i="13"/>
  <c r="F1971" i="13"/>
  <c r="F1967" i="13"/>
  <c r="F1963" i="13"/>
  <c r="F1959" i="13"/>
  <c r="F1955" i="13"/>
  <c r="F1951" i="13"/>
  <c r="F1947" i="13"/>
  <c r="F1943" i="13"/>
  <c r="F1939" i="13"/>
  <c r="F1935" i="13"/>
  <c r="F1931" i="13"/>
  <c r="F1927" i="13"/>
  <c r="F1923" i="13"/>
  <c r="F1919" i="13"/>
  <c r="F1915" i="13"/>
  <c r="F1911" i="13"/>
  <c r="F1907" i="13"/>
  <c r="F1903" i="13"/>
  <c r="F1899" i="13"/>
  <c r="F1895" i="13"/>
  <c r="F1891" i="13"/>
  <c r="F1887" i="13"/>
  <c r="F1883" i="13"/>
  <c r="F1879" i="13"/>
  <c r="F1875" i="13"/>
  <c r="F1871" i="13"/>
  <c r="F1867" i="13"/>
  <c r="F1863" i="13"/>
  <c r="F1859" i="13"/>
  <c r="F1855" i="13"/>
  <c r="F1851" i="13"/>
  <c r="F1847" i="13"/>
  <c r="F1843" i="13"/>
  <c r="F1839" i="13"/>
  <c r="F1835" i="13"/>
  <c r="F1831" i="13"/>
  <c r="F1827" i="13"/>
  <c r="F1823" i="13"/>
  <c r="F1819" i="13"/>
  <c r="F1815" i="13"/>
  <c r="F1811" i="13"/>
  <c r="F1807" i="13"/>
  <c r="F1803" i="13"/>
  <c r="F1799" i="13"/>
  <c r="F1795" i="13"/>
  <c r="F1791" i="13"/>
  <c r="F1787" i="13"/>
  <c r="F1783" i="13"/>
  <c r="F1779" i="13"/>
  <c r="F1775" i="13"/>
  <c r="F1771" i="13"/>
  <c r="F1767" i="13"/>
  <c r="F1763" i="13"/>
  <c r="F1759" i="13"/>
  <c r="F1755" i="13"/>
  <c r="F1751" i="13"/>
  <c r="F1747" i="13"/>
  <c r="F1743" i="13"/>
  <c r="F1739" i="13"/>
  <c r="F1735" i="13"/>
  <c r="F1731" i="13"/>
  <c r="F1727" i="13"/>
  <c r="F1723" i="13"/>
  <c r="F1719" i="13"/>
  <c r="F1715" i="13"/>
  <c r="F1711" i="13"/>
  <c r="F1707" i="13"/>
  <c r="F1703" i="13"/>
  <c r="F1699" i="13"/>
  <c r="F1695" i="13"/>
  <c r="F1691" i="13"/>
  <c r="F1687" i="13"/>
  <c r="F1683" i="13"/>
  <c r="F1679" i="13"/>
  <c r="F1675" i="13"/>
  <c r="F1671" i="13"/>
  <c r="F1667" i="13"/>
  <c r="F1663" i="13"/>
  <c r="F1659" i="13"/>
  <c r="F1655" i="13"/>
  <c r="F1651" i="13"/>
  <c r="F1647" i="13"/>
  <c r="F1643" i="13"/>
  <c r="F1639" i="13"/>
  <c r="F1635" i="13"/>
  <c r="F1631" i="13"/>
  <c r="F1627" i="13"/>
  <c r="F1623" i="13"/>
  <c r="F1619" i="13"/>
  <c r="F1615" i="13"/>
  <c r="F1607" i="13"/>
  <c r="F1603" i="13"/>
  <c r="F1597" i="13"/>
  <c r="F1589" i="13"/>
  <c r="F1581" i="13"/>
  <c r="F1568" i="13"/>
  <c r="F2949" i="13"/>
  <c r="F2945" i="13"/>
  <c r="F2941" i="13"/>
  <c r="F2937" i="13"/>
  <c r="F2933" i="13"/>
  <c r="F2929" i="13"/>
  <c r="F2925" i="13"/>
  <c r="F2921" i="13"/>
  <c r="F2917" i="13"/>
  <c r="F2913" i="13"/>
  <c r="F2909" i="13"/>
  <c r="F2905" i="13"/>
  <c r="F2901" i="13"/>
  <c r="F2897" i="13"/>
  <c r="F2893" i="13"/>
  <c r="F2889" i="13"/>
  <c r="F2885" i="13"/>
  <c r="F2881" i="13"/>
  <c r="F2877" i="13"/>
  <c r="F2873" i="13"/>
  <c r="F2869" i="13"/>
  <c r="F2865" i="13"/>
  <c r="F2861" i="13"/>
  <c r="F2857" i="13"/>
  <c r="F2853" i="13"/>
  <c r="F2849" i="13"/>
  <c r="F2845" i="13"/>
  <c r="F2841" i="13"/>
  <c r="F2837" i="13"/>
  <c r="F2833" i="13"/>
  <c r="F2829" i="13"/>
  <c r="F2825" i="13"/>
  <c r="F2821" i="13"/>
  <c r="F2817" i="13"/>
  <c r="F2813" i="13"/>
  <c r="F2809" i="13"/>
  <c r="F2805" i="13"/>
  <c r="F2801" i="13"/>
  <c r="F2797" i="13"/>
  <c r="F2793" i="13"/>
  <c r="F2789" i="13"/>
  <c r="F2785" i="13"/>
  <c r="F2781" i="13"/>
  <c r="F2777" i="13"/>
  <c r="F2773" i="13"/>
  <c r="F2769" i="13"/>
  <c r="F2765" i="13"/>
  <c r="F2761" i="13"/>
  <c r="F2757" i="13"/>
  <c r="F2753" i="13"/>
  <c r="F2749" i="13"/>
  <c r="F2745" i="13"/>
  <c r="F2741" i="13"/>
  <c r="F2737" i="13"/>
  <c r="F2733" i="13"/>
  <c r="F2729" i="13"/>
  <c r="F2725" i="13"/>
  <c r="F2721" i="13"/>
  <c r="F2717" i="13"/>
  <c r="F2713" i="13"/>
  <c r="F2709" i="13"/>
  <c r="F2705" i="13"/>
  <c r="F2701" i="13"/>
  <c r="F2697" i="13"/>
  <c r="F2693" i="13"/>
  <c r="F2689" i="13"/>
  <c r="F2685" i="13"/>
  <c r="F2681" i="13"/>
  <c r="F2677" i="13"/>
  <c r="F2673" i="13"/>
  <c r="F2669" i="13"/>
  <c r="F2665" i="13"/>
  <c r="F2661" i="13"/>
  <c r="F2657" i="13"/>
  <c r="F2653" i="13"/>
  <c r="F2649" i="13"/>
  <c r="F2645" i="13"/>
  <c r="F2641" i="13"/>
  <c r="F2637" i="13"/>
  <c r="F2633" i="13"/>
  <c r="F2629" i="13"/>
  <c r="F2625" i="13"/>
  <c r="F2621" i="13"/>
  <c r="F2613" i="13"/>
  <c r="F2609" i="13"/>
  <c r="F2605" i="13"/>
  <c r="F2601" i="13"/>
  <c r="F2597" i="13"/>
  <c r="F2593" i="13"/>
  <c r="F2589" i="13"/>
  <c r="F2585" i="13"/>
  <c r="F2581" i="13"/>
  <c r="F2577" i="13"/>
  <c r="F2573" i="13"/>
  <c r="F2569" i="13"/>
  <c r="F2565" i="13"/>
  <c r="F2561" i="13"/>
  <c r="F2557" i="13"/>
  <c r="F2553" i="13"/>
  <c r="F2549" i="13"/>
  <c r="F2545" i="13"/>
  <c r="F2541" i="13"/>
  <c r="F2537" i="13"/>
  <c r="F2533" i="13"/>
  <c r="F2529" i="13"/>
  <c r="F2525" i="13"/>
  <c r="F2521" i="13"/>
  <c r="F2517" i="13"/>
  <c r="F2513" i="13"/>
  <c r="F2509" i="13"/>
  <c r="F2505" i="13"/>
  <c r="F2501" i="13"/>
  <c r="F2497" i="13"/>
  <c r="F2493" i="13"/>
  <c r="F2489" i="13"/>
  <c r="F2485" i="13"/>
  <c r="F2481" i="13"/>
  <c r="F2477" i="13"/>
  <c r="F2473" i="13"/>
  <c r="F2469" i="13"/>
  <c r="F2465" i="13"/>
  <c r="F2461" i="13"/>
  <c r="F2457" i="13"/>
  <c r="F2453" i="13"/>
  <c r="F2449" i="13"/>
  <c r="F2445" i="13"/>
  <c r="F2441" i="13"/>
  <c r="F2437" i="13"/>
  <c r="F2433" i="13"/>
  <c r="F2429" i="13"/>
  <c r="F2425" i="13"/>
  <c r="F2421" i="13"/>
  <c r="F2417" i="13"/>
  <c r="F2413" i="13"/>
  <c r="F2409" i="13"/>
  <c r="F2405" i="13"/>
  <c r="F2401" i="13"/>
  <c r="F2397" i="13"/>
  <c r="F2393" i="13"/>
  <c r="F2389" i="13"/>
  <c r="F2385" i="13"/>
  <c r="F2381" i="13"/>
  <c r="F2377" i="13"/>
  <c r="F2373" i="13"/>
  <c r="F2369" i="13"/>
  <c r="F2365" i="13"/>
  <c r="F2361" i="13"/>
  <c r="F2357" i="13"/>
  <c r="F2353" i="13"/>
  <c r="F2349" i="13"/>
  <c r="F2345" i="13"/>
  <c r="F2341" i="13"/>
  <c r="F2337" i="13"/>
  <c r="F2333" i="13"/>
  <c r="F2329" i="13"/>
  <c r="F2325" i="13"/>
  <c r="F2321" i="13"/>
  <c r="F2317" i="13"/>
  <c r="F2309" i="13"/>
  <c r="F2305" i="13"/>
  <c r="F2301" i="13"/>
  <c r="F2297" i="13"/>
  <c r="F2293" i="13"/>
  <c r="F2289" i="13"/>
  <c r="F2285" i="13"/>
  <c r="F2281" i="13"/>
  <c r="F2277" i="13"/>
  <c r="F2273" i="13"/>
  <c r="F2269" i="13"/>
  <c r="F2265" i="13"/>
  <c r="F2261" i="13"/>
  <c r="F2257" i="13"/>
  <c r="F2253" i="13"/>
  <c r="F2249" i="13"/>
  <c r="F2245" i="13"/>
  <c r="F2241" i="13"/>
  <c r="F2237" i="13"/>
  <c r="F2233" i="13"/>
  <c r="F2229" i="13"/>
  <c r="F2225" i="13"/>
  <c r="F2221" i="13"/>
  <c r="F2217" i="13"/>
  <c r="F2213" i="13"/>
  <c r="F2209" i="13"/>
  <c r="F2205" i="13"/>
  <c r="F2201" i="13"/>
  <c r="F2197" i="13"/>
  <c r="F2193" i="13"/>
  <c r="F2189" i="13"/>
  <c r="F2185" i="13"/>
  <c r="F2181" i="13"/>
  <c r="F2177" i="13"/>
  <c r="F2173" i="13"/>
  <c r="F2169" i="13"/>
  <c r="F2165" i="13"/>
  <c r="F2161" i="13"/>
  <c r="F2157" i="13"/>
  <c r="F2153" i="13"/>
  <c r="F2149" i="13"/>
  <c r="F2145" i="13"/>
  <c r="F2141" i="13"/>
  <c r="F2137" i="13"/>
  <c r="F2133" i="13"/>
  <c r="F2129" i="13"/>
  <c r="F2125" i="13"/>
  <c r="F2121" i="13"/>
  <c r="F2117" i="13"/>
  <c r="F2113" i="13"/>
  <c r="F2109" i="13"/>
  <c r="F2105" i="13"/>
  <c r="F2101" i="13"/>
  <c r="F2097" i="13"/>
  <c r="F2093" i="13"/>
  <c r="F2086" i="13"/>
  <c r="F2082" i="13"/>
  <c r="F2078" i="13"/>
  <c r="F2074" i="13"/>
  <c r="F2070" i="13"/>
  <c r="F2066" i="13"/>
  <c r="F2062" i="13"/>
  <c r="F2058" i="13"/>
  <c r="F2054" i="13"/>
  <c r="F2050" i="13"/>
  <c r="F2046" i="13"/>
  <c r="F2042" i="13"/>
  <c r="F2038" i="13"/>
  <c r="F2034" i="13"/>
  <c r="F2030" i="13"/>
  <c r="F2026" i="13"/>
  <c r="F2022" i="13"/>
  <c r="F2018" i="13"/>
  <c r="F2014" i="13"/>
  <c r="F2010" i="13"/>
  <c r="F2006" i="13"/>
  <c r="F2002" i="13"/>
  <c r="F1998" i="13"/>
  <c r="F1994" i="13"/>
  <c r="F1990" i="13"/>
  <c r="F1986" i="13"/>
  <c r="F1982" i="13"/>
  <c r="F1978" i="13"/>
  <c r="F1974" i="13"/>
  <c r="F1970" i="13"/>
  <c r="F1966" i="13"/>
  <c r="F1962" i="13"/>
  <c r="F1958" i="13"/>
  <c r="F1954" i="13"/>
  <c r="F1950" i="13"/>
  <c r="F1946" i="13"/>
  <c r="F1942" i="13"/>
  <c r="F1938" i="13"/>
  <c r="F1934" i="13"/>
  <c r="F1930" i="13"/>
  <c r="F1926" i="13"/>
  <c r="F1922" i="13"/>
  <c r="F1918" i="13"/>
  <c r="F1914" i="13"/>
  <c r="F1910" i="13"/>
  <c r="F1906" i="13"/>
  <c r="F1902" i="13"/>
  <c r="F1898" i="13"/>
  <c r="F1894" i="13"/>
  <c r="F1890" i="13"/>
  <c r="F1886" i="13"/>
  <c r="F1882" i="13"/>
  <c r="F1878" i="13"/>
  <c r="F1874" i="13"/>
  <c r="F1870" i="13"/>
  <c r="F1866" i="13"/>
  <c r="F1862" i="13"/>
  <c r="F1858" i="13"/>
  <c r="F1854" i="13"/>
  <c r="F1850" i="13"/>
  <c r="F1846" i="13"/>
  <c r="F1842" i="13"/>
  <c r="F1838" i="13"/>
  <c r="F1834" i="13"/>
  <c r="F1830" i="13"/>
  <c r="F1826" i="13"/>
  <c r="F1822" i="13"/>
  <c r="F1818" i="13"/>
  <c r="F1814" i="13"/>
  <c r="F1810" i="13"/>
  <c r="F1806" i="13"/>
  <c r="F1802" i="13"/>
  <c r="F1798" i="13"/>
  <c r="F1794" i="13"/>
  <c r="F1790" i="13"/>
  <c r="F1786" i="13"/>
  <c r="F1782" i="13"/>
  <c r="F1778" i="13"/>
  <c r="F1774" i="13"/>
  <c r="F1770" i="13"/>
  <c r="F1766" i="13"/>
  <c r="F1762" i="13"/>
  <c r="F1758" i="13"/>
  <c r="F1754" i="13"/>
  <c r="F1750" i="13"/>
  <c r="F1746" i="13"/>
  <c r="F1742" i="13"/>
  <c r="F1738" i="13"/>
  <c r="F1734" i="13"/>
  <c r="F1730" i="13"/>
  <c r="F1726" i="13"/>
  <c r="F1722" i="13"/>
  <c r="F1718" i="13"/>
  <c r="F1714" i="13"/>
  <c r="F1710" i="13"/>
  <c r="F1706" i="13"/>
  <c r="F1702" i="13"/>
  <c r="F1698" i="13"/>
  <c r="F1694" i="13"/>
  <c r="F1690" i="13"/>
  <c r="F1686" i="13"/>
  <c r="F1682" i="13"/>
  <c r="F1678" i="13"/>
  <c r="F1674" i="13"/>
  <c r="F1670" i="13"/>
  <c r="F1666" i="13"/>
  <c r="F1662" i="13"/>
  <c r="F1658" i="13"/>
  <c r="F1654" i="13"/>
  <c r="F1650" i="13"/>
  <c r="F1646" i="13"/>
  <c r="F1642" i="13"/>
  <c r="F1638" i="13"/>
  <c r="F1634" i="13"/>
  <c r="F1630" i="13"/>
  <c r="F1626" i="13"/>
  <c r="F1622" i="13"/>
  <c r="F1618" i="13"/>
  <c r="F1614" i="13"/>
  <c r="F1610" i="13"/>
  <c r="F1606" i="13"/>
  <c r="F1601" i="13"/>
  <c r="F1596" i="13"/>
  <c r="F1588" i="13"/>
  <c r="F1580" i="13"/>
  <c r="F2948" i="13"/>
  <c r="F2944" i="13"/>
  <c r="F2940" i="13"/>
  <c r="F2936" i="13"/>
  <c r="F2932" i="13"/>
  <c r="F2928" i="13"/>
  <c r="F2924" i="13"/>
  <c r="F2920" i="13"/>
  <c r="F2916" i="13"/>
  <c r="F2912" i="13"/>
  <c r="F2908" i="13"/>
  <c r="F2904" i="13"/>
  <c r="F2900" i="13"/>
  <c r="F2896" i="13"/>
  <c r="F2892" i="13"/>
  <c r="F2888" i="13"/>
  <c r="F2884" i="13"/>
  <c r="F2880" i="13"/>
  <c r="F2876" i="13"/>
  <c r="F2872" i="13"/>
  <c r="F2868" i="13"/>
  <c r="F2864" i="13"/>
  <c r="F2860" i="13"/>
  <c r="F2856" i="13"/>
  <c r="F2852" i="13"/>
  <c r="F2848" i="13"/>
  <c r="F2844" i="13"/>
  <c r="F2840" i="13"/>
  <c r="F2836" i="13"/>
  <c r="F2832" i="13"/>
  <c r="F2828" i="13"/>
  <c r="F2824" i="13"/>
  <c r="F2820" i="13"/>
  <c r="F2816" i="13"/>
  <c r="F2812" i="13"/>
  <c r="F2808" i="13"/>
  <c r="F2804" i="13"/>
  <c r="F2800" i="13"/>
  <c r="F2796" i="13"/>
  <c r="F2792" i="13"/>
  <c r="F2788" i="13"/>
  <c r="F2784" i="13"/>
  <c r="F2780" i="13"/>
  <c r="F2776" i="13"/>
  <c r="F2772" i="13"/>
  <c r="F2768" i="13"/>
  <c r="F2764" i="13"/>
  <c r="F2760" i="13"/>
  <c r="F2756" i="13"/>
  <c r="F2752" i="13"/>
  <c r="F2748" i="13"/>
  <c r="F2744" i="13"/>
  <c r="F2740" i="13"/>
  <c r="F2736" i="13"/>
  <c r="F2732" i="13"/>
  <c r="F2728" i="13"/>
  <c r="F2724" i="13"/>
  <c r="F2720" i="13"/>
  <c r="F2716" i="13"/>
  <c r="F2712" i="13"/>
  <c r="F2708" i="13"/>
  <c r="F2704" i="13"/>
  <c r="F2700" i="13"/>
  <c r="F2696" i="13"/>
  <c r="F2692" i="13"/>
  <c r="F2688" i="13"/>
  <c r="F2684" i="13"/>
  <c r="F2680" i="13"/>
  <c r="F2676" i="13"/>
  <c r="F2672" i="13"/>
  <c r="F2668" i="13"/>
  <c r="F2664" i="13"/>
  <c r="F2660" i="13"/>
  <c r="F2656" i="13"/>
  <c r="F2652" i="13"/>
  <c r="F2648" i="13"/>
  <c r="F2644" i="13"/>
  <c r="F2640" i="13"/>
  <c r="F2636" i="13"/>
  <c r="F2632" i="13"/>
  <c r="F2628" i="13"/>
  <c r="F2624" i="13"/>
  <c r="F2620" i="13"/>
  <c r="F2616" i="13"/>
  <c r="F2612" i="13"/>
  <c r="F2608" i="13"/>
  <c r="F2604" i="13"/>
  <c r="F2600" i="13"/>
  <c r="F2596" i="13"/>
  <c r="F2592" i="13"/>
  <c r="F2588" i="13"/>
  <c r="F2584" i="13"/>
  <c r="F2580" i="13"/>
  <c r="F2576" i="13"/>
  <c r="F2572" i="13"/>
  <c r="F2568" i="13"/>
  <c r="F2564" i="13"/>
  <c r="F2560" i="13"/>
  <c r="F2556" i="13"/>
  <c r="F2552" i="13"/>
  <c r="F2548" i="13"/>
  <c r="F2544" i="13"/>
  <c r="F2540" i="13"/>
  <c r="F2536" i="13"/>
  <c r="F2532" i="13"/>
  <c r="F2528" i="13"/>
  <c r="F2524" i="13"/>
  <c r="F2520" i="13"/>
  <c r="F2516" i="13"/>
  <c r="F2512" i="13"/>
  <c r="F2508" i="13"/>
  <c r="F2504" i="13"/>
  <c r="F2500" i="13"/>
  <c r="F2496" i="13"/>
  <c r="F2492" i="13"/>
  <c r="F2488" i="13"/>
  <c r="F2484" i="13"/>
  <c r="F2480" i="13"/>
  <c r="F2476" i="13"/>
  <c r="F2472" i="13"/>
  <c r="F2468" i="13"/>
  <c r="F2464" i="13"/>
  <c r="F2460" i="13"/>
  <c r="F2456" i="13"/>
  <c r="F2452" i="13"/>
  <c r="F2448" i="13"/>
  <c r="F2444" i="13"/>
  <c r="F2440" i="13"/>
  <c r="F2436" i="13"/>
  <c r="F2432" i="13"/>
  <c r="F2428" i="13"/>
  <c r="F2424" i="13"/>
  <c r="F2420" i="13"/>
  <c r="F2416" i="13"/>
  <c r="F2412" i="13"/>
  <c r="F2408" i="13"/>
  <c r="F2404" i="13"/>
  <c r="F2400" i="13"/>
  <c r="F2396" i="13"/>
  <c r="F2392" i="13"/>
  <c r="F2388" i="13"/>
  <c r="F2384" i="13"/>
  <c r="F2380" i="13"/>
  <c r="F2376" i="13"/>
  <c r="F2372" i="13"/>
  <c r="F2368" i="13"/>
  <c r="F2364" i="13"/>
  <c r="F2360" i="13"/>
  <c r="F2356" i="13"/>
  <c r="F2352" i="13"/>
  <c r="F2348" i="13"/>
  <c r="F2344" i="13"/>
  <c r="F2340" i="13"/>
  <c r="F2336" i="13"/>
  <c r="F2332" i="13"/>
  <c r="F2328" i="13"/>
  <c r="F2324" i="13"/>
  <c r="F2320" i="13"/>
  <c r="F2316" i="13"/>
  <c r="F2312" i="13"/>
  <c r="F2308" i="13"/>
  <c r="F2304" i="13"/>
  <c r="F2300" i="13"/>
  <c r="F2296" i="13"/>
  <c r="F2292" i="13"/>
  <c r="F2288" i="13"/>
  <c r="F2284" i="13"/>
  <c r="F2280" i="13"/>
  <c r="F2276" i="13"/>
  <c r="F2272" i="13"/>
  <c r="F2268" i="13"/>
  <c r="F2264" i="13"/>
  <c r="F2260" i="13"/>
  <c r="F2256" i="13"/>
  <c r="F2252" i="13"/>
  <c r="F2248" i="13"/>
  <c r="F2244" i="13"/>
  <c r="F2240" i="13"/>
  <c r="F2236" i="13"/>
  <c r="F2232" i="13"/>
  <c r="F2228" i="13"/>
  <c r="F2224" i="13"/>
  <c r="F2220" i="13"/>
  <c r="F2216" i="13"/>
  <c r="F2212" i="13"/>
  <c r="F2208" i="13"/>
  <c r="F2204" i="13"/>
  <c r="F2200" i="13"/>
  <c r="F2196" i="13"/>
  <c r="F2192" i="13"/>
  <c r="F2188" i="13"/>
  <c r="F2184" i="13"/>
  <c r="F2180" i="13"/>
  <c r="F2176" i="13"/>
  <c r="F2172" i="13"/>
  <c r="F2168" i="13"/>
  <c r="F2164" i="13"/>
  <c r="F2160" i="13"/>
  <c r="F2156" i="13"/>
  <c r="F2152" i="13"/>
  <c r="F2148" i="13"/>
  <c r="F2144" i="13"/>
  <c r="F2140" i="13"/>
  <c r="F2136" i="13"/>
  <c r="F2132" i="13"/>
  <c r="F2128" i="13"/>
  <c r="F2124" i="13"/>
  <c r="F2120" i="13"/>
  <c r="F2116" i="13"/>
  <c r="F2112" i="13"/>
  <c r="F2108" i="13"/>
  <c r="F2104" i="13"/>
  <c r="F2100" i="13"/>
  <c r="F2096" i="13"/>
  <c r="F2092" i="13"/>
  <c r="F2089" i="13"/>
  <c r="F2085" i="13"/>
  <c r="F2081" i="13"/>
  <c r="F2077" i="13"/>
  <c r="F2073" i="13"/>
  <c r="F2069" i="13"/>
  <c r="F2065" i="13"/>
  <c r="F2061" i="13"/>
  <c r="F2057" i="13"/>
  <c r="F2053" i="13"/>
  <c r="F2049" i="13"/>
  <c r="F2045" i="13"/>
  <c r="F2041" i="13"/>
  <c r="F2037" i="13"/>
  <c r="F2033" i="13"/>
  <c r="F2029" i="13"/>
  <c r="F2025" i="13"/>
  <c r="F2021" i="13"/>
  <c r="F2017" i="13"/>
  <c r="F2013" i="13"/>
  <c r="F2009" i="13"/>
  <c r="F2005" i="13"/>
  <c r="F2001" i="13"/>
  <c r="F1997" i="13"/>
  <c r="F1993" i="13"/>
  <c r="F1989" i="13"/>
  <c r="F1985" i="13"/>
  <c r="F1981" i="13"/>
  <c r="F1977" i="13"/>
  <c r="F1973" i="13"/>
  <c r="F1969" i="13"/>
  <c r="F1965" i="13"/>
  <c r="F1961" i="13"/>
  <c r="F1957" i="13"/>
  <c r="F1953" i="13"/>
  <c r="F1949" i="13"/>
  <c r="F1945" i="13"/>
  <c r="F1941" i="13"/>
  <c r="F1937" i="13"/>
  <c r="F1933" i="13"/>
  <c r="F1929" i="13"/>
  <c r="F1925" i="13"/>
  <c r="F1921" i="13"/>
  <c r="F1917" i="13"/>
  <c r="F1913" i="13"/>
  <c r="F1909" i="13"/>
  <c r="F1905" i="13"/>
  <c r="F1901" i="13"/>
  <c r="F1897" i="13"/>
  <c r="F1893" i="13"/>
  <c r="F1889" i="13"/>
  <c r="F1885" i="13"/>
  <c r="F1881" i="13"/>
  <c r="F1877" i="13"/>
  <c r="F1873" i="13"/>
  <c r="F1869" i="13"/>
  <c r="F1865" i="13"/>
  <c r="F1861" i="13"/>
  <c r="F1857" i="13"/>
  <c r="F1853" i="13"/>
  <c r="F1849" i="13"/>
  <c r="F1845" i="13"/>
  <c r="F1841" i="13"/>
  <c r="F1837" i="13"/>
  <c r="F1833" i="13"/>
  <c r="F1829" i="13"/>
  <c r="F1825" i="13"/>
  <c r="F1821" i="13"/>
  <c r="F1817" i="13"/>
  <c r="F1813" i="13"/>
  <c r="F1809" i="13"/>
  <c r="F1805" i="13"/>
  <c r="F1801" i="13"/>
  <c r="F1797" i="13"/>
  <c r="F1793" i="13"/>
  <c r="F1789" i="13"/>
  <c r="F1785" i="13"/>
  <c r="F1781" i="13"/>
  <c r="F1777" i="13"/>
  <c r="F1773" i="13"/>
  <c r="F1769" i="13"/>
  <c r="F1765" i="13"/>
  <c r="F1761" i="13"/>
  <c r="F1757" i="13"/>
  <c r="F1753" i="13"/>
  <c r="F1749" i="13"/>
  <c r="F1745" i="13"/>
  <c r="F1741" i="13"/>
  <c r="F1737" i="13"/>
  <c r="F1733" i="13"/>
  <c r="F1729" i="13"/>
  <c r="F1725" i="13"/>
  <c r="F1721" i="13"/>
  <c r="F1717" i="13"/>
  <c r="F1713" i="13"/>
  <c r="F1709" i="13"/>
  <c r="F1705" i="13"/>
  <c r="F1701" i="13"/>
  <c r="F1697" i="13"/>
  <c r="F1693" i="13"/>
  <c r="F1689" i="13"/>
  <c r="F1685" i="13"/>
  <c r="F1681" i="13"/>
  <c r="F1677" i="13"/>
  <c r="F1673" i="13"/>
  <c r="F1669" i="13"/>
  <c r="F1665" i="13"/>
  <c r="F1661" i="13"/>
  <c r="F1657" i="13"/>
  <c r="F1653" i="13"/>
  <c r="F1649" i="13"/>
  <c r="F1645" i="13"/>
  <c r="F1641" i="13"/>
  <c r="F1637" i="13"/>
  <c r="F1633" i="13"/>
  <c r="F1629" i="13"/>
  <c r="F1625" i="13"/>
  <c r="F1621" i="13"/>
  <c r="F1617" i="13"/>
  <c r="F1613" i="13"/>
  <c r="F1609" i="13"/>
  <c r="F1605" i="13"/>
  <c r="F1600" i="13"/>
  <c r="F1593" i="13"/>
  <c r="F1585" i="13"/>
  <c r="F1576" i="13"/>
  <c r="F2923" i="13"/>
  <c r="F2919" i="13"/>
  <c r="F2915" i="13"/>
  <c r="F2911" i="13"/>
  <c r="F2907" i="13"/>
  <c r="F2903" i="13"/>
  <c r="F2899" i="13"/>
  <c r="F2895" i="13"/>
  <c r="F2891" i="13"/>
  <c r="F2887" i="13"/>
  <c r="F2883" i="13"/>
  <c r="F2879" i="13"/>
  <c r="F2875" i="13"/>
  <c r="F2871" i="13"/>
  <c r="F2867" i="13"/>
  <c r="F2863" i="13"/>
  <c r="F2859" i="13"/>
  <c r="F2855" i="13"/>
  <c r="F2851" i="13"/>
  <c r="F2847" i="13"/>
  <c r="F2843" i="13"/>
  <c r="F2839" i="13"/>
  <c r="F2835" i="13"/>
  <c r="F2831" i="13"/>
  <c r="F2827" i="13"/>
  <c r="F2823" i="13"/>
  <c r="F2819" i="13"/>
  <c r="F2815" i="13"/>
  <c r="F2811" i="13"/>
  <c r="F2807" i="13"/>
  <c r="F2803" i="13"/>
  <c r="F2799" i="13"/>
  <c r="F2795" i="13"/>
  <c r="F2791" i="13"/>
  <c r="F2787" i="13"/>
  <c r="F2783" i="13"/>
  <c r="F2779" i="13"/>
  <c r="F2775" i="13"/>
  <c r="F2771" i="13"/>
  <c r="F2767" i="13"/>
  <c r="F2763" i="13"/>
  <c r="F2759" i="13"/>
  <c r="F2755" i="13"/>
  <c r="F2751" i="13"/>
  <c r="F2747" i="13"/>
  <c r="F2743" i="13"/>
  <c r="F2739" i="13"/>
  <c r="F2735" i="13"/>
  <c r="F2731" i="13"/>
  <c r="F2727" i="13"/>
  <c r="F2723" i="13"/>
  <c r="F2719" i="13"/>
  <c r="F2715" i="13"/>
  <c r="F2711" i="13"/>
  <c r="F2707" i="13"/>
  <c r="F2703" i="13"/>
  <c r="F2699" i="13"/>
  <c r="F2695" i="13"/>
  <c r="F2691" i="13"/>
  <c r="F2687" i="13"/>
  <c r="F2683" i="13"/>
  <c r="F2679" i="13"/>
  <c r="F2675" i="13"/>
  <c r="F2671" i="13"/>
  <c r="F2667" i="13"/>
  <c r="F2663" i="13"/>
  <c r="F2659" i="13"/>
  <c r="F2655" i="13"/>
  <c r="F2651" i="13"/>
  <c r="F2647" i="13"/>
  <c r="F2643" i="13"/>
  <c r="F2639" i="13"/>
  <c r="F2635" i="13"/>
  <c r="F2631" i="13"/>
  <c r="F2627" i="13"/>
  <c r="F2623" i="13"/>
  <c r="F2619" i="13"/>
  <c r="F2615" i="13"/>
  <c r="F2611" i="13"/>
  <c r="F2607" i="13"/>
  <c r="F2603" i="13"/>
  <c r="F2599" i="13"/>
  <c r="F2595" i="13"/>
  <c r="F2591" i="13"/>
  <c r="F2587" i="13"/>
  <c r="F2583" i="13"/>
  <c r="F2579" i="13"/>
  <c r="F2575" i="13"/>
  <c r="F2571" i="13"/>
  <c r="F2567" i="13"/>
  <c r="F2563" i="13"/>
  <c r="F2559" i="13"/>
  <c r="F2555" i="13"/>
  <c r="F2551" i="13"/>
  <c r="F2547" i="13"/>
  <c r="F2543" i="13"/>
  <c r="F2539" i="13"/>
  <c r="F2535" i="13"/>
  <c r="F2531" i="13"/>
  <c r="F2527" i="13"/>
  <c r="F2523" i="13"/>
  <c r="F2519" i="13"/>
  <c r="F2515" i="13"/>
  <c r="F2511" i="13"/>
  <c r="F2507" i="13"/>
  <c r="F2503" i="13"/>
  <c r="F2499" i="13"/>
  <c r="F2495" i="13"/>
  <c r="F2491" i="13"/>
  <c r="F2487" i="13"/>
  <c r="F2483" i="13"/>
  <c r="F2479" i="13"/>
  <c r="F2475" i="13"/>
  <c r="F2471" i="13"/>
  <c r="F2467" i="13"/>
  <c r="F2463" i="13"/>
  <c r="F2459" i="13"/>
  <c r="F2455" i="13"/>
  <c r="F2451" i="13"/>
  <c r="F2447" i="13"/>
  <c r="F2443" i="13"/>
  <c r="F2439" i="13"/>
  <c r="F2435" i="13"/>
  <c r="F2431" i="13"/>
  <c r="F2427" i="13"/>
  <c r="F2423" i="13"/>
  <c r="F2419" i="13"/>
  <c r="F2415" i="13"/>
  <c r="F2411" i="13"/>
  <c r="F2407" i="13"/>
  <c r="F2403" i="13"/>
  <c r="F2395" i="13"/>
  <c r="F2391" i="13"/>
  <c r="F2387" i="13"/>
  <c r="F2383" i="13"/>
  <c r="F2379" i="13"/>
  <c r="F2375" i="13"/>
  <c r="F2371" i="13"/>
  <c r="F2367" i="13"/>
  <c r="F2363" i="13"/>
  <c r="F2359" i="13"/>
  <c r="F2355" i="13"/>
  <c r="F2351" i="13"/>
  <c r="F2347" i="13"/>
  <c r="F2343" i="13"/>
  <c r="F2339" i="13"/>
  <c r="F2335" i="13"/>
  <c r="F2331" i="13"/>
  <c r="F2327" i="13"/>
  <c r="F2323" i="13"/>
  <c r="F2319" i="13"/>
  <c r="F2311" i="13"/>
  <c r="F2307" i="13"/>
  <c r="F2303" i="13"/>
  <c r="F2299" i="13"/>
  <c r="F2295" i="13"/>
  <c r="F2291" i="13"/>
  <c r="F2287" i="13"/>
  <c r="F2283" i="13"/>
  <c r="F2279" i="13"/>
  <c r="F2275" i="13"/>
  <c r="F2271" i="13"/>
  <c r="F2267" i="13"/>
  <c r="F2263" i="13"/>
  <c r="F2259" i="13"/>
  <c r="F2255" i="13"/>
  <c r="F2251" i="13"/>
  <c r="F2247" i="13"/>
  <c r="F2243" i="13"/>
  <c r="F2239" i="13"/>
  <c r="F2235" i="13"/>
  <c r="F2231" i="13"/>
  <c r="F2227" i="13"/>
  <c r="F2223" i="13"/>
  <c r="F2219" i="13"/>
  <c r="F2215" i="13"/>
  <c r="F2211" i="13"/>
  <c r="F2207" i="13"/>
  <c r="F2203" i="13"/>
  <c r="F2199" i="13"/>
  <c r="F2195" i="13"/>
  <c r="F2191" i="13"/>
  <c r="F2187" i="13"/>
  <c r="F2183" i="13"/>
  <c r="F2179" i="13"/>
  <c r="F2175" i="13"/>
  <c r="F2171" i="13"/>
  <c r="F2167" i="13"/>
  <c r="F2163" i="13"/>
  <c r="F2159" i="13"/>
  <c r="F2155" i="13"/>
  <c r="F2151" i="13"/>
  <c r="F2147" i="13"/>
  <c r="F2143" i="13"/>
  <c r="F2139" i="13"/>
  <c r="F2135" i="13"/>
  <c r="F2131" i="13"/>
  <c r="F2127" i="13"/>
  <c r="F2123" i="13"/>
  <c r="F2119" i="13"/>
  <c r="F2115" i="13"/>
  <c r="F2111" i="13"/>
  <c r="F2107" i="13"/>
  <c r="F2103" i="13"/>
  <c r="F2099" i="13"/>
  <c r="F2095" i="13"/>
  <c r="F2091" i="13"/>
  <c r="F2088" i="13"/>
  <c r="F2084" i="13"/>
  <c r="F2080" i="13"/>
  <c r="F2076" i="13"/>
  <c r="F2072" i="13"/>
  <c r="F2068" i="13"/>
  <c r="F2064" i="13"/>
  <c r="F2060" i="13"/>
  <c r="F2056" i="13"/>
  <c r="F2052" i="13"/>
  <c r="F2048" i="13"/>
  <c r="F2044" i="13"/>
  <c r="F2040" i="13"/>
  <c r="F2036" i="13"/>
  <c r="F2032" i="13"/>
  <c r="F2028" i="13"/>
  <c r="F2024" i="13"/>
  <c r="F2020" i="13"/>
  <c r="F2016" i="13"/>
  <c r="F2012" i="13"/>
  <c r="F2008" i="13"/>
  <c r="F2004" i="13"/>
  <c r="F2000" i="13"/>
  <c r="F1996" i="13"/>
  <c r="F1992" i="13"/>
  <c r="F1988" i="13"/>
  <c r="F1984" i="13"/>
  <c r="F1980" i="13"/>
  <c r="F1976" i="13"/>
  <c r="F1972" i="13"/>
  <c r="F1968" i="13"/>
  <c r="F1964" i="13"/>
  <c r="F1960" i="13"/>
  <c r="F1956" i="13"/>
  <c r="F1952" i="13"/>
  <c r="F1948" i="13"/>
  <c r="F1944" i="13"/>
  <c r="F1940" i="13"/>
  <c r="F1936" i="13"/>
  <c r="F1932" i="13"/>
  <c r="F1928" i="13"/>
  <c r="F1924" i="13"/>
  <c r="F1920" i="13"/>
  <c r="F1916" i="13"/>
  <c r="F1912" i="13"/>
  <c r="F1908" i="13"/>
  <c r="F1904" i="13"/>
  <c r="F1900" i="13"/>
  <c r="F1896" i="13"/>
  <c r="F1892" i="13"/>
  <c r="F1888" i="13"/>
  <c r="F1884" i="13"/>
  <c r="F1880" i="13"/>
  <c r="F1876" i="13"/>
  <c r="F1872" i="13"/>
  <c r="F1868" i="13"/>
  <c r="F1864" i="13"/>
  <c r="F1860" i="13"/>
  <c r="F1856" i="13"/>
  <c r="F1852" i="13"/>
  <c r="F1848" i="13"/>
  <c r="F1844" i="13"/>
  <c r="F1840" i="13"/>
  <c r="F1836" i="13"/>
  <c r="F1832" i="13"/>
  <c r="F1828" i="13"/>
  <c r="F1824" i="13"/>
  <c r="F1820" i="13"/>
  <c r="F1816" i="13"/>
  <c r="F1812" i="13"/>
  <c r="F1808" i="13"/>
  <c r="F1804" i="13"/>
  <c r="F1800" i="13"/>
  <c r="F1796" i="13"/>
  <c r="F1792" i="13"/>
  <c r="F1788" i="13"/>
  <c r="F1784" i="13"/>
  <c r="F1780" i="13"/>
  <c r="F1776" i="13"/>
  <c r="F1772" i="13"/>
  <c r="F1768" i="13"/>
  <c r="F1764" i="13"/>
  <c r="F1760" i="13"/>
  <c r="F1756" i="13"/>
  <c r="F1752" i="13"/>
  <c r="F1748" i="13"/>
  <c r="F1744" i="13"/>
  <c r="F1740" i="13"/>
  <c r="F1736" i="13"/>
  <c r="F1732" i="13"/>
  <c r="F1728" i="13"/>
  <c r="F1724" i="13"/>
  <c r="F1720" i="13"/>
  <c r="F1716" i="13"/>
  <c r="F1712" i="13"/>
  <c r="F1708" i="13"/>
  <c r="F1704" i="13"/>
  <c r="F1700" i="13"/>
  <c r="F1696" i="13"/>
  <c r="F1692" i="13"/>
  <c r="F1688" i="13"/>
  <c r="F1684" i="13"/>
  <c r="F1676" i="13"/>
  <c r="F1672" i="13"/>
  <c r="F1668" i="13"/>
  <c r="F1664" i="13"/>
  <c r="F1660" i="13"/>
  <c r="F1656" i="13"/>
  <c r="F1652" i="13"/>
  <c r="F1648" i="13"/>
  <c r="F1644" i="13"/>
  <c r="F1640" i="13"/>
  <c r="F1636" i="13"/>
  <c r="F1632" i="13"/>
  <c r="F1628" i="13"/>
  <c r="F1624" i="13"/>
  <c r="F1620" i="13"/>
  <c r="F1616" i="13"/>
  <c r="F1612" i="13"/>
  <c r="F1608" i="13"/>
  <c r="F1604" i="13"/>
  <c r="F1599" i="13"/>
  <c r="F1592" i="13"/>
  <c r="F1584" i="13"/>
  <c r="F1572" i="13"/>
  <c r="F1595" i="13"/>
  <c r="F1591" i="13"/>
  <c r="F1587" i="13"/>
  <c r="F1583" i="13"/>
  <c r="F1579" i="13"/>
  <c r="F1575" i="13"/>
  <c r="F1571" i="13"/>
  <c r="F1567" i="13"/>
  <c r="F1563" i="13"/>
  <c r="F1559" i="13"/>
  <c r="F1555" i="13"/>
  <c r="F1551" i="13"/>
  <c r="F1547" i="13"/>
  <c r="F1543" i="13"/>
  <c r="F1539" i="13"/>
  <c r="F1535" i="13"/>
  <c r="F1531" i="13"/>
  <c r="F1527" i="13"/>
  <c r="F1523" i="13"/>
  <c r="F1520" i="13"/>
  <c r="F1516" i="13"/>
  <c r="F1512" i="13"/>
  <c r="F1508" i="13"/>
  <c r="F1504" i="13"/>
  <c r="F1500" i="13"/>
  <c r="F1496" i="13"/>
  <c r="F1492" i="13"/>
  <c r="F1488" i="13"/>
  <c r="F1484" i="13"/>
  <c r="F1480" i="13"/>
  <c r="F1476" i="13"/>
  <c r="F1472" i="13"/>
  <c r="F1468" i="13"/>
  <c r="F1464" i="13"/>
  <c r="F1460" i="13"/>
  <c r="F1456" i="13"/>
  <c r="F1452" i="13"/>
  <c r="F1448" i="13"/>
  <c r="F1444" i="13"/>
  <c r="F1440" i="13"/>
  <c r="F1436" i="13"/>
  <c r="F1432" i="13"/>
  <c r="F1428" i="13"/>
  <c r="F1424" i="13"/>
  <c r="F1420" i="13"/>
  <c r="F1416" i="13"/>
  <c r="F1412" i="13"/>
  <c r="F1408" i="13"/>
  <c r="F1404" i="13"/>
  <c r="F1400" i="13"/>
  <c r="F1396" i="13"/>
  <c r="F1392" i="13"/>
  <c r="F1388" i="13"/>
  <c r="F1384" i="13"/>
  <c r="F1380" i="13"/>
  <c r="F1376" i="13"/>
  <c r="F1372" i="13"/>
  <c r="F1368" i="13"/>
  <c r="F1364" i="13"/>
  <c r="F1360" i="13"/>
  <c r="F1356" i="13"/>
  <c r="F1352" i="13"/>
  <c r="F1348" i="13"/>
  <c r="F1344" i="13"/>
  <c r="F1341" i="13"/>
  <c r="F1337" i="13"/>
  <c r="F1333" i="13"/>
  <c r="F1329" i="13"/>
  <c r="F1325" i="13"/>
  <c r="F1321" i="13"/>
  <c r="F1317" i="13"/>
  <c r="F1313" i="13"/>
  <c r="F1309" i="13"/>
  <c r="F1305" i="13"/>
  <c r="F1301" i="13"/>
  <c r="F1297" i="13"/>
  <c r="F1293" i="13"/>
  <c r="F1289" i="13"/>
  <c r="F1285" i="13"/>
  <c r="F1281" i="13"/>
  <c r="F1277" i="13"/>
  <c r="F1273" i="13"/>
  <c r="F1269" i="13"/>
  <c r="F1265" i="13"/>
  <c r="F1261" i="13"/>
  <c r="F1257" i="13"/>
  <c r="F1253" i="13"/>
  <c r="F1249" i="13"/>
  <c r="F1245" i="13"/>
  <c r="F1241" i="13"/>
  <c r="F1237" i="13"/>
  <c r="F1233" i="13"/>
  <c r="F1229" i="13"/>
  <c r="F1225" i="13"/>
  <c r="F1221" i="13"/>
  <c r="F1217" i="13"/>
  <c r="F1213" i="13"/>
  <c r="F1209" i="13"/>
  <c r="F1205" i="13"/>
  <c r="F1201" i="13"/>
  <c r="F1197" i="13"/>
  <c r="F1193" i="13"/>
  <c r="F1189" i="13"/>
  <c r="F1185" i="13"/>
  <c r="F1181" i="13"/>
  <c r="F1177" i="13"/>
  <c r="F1173" i="13"/>
  <c r="F1169" i="13"/>
  <c r="F1165" i="13"/>
  <c r="F1157" i="13"/>
  <c r="F1153" i="13"/>
  <c r="F1149" i="13"/>
  <c r="F1145" i="13"/>
  <c r="F1141" i="13"/>
  <c r="F1137" i="13"/>
  <c r="F1133" i="13"/>
  <c r="F1129" i="13"/>
  <c r="F1125" i="13"/>
  <c r="F1121" i="13"/>
  <c r="F1117" i="13"/>
  <c r="F1113" i="13"/>
  <c r="F1109" i="13"/>
  <c r="F1105" i="13"/>
  <c r="F1101" i="13"/>
  <c r="F1097" i="13"/>
  <c r="F1093" i="13"/>
  <c r="F1085" i="13"/>
  <c r="F1081" i="13"/>
  <c r="F1077" i="13"/>
  <c r="F1073" i="13"/>
  <c r="F1069" i="13"/>
  <c r="F1065" i="13"/>
  <c r="F1061" i="13"/>
  <c r="F1057" i="13"/>
  <c r="F1053" i="13"/>
  <c r="F1049" i="13"/>
  <c r="F1045" i="13"/>
  <c r="F1041" i="13"/>
  <c r="F1037" i="13"/>
  <c r="F1033" i="13"/>
  <c r="F1029" i="13"/>
  <c r="F1025" i="13"/>
  <c r="F1021" i="13"/>
  <c r="F1017" i="13"/>
  <c r="F1013" i="13"/>
  <c r="F1009" i="13"/>
  <c r="F1005" i="13"/>
  <c r="F1001" i="13"/>
  <c r="F997" i="13"/>
  <c r="F993" i="13"/>
  <c r="F989" i="13"/>
  <c r="F985" i="13"/>
  <c r="F981" i="13"/>
  <c r="F977" i="13"/>
  <c r="F973" i="13"/>
  <c r="F969" i="13"/>
  <c r="F965" i="13"/>
  <c r="F961" i="13"/>
  <c r="F957" i="13"/>
  <c r="F953" i="13"/>
  <c r="F949" i="13"/>
  <c r="F945" i="13"/>
  <c r="F941" i="13"/>
  <c r="F937" i="13"/>
  <c r="F933" i="13"/>
  <c r="B3500" i="13"/>
  <c r="B3496" i="13"/>
  <c r="B3492" i="13"/>
  <c r="B3488" i="13"/>
  <c r="B3484" i="13"/>
  <c r="B3480" i="13"/>
  <c r="B3476" i="13"/>
  <c r="B3471" i="13"/>
  <c r="B3466" i="13"/>
  <c r="B3460" i="13"/>
  <c r="B3447" i="13"/>
  <c r="F1602" i="13"/>
  <c r="F1598" i="13"/>
  <c r="F1594" i="13"/>
  <c r="F1590" i="13"/>
  <c r="F1586" i="13"/>
  <c r="F1582" i="13"/>
  <c r="F1578" i="13"/>
  <c r="F1574" i="13"/>
  <c r="F1570" i="13"/>
  <c r="F1566" i="13"/>
  <c r="F1562" i="13"/>
  <c r="F1558" i="13"/>
  <c r="F1554" i="13"/>
  <c r="F1550" i="13"/>
  <c r="F1546" i="13"/>
  <c r="F1542" i="13"/>
  <c r="F1538" i="13"/>
  <c r="F1534" i="13"/>
  <c r="F1530" i="13"/>
  <c r="F1526" i="13"/>
  <c r="F1522" i="13"/>
  <c r="F1519" i="13"/>
  <c r="F1515" i="13"/>
  <c r="F1511" i="13"/>
  <c r="F1507" i="13"/>
  <c r="F1503" i="13"/>
  <c r="F1499" i="13"/>
  <c r="F1495" i="13"/>
  <c r="F1491" i="13"/>
  <c r="F1487" i="13"/>
  <c r="F1483" i="13"/>
  <c r="F1479" i="13"/>
  <c r="F1475" i="13"/>
  <c r="F1471" i="13"/>
  <c r="F1467" i="13"/>
  <c r="F1463" i="13"/>
  <c r="F1459" i="13"/>
  <c r="F1455" i="13"/>
  <c r="F1451" i="13"/>
  <c r="F1447" i="13"/>
  <c r="F1443" i="13"/>
  <c r="F1439" i="13"/>
  <c r="F1435" i="13"/>
  <c r="F1431" i="13"/>
  <c r="F1427" i="13"/>
  <c r="F1423" i="13"/>
  <c r="F1419" i="13"/>
  <c r="F1415" i="13"/>
  <c r="F1411" i="13"/>
  <c r="F1407" i="13"/>
  <c r="F1403" i="13"/>
  <c r="F1399" i="13"/>
  <c r="F1395" i="13"/>
  <c r="F1391" i="13"/>
  <c r="F1387" i="13"/>
  <c r="F1383" i="13"/>
  <c r="F1379" i="13"/>
  <c r="F1375" i="13"/>
  <c r="F1371" i="13"/>
  <c r="F1367" i="13"/>
  <c r="F1363" i="13"/>
  <c r="F1359" i="13"/>
  <c r="F1355" i="13"/>
  <c r="F1351" i="13"/>
  <c r="F1347" i="13"/>
  <c r="F1343" i="13"/>
  <c r="F1340" i="13"/>
  <c r="F1336" i="13"/>
  <c r="F1332" i="13"/>
  <c r="F1328" i="13"/>
  <c r="F1324" i="13"/>
  <c r="F1320" i="13"/>
  <c r="F1316" i="13"/>
  <c r="F1312" i="13"/>
  <c r="F1308" i="13"/>
  <c r="F1304" i="13"/>
  <c r="F1300" i="13"/>
  <c r="F1296" i="13"/>
  <c r="F1292" i="13"/>
  <c r="F1288" i="13"/>
  <c r="F1284" i="13"/>
  <c r="F1280" i="13"/>
  <c r="F1276" i="13"/>
  <c r="F1272" i="13"/>
  <c r="F1268" i="13"/>
  <c r="F1264" i="13"/>
  <c r="F1260" i="13"/>
  <c r="F1256" i="13"/>
  <c r="F1252" i="13"/>
  <c r="F1248" i="13"/>
  <c r="F1244" i="13"/>
  <c r="F1240" i="13"/>
  <c r="F1236" i="13"/>
  <c r="F1232" i="13"/>
  <c r="F1228" i="13"/>
  <c r="F1224" i="13"/>
  <c r="F1220" i="13"/>
  <c r="F1216" i="13"/>
  <c r="F1212" i="13"/>
  <c r="F1208" i="13"/>
  <c r="F1204" i="13"/>
  <c r="F1200" i="13"/>
  <c r="F1196" i="13"/>
  <c r="F1192" i="13"/>
  <c r="F1188" i="13"/>
  <c r="F1184" i="13"/>
  <c r="F1180" i="13"/>
  <c r="F1176" i="13"/>
  <c r="F1172" i="13"/>
  <c r="F1168" i="13"/>
  <c r="F1164" i="13"/>
  <c r="F1156" i="13"/>
  <c r="F1152" i="13"/>
  <c r="F1148" i="13"/>
  <c r="F1144" i="13"/>
  <c r="F1140" i="13"/>
  <c r="F1136" i="13"/>
  <c r="F1132" i="13"/>
  <c r="F1128" i="13"/>
  <c r="F1124" i="13"/>
  <c r="F1120" i="13"/>
  <c r="F1116" i="13"/>
  <c r="F1112" i="13"/>
  <c r="F1108" i="13"/>
  <c r="F1104" i="13"/>
  <c r="F1100" i="13"/>
  <c r="F1096" i="13"/>
  <c r="F1092" i="13"/>
  <c r="F1088" i="13"/>
  <c r="F1084" i="13"/>
  <c r="F1080" i="13"/>
  <c r="F1076" i="13"/>
  <c r="F1072" i="13"/>
  <c r="F1068" i="13"/>
  <c r="F1064" i="13"/>
  <c r="F1060" i="13"/>
  <c r="F1056" i="13"/>
  <c r="F1052" i="13"/>
  <c r="F1048" i="13"/>
  <c r="F1044" i="13"/>
  <c r="F1040" i="13"/>
  <c r="F1036" i="13"/>
  <c r="F1032" i="13"/>
  <c r="F1028" i="13"/>
  <c r="F1024" i="13"/>
  <c r="F1020" i="13"/>
  <c r="F1016" i="13"/>
  <c r="F1012" i="13"/>
  <c r="F1008" i="13"/>
  <c r="F1004" i="13"/>
  <c r="F1000" i="13"/>
  <c r="F996" i="13"/>
  <c r="F992" i="13"/>
  <c r="F988" i="13"/>
  <c r="F984" i="13"/>
  <c r="F980" i="13"/>
  <c r="F976" i="13"/>
  <c r="F972" i="13"/>
  <c r="F968" i="13"/>
  <c r="F964" i="13"/>
  <c r="F960" i="13"/>
  <c r="F956" i="13"/>
  <c r="F952" i="13"/>
  <c r="F948" i="13"/>
  <c r="F944" i="13"/>
  <c r="F940" i="13"/>
  <c r="F936" i="13"/>
  <c r="F932" i="13"/>
  <c r="B3499" i="13"/>
  <c r="B3495" i="13"/>
  <c r="B3491" i="13"/>
  <c r="B3487" i="13"/>
  <c r="B3483" i="13"/>
  <c r="B3479" i="13"/>
  <c r="B3475" i="13"/>
  <c r="B3470" i="13"/>
  <c r="B3464" i="13"/>
  <c r="B3459" i="13"/>
  <c r="F1577" i="13"/>
  <c r="F1573" i="13"/>
  <c r="F1569" i="13"/>
  <c r="F1565" i="13"/>
  <c r="F1561" i="13"/>
  <c r="F1557" i="13"/>
  <c r="F1553" i="13"/>
  <c r="F1549" i="13"/>
  <c r="F1545" i="13"/>
  <c r="F1541" i="13"/>
  <c r="F1537" i="13"/>
  <c r="F1533" i="13"/>
  <c r="F1529" i="13"/>
  <c r="F1525" i="13"/>
  <c r="F1521" i="13"/>
  <c r="F1518" i="13"/>
  <c r="F1514" i="13"/>
  <c r="F1510" i="13"/>
  <c r="F1506" i="13"/>
  <c r="F1502" i="13"/>
  <c r="F1498" i="13"/>
  <c r="F1494" i="13"/>
  <c r="F1490" i="13"/>
  <c r="F1486" i="13"/>
  <c r="F1482" i="13"/>
  <c r="F1478" i="13"/>
  <c r="F1474" i="13"/>
  <c r="F1470" i="13"/>
  <c r="F1466" i="13"/>
  <c r="F1462" i="13"/>
  <c r="F1458" i="13"/>
  <c r="F1454" i="13"/>
  <c r="F1450" i="13"/>
  <c r="F1446" i="13"/>
  <c r="F1442" i="13"/>
  <c r="F1438" i="13"/>
  <c r="F1434" i="13"/>
  <c r="F1430" i="13"/>
  <c r="F1426" i="13"/>
  <c r="F1422" i="13"/>
  <c r="F1418" i="13"/>
  <c r="F1414" i="13"/>
  <c r="F1410" i="13"/>
  <c r="F1406" i="13"/>
  <c r="F1402" i="13"/>
  <c r="F1398" i="13"/>
  <c r="F1394" i="13"/>
  <c r="F1390" i="13"/>
  <c r="F1386" i="13"/>
  <c r="F1382" i="13"/>
  <c r="F1378" i="13"/>
  <c r="F1374" i="13"/>
  <c r="F1370" i="13"/>
  <c r="F1366" i="13"/>
  <c r="F1362" i="13"/>
  <c r="F1358" i="13"/>
  <c r="F1354" i="13"/>
  <c r="F1350" i="13"/>
  <c r="F1346" i="13"/>
  <c r="F1339" i="13"/>
  <c r="F1335" i="13"/>
  <c r="F1331" i="13"/>
  <c r="F1327" i="13"/>
  <c r="F1323" i="13"/>
  <c r="F1319" i="13"/>
  <c r="F1315" i="13"/>
  <c r="F1311" i="13"/>
  <c r="F1307" i="13"/>
  <c r="F1303" i="13"/>
  <c r="F1299" i="13"/>
  <c r="F1295" i="13"/>
  <c r="F1291" i="13"/>
  <c r="F1287" i="13"/>
  <c r="F1283" i="13"/>
  <c r="F1279" i="13"/>
  <c r="F1275" i="13"/>
  <c r="F1271" i="13"/>
  <c r="F1267" i="13"/>
  <c r="F1263" i="13"/>
  <c r="F1259" i="13"/>
  <c r="F1255" i="13"/>
  <c r="F1251" i="13"/>
  <c r="F1247" i="13"/>
  <c r="F1243" i="13"/>
  <c r="F1239" i="13"/>
  <c r="F1235" i="13"/>
  <c r="F1231" i="13"/>
  <c r="F1227" i="13"/>
  <c r="F1223" i="13"/>
  <c r="F1219" i="13"/>
  <c r="F1215" i="13"/>
  <c r="F1211" i="13"/>
  <c r="F1207" i="13"/>
  <c r="F1203" i="13"/>
  <c r="F1199" i="13"/>
  <c r="F1195" i="13"/>
  <c r="F1191" i="13"/>
  <c r="F1187" i="13"/>
  <c r="F1183" i="13"/>
  <c r="F1179" i="13"/>
  <c r="F1175" i="13"/>
  <c r="F1171" i="13"/>
  <c r="F1167" i="13"/>
  <c r="F1155" i="13"/>
  <c r="F1151" i="13"/>
  <c r="F1147" i="13"/>
  <c r="F1143" i="13"/>
  <c r="F1139" i="13"/>
  <c r="F1135" i="13"/>
  <c r="F1131" i="13"/>
  <c r="F1127" i="13"/>
  <c r="F1123" i="13"/>
  <c r="F1119" i="13"/>
  <c r="F1115" i="13"/>
  <c r="F1111" i="13"/>
  <c r="F1107" i="13"/>
  <c r="F1103" i="13"/>
  <c r="F1099" i="13"/>
  <c r="F1095" i="13"/>
  <c r="F1087" i="13"/>
  <c r="F1083" i="13"/>
  <c r="F1079" i="13"/>
  <c r="F1075" i="13"/>
  <c r="F1071" i="13"/>
  <c r="F1067" i="13"/>
  <c r="F1063" i="13"/>
  <c r="F1059" i="13"/>
  <c r="F1055" i="13"/>
  <c r="F1051" i="13"/>
  <c r="F1047" i="13"/>
  <c r="F1043" i="13"/>
  <c r="F1039" i="13"/>
  <c r="F1035" i="13"/>
  <c r="F1031" i="13"/>
  <c r="F1027" i="13"/>
  <c r="F1023" i="13"/>
  <c r="F1019" i="13"/>
  <c r="F1015" i="13"/>
  <c r="F1011" i="13"/>
  <c r="F1007" i="13"/>
  <c r="F1003" i="13"/>
  <c r="F999" i="13"/>
  <c r="F995" i="13"/>
  <c r="F991" i="13"/>
  <c r="F987" i="13"/>
  <c r="F983" i="13"/>
  <c r="F979" i="13"/>
  <c r="F975" i="13"/>
  <c r="F971" i="13"/>
  <c r="F967" i="13"/>
  <c r="F963" i="13"/>
  <c r="F959" i="13"/>
  <c r="F955" i="13"/>
  <c r="F951" i="13"/>
  <c r="F947" i="13"/>
  <c r="F943" i="13"/>
  <c r="F939" i="13"/>
  <c r="F935" i="13"/>
  <c r="F931" i="13"/>
  <c r="B3498" i="13"/>
  <c r="B3494" i="13"/>
  <c r="B3490" i="13"/>
  <c r="B3486" i="13"/>
  <c r="B3482" i="13"/>
  <c r="B3478" i="13"/>
  <c r="B3474" i="13"/>
  <c r="B3468" i="13"/>
  <c r="B3463" i="13"/>
  <c r="B3455" i="13"/>
  <c r="F1564" i="13"/>
  <c r="F1560" i="13"/>
  <c r="F1556" i="13"/>
  <c r="F1552" i="13"/>
  <c r="F1548" i="13"/>
  <c r="F1544" i="13"/>
  <c r="F1540" i="13"/>
  <c r="F1536" i="13"/>
  <c r="F1532" i="13"/>
  <c r="F1528" i="13"/>
  <c r="F1524" i="13"/>
  <c r="F1517" i="13"/>
  <c r="F1513" i="13"/>
  <c r="F1509" i="13"/>
  <c r="F1505" i="13"/>
  <c r="F1501" i="13"/>
  <c r="F1497" i="13"/>
  <c r="F1493" i="13"/>
  <c r="F1489" i="13"/>
  <c r="F1485" i="13"/>
  <c r="F1481" i="13"/>
  <c r="F1477" i="13"/>
  <c r="F1473" i="13"/>
  <c r="F1469" i="13"/>
  <c r="F1465" i="13"/>
  <c r="F1461" i="13"/>
  <c r="F1457" i="13"/>
  <c r="F1453" i="13"/>
  <c r="F1449" i="13"/>
  <c r="F1445" i="13"/>
  <c r="F1441" i="13"/>
  <c r="F1437" i="13"/>
  <c r="F1433" i="13"/>
  <c r="F1429" i="13"/>
  <c r="F1425" i="13"/>
  <c r="F1421" i="13"/>
  <c r="F1417" i="13"/>
  <c r="F1413" i="13"/>
  <c r="F1409" i="13"/>
  <c r="F1405" i="13"/>
  <c r="F1401" i="13"/>
  <c r="F1397" i="13"/>
  <c r="F1393" i="13"/>
  <c r="F1389" i="13"/>
  <c r="F1385" i="13"/>
  <c r="F1381" i="13"/>
  <c r="F1377" i="13"/>
  <c r="F1373" i="13"/>
  <c r="F1369" i="13"/>
  <c r="F1365" i="13"/>
  <c r="F1361" i="13"/>
  <c r="F1357" i="13"/>
  <c r="F1353" i="13"/>
  <c r="F1349" i="13"/>
  <c r="F1345" i="13"/>
  <c r="F1342" i="13"/>
  <c r="F1338" i="13"/>
  <c r="F1334" i="13"/>
  <c r="F1330" i="13"/>
  <c r="F1326" i="13"/>
  <c r="F1322" i="13"/>
  <c r="F1318" i="13"/>
  <c r="F1314" i="13"/>
  <c r="F1310" i="13"/>
  <c r="F1306" i="13"/>
  <c r="F1302" i="13"/>
  <c r="F1298" i="13"/>
  <c r="F1294" i="13"/>
  <c r="F1290" i="13"/>
  <c r="F1286" i="13"/>
  <c r="F1282" i="13"/>
  <c r="F1278" i="13"/>
  <c r="F1274" i="13"/>
  <c r="F1270" i="13"/>
  <c r="F1266" i="13"/>
  <c r="F1262" i="13"/>
  <c r="F1258" i="13"/>
  <c r="F1254" i="13"/>
  <c r="F1250" i="13"/>
  <c r="F1246" i="13"/>
  <c r="F1242" i="13"/>
  <c r="F1238" i="13"/>
  <c r="F1234" i="13"/>
  <c r="F1230" i="13"/>
  <c r="F1226" i="13"/>
  <c r="F1222" i="13"/>
  <c r="F1218" i="13"/>
  <c r="F1214" i="13"/>
  <c r="F1210" i="13"/>
  <c r="F1206" i="13"/>
  <c r="F1202" i="13"/>
  <c r="F1198" i="13"/>
  <c r="F1194" i="13"/>
  <c r="F1190" i="13"/>
  <c r="F1186" i="13"/>
  <c r="F1182" i="13"/>
  <c r="F1178" i="13"/>
  <c r="F1174" i="13"/>
  <c r="F1170" i="13"/>
  <c r="F1166" i="13"/>
  <c r="F1154" i="13"/>
  <c r="F1150" i="13"/>
  <c r="F1146" i="13"/>
  <c r="F1142" i="13"/>
  <c r="F1138" i="13"/>
  <c r="F1134" i="13"/>
  <c r="F1130" i="13"/>
  <c r="F1126" i="13"/>
  <c r="F1122" i="13"/>
  <c r="F1118" i="13"/>
  <c r="F1114" i="13"/>
  <c r="F1110" i="13"/>
  <c r="F1106" i="13"/>
  <c r="F1102" i="13"/>
  <c r="F1098" i="13"/>
  <c r="F1094" i="13"/>
  <c r="F1086" i="13"/>
  <c r="F1082" i="13"/>
  <c r="F1078" i="13"/>
  <c r="F1074" i="13"/>
  <c r="F1070" i="13"/>
  <c r="F1066" i="13"/>
  <c r="F1062" i="13"/>
  <c r="F1058" i="13"/>
  <c r="F1054" i="13"/>
  <c r="F1050" i="13"/>
  <c r="F1046" i="13"/>
  <c r="F1042" i="13"/>
  <c r="F1038" i="13"/>
  <c r="F1034" i="13"/>
  <c r="F1030" i="13"/>
  <c r="F1026" i="13"/>
  <c r="F1022" i="13"/>
  <c r="F1018" i="13"/>
  <c r="F1014" i="13"/>
  <c r="F1010" i="13"/>
  <c r="F1006" i="13"/>
  <c r="F1002" i="13"/>
  <c r="F998" i="13"/>
  <c r="F994" i="13"/>
  <c r="F990" i="13"/>
  <c r="F986" i="13"/>
  <c r="F982" i="13"/>
  <c r="F978" i="13"/>
  <c r="F970" i="13"/>
  <c r="F966" i="13"/>
  <c r="F962" i="13"/>
  <c r="F958" i="13"/>
  <c r="F954" i="13"/>
  <c r="F950" i="13"/>
  <c r="F946" i="13"/>
  <c r="F942" i="13"/>
  <c r="F938" i="13"/>
  <c r="F934" i="13"/>
  <c r="F930" i="13"/>
  <c r="B3497" i="13"/>
  <c r="B3493" i="13"/>
  <c r="B3489" i="13"/>
  <c r="B3485" i="13"/>
  <c r="B3481" i="13"/>
  <c r="B3477" i="13"/>
  <c r="B3472" i="13"/>
  <c r="B3467" i="13"/>
  <c r="B3462" i="13"/>
  <c r="B3451" i="13"/>
  <c r="B3458" i="13"/>
  <c r="B3454" i="13"/>
  <c r="B3450" i="13"/>
  <c r="B3446" i="13"/>
  <c r="B3442" i="13"/>
  <c r="B3438" i="13"/>
  <c r="B3434" i="13"/>
  <c r="B3430" i="13"/>
  <c r="B3426" i="13"/>
  <c r="B3422" i="13"/>
  <c r="B3418" i="13"/>
  <c r="B3414" i="13"/>
  <c r="B3410" i="13"/>
  <c r="B3406" i="13"/>
  <c r="B3402" i="13"/>
  <c r="B3398" i="13"/>
  <c r="B3394" i="13"/>
  <c r="B3390" i="13"/>
  <c r="B3386" i="13"/>
  <c r="B3382" i="13"/>
  <c r="B3378" i="13"/>
  <c r="B3374" i="13"/>
  <c r="B3370" i="13"/>
  <c r="B3366" i="13"/>
  <c r="B3362" i="13"/>
  <c r="B3358" i="13"/>
  <c r="B3354" i="13"/>
  <c r="B3350" i="13"/>
  <c r="B3346" i="13"/>
  <c r="B3342" i="13"/>
  <c r="B3338" i="13"/>
  <c r="B3334" i="13"/>
  <c r="B3330" i="13"/>
  <c r="B3326" i="13"/>
  <c r="B3322" i="13"/>
  <c r="B3318" i="13"/>
  <c r="B3314" i="13"/>
  <c r="B3310" i="13"/>
  <c r="B3306" i="13"/>
  <c r="B3302" i="13"/>
  <c r="B3298" i="13"/>
  <c r="B3294" i="13"/>
  <c r="B3290" i="13"/>
  <c r="B3286" i="13"/>
  <c r="B3282" i="13"/>
  <c r="B3278" i="13"/>
  <c r="B3274" i="13"/>
  <c r="B3270" i="13"/>
  <c r="B3266" i="13"/>
  <c r="B3262" i="13"/>
  <c r="B3258" i="13"/>
  <c r="B3254" i="13"/>
  <c r="B3250" i="13"/>
  <c r="B3246" i="13"/>
  <c r="B3242" i="13"/>
  <c r="B3238" i="13"/>
  <c r="B3234" i="13"/>
  <c r="B3230" i="13"/>
  <c r="B3226" i="13"/>
  <c r="B3222" i="13"/>
  <c r="B3218" i="13"/>
  <c r="B3214" i="13"/>
  <c r="B3210" i="13"/>
  <c r="B3206" i="13"/>
  <c r="B3202" i="13"/>
  <c r="B3198" i="13"/>
  <c r="B3194" i="13"/>
  <c r="B3190" i="13"/>
  <c r="B3186" i="13"/>
  <c r="B3182" i="13"/>
  <c r="B3178" i="13"/>
  <c r="B3174" i="13"/>
  <c r="B3170" i="13"/>
  <c r="B3166" i="13"/>
  <c r="B3162" i="13"/>
  <c r="B3158" i="13"/>
  <c r="B3154" i="13"/>
  <c r="B3150" i="13"/>
  <c r="B3146" i="13"/>
  <c r="B3142" i="13"/>
  <c r="B3138" i="13"/>
  <c r="B3134" i="13"/>
  <c r="B3130" i="13"/>
  <c r="B3126" i="13"/>
  <c r="B3122" i="13"/>
  <c r="B3118" i="13"/>
  <c r="B3114" i="13"/>
  <c r="B3110" i="13"/>
  <c r="B3106" i="13"/>
  <c r="B3102" i="13"/>
  <c r="B3098" i="13"/>
  <c r="B3094" i="13"/>
  <c r="B3090" i="13"/>
  <c r="B3086" i="13"/>
  <c r="B3082" i="13"/>
  <c r="B3078" i="13"/>
  <c r="B3074" i="13"/>
  <c r="B3070" i="13"/>
  <c r="B3066" i="13"/>
  <c r="B3062" i="13"/>
  <c r="B3058" i="13"/>
  <c r="B3054" i="13"/>
  <c r="B3050" i="13"/>
  <c r="B3046" i="13"/>
  <c r="B3042" i="13"/>
  <c r="B3038" i="13"/>
  <c r="B3034" i="13"/>
  <c r="B3030" i="13"/>
  <c r="B3026" i="13"/>
  <c r="B3022" i="13"/>
  <c r="B3018" i="13"/>
  <c r="B3014" i="13"/>
  <c r="B3010" i="13"/>
  <c r="B3006" i="13"/>
  <c r="B3002" i="13"/>
  <c r="B2998" i="13"/>
  <c r="B2994" i="13"/>
  <c r="B2990" i="13"/>
  <c r="B2986" i="13"/>
  <c r="B2982" i="13"/>
  <c r="B2978" i="13"/>
  <c r="B2974" i="13"/>
  <c r="B2970" i="13"/>
  <c r="B2966" i="13"/>
  <c r="B2962" i="13"/>
  <c r="B2958" i="13"/>
  <c r="B2954" i="13"/>
  <c r="B2950" i="13"/>
  <c r="B2946" i="13"/>
  <c r="B2942" i="13"/>
  <c r="B2938" i="13"/>
  <c r="B2934" i="13"/>
  <c r="B2930" i="13"/>
  <c r="B2926" i="13"/>
  <c r="B2922" i="13"/>
  <c r="B2918" i="13"/>
  <c r="B2914" i="13"/>
  <c r="B2910" i="13"/>
  <c r="B2906" i="13"/>
  <c r="B2902" i="13"/>
  <c r="B2898" i="13"/>
  <c r="B2894" i="13"/>
  <c r="B2890" i="13"/>
  <c r="B2886" i="13"/>
  <c r="B2882" i="13"/>
  <c r="B2878" i="13"/>
  <c r="B2874" i="13"/>
  <c r="B2870" i="13"/>
  <c r="B2866" i="13"/>
  <c r="B2862" i="13"/>
  <c r="B2858" i="13"/>
  <c r="B2854" i="13"/>
  <c r="B2850" i="13"/>
  <c r="B2846" i="13"/>
  <c r="B2842" i="13"/>
  <c r="B2838" i="13"/>
  <c r="B2834" i="13"/>
  <c r="B2830" i="13"/>
  <c r="B2826" i="13"/>
  <c r="B2822" i="13"/>
  <c r="B2818" i="13"/>
  <c r="B2814" i="13"/>
  <c r="B2810" i="13"/>
  <c r="B2806" i="13"/>
  <c r="B2802" i="13"/>
  <c r="B2798" i="13"/>
  <c r="B2794" i="13"/>
  <c r="B2790" i="13"/>
  <c r="B2782" i="13"/>
  <c r="B2774" i="13"/>
  <c r="B3473" i="13"/>
  <c r="B3469" i="13"/>
  <c r="B3465" i="13"/>
  <c r="B3461" i="13"/>
  <c r="B3457" i="13"/>
  <c r="B3453" i="13"/>
  <c r="B3449" i="13"/>
  <c r="B3445" i="13"/>
  <c r="B3441" i="13"/>
  <c r="B3437" i="13"/>
  <c r="B3433" i="13"/>
  <c r="B3429" i="13"/>
  <c r="B3425" i="13"/>
  <c r="B3421" i="13"/>
  <c r="B3417" i="13"/>
  <c r="B3413" i="13"/>
  <c r="B3409" i="13"/>
  <c r="B3405" i="13"/>
  <c r="B3401" i="13"/>
  <c r="B3397" i="13"/>
  <c r="B3393" i="13"/>
  <c r="B3389" i="13"/>
  <c r="B3385" i="13"/>
  <c r="B3381" i="13"/>
  <c r="B3377" i="13"/>
  <c r="B3373" i="13"/>
  <c r="B3369" i="13"/>
  <c r="B3365" i="13"/>
  <c r="B3361" i="13"/>
  <c r="B3357" i="13"/>
  <c r="B3353" i="13"/>
  <c r="B3349" i="13"/>
  <c r="B3345" i="13"/>
  <c r="B3341" i="13"/>
  <c r="B3337" i="13"/>
  <c r="B3333" i="13"/>
  <c r="B3329" i="13"/>
  <c r="B3325" i="13"/>
  <c r="B3321" i="13"/>
  <c r="B3317" i="13"/>
  <c r="B3313" i="13"/>
  <c r="B3309" i="13"/>
  <c r="B3305" i="13"/>
  <c r="B3301" i="13"/>
  <c r="B3297" i="13"/>
  <c r="B3293" i="13"/>
  <c r="B3289" i="13"/>
  <c r="B3285" i="13"/>
  <c r="B3281" i="13"/>
  <c r="B3277" i="13"/>
  <c r="B3273" i="13"/>
  <c r="B3269" i="13"/>
  <c r="B3265" i="13"/>
  <c r="B3261" i="13"/>
  <c r="B3257" i="13"/>
  <c r="B3253" i="13"/>
  <c r="B3249" i="13"/>
  <c r="B3245" i="13"/>
  <c r="B3241" i="13"/>
  <c r="B3237" i="13"/>
  <c r="B3233" i="13"/>
  <c r="B3229" i="13"/>
  <c r="B3225" i="13"/>
  <c r="B3221" i="13"/>
  <c r="B3217" i="13"/>
  <c r="B3213" i="13"/>
  <c r="B3209" i="13"/>
  <c r="B3205" i="13"/>
  <c r="B3201" i="13"/>
  <c r="B3197" i="13"/>
  <c r="B3193" i="13"/>
  <c r="B3189" i="13"/>
  <c r="B3185" i="13"/>
  <c r="B3181" i="13"/>
  <c r="B3177" i="13"/>
  <c r="B3173" i="13"/>
  <c r="B3169" i="13"/>
  <c r="B3165" i="13"/>
  <c r="B3161" i="13"/>
  <c r="B3157" i="13"/>
  <c r="B3153" i="13"/>
  <c r="B3149" i="13"/>
  <c r="B3145" i="13"/>
  <c r="B3141" i="13"/>
  <c r="B3137" i="13"/>
  <c r="B3133" i="13"/>
  <c r="B3129" i="13"/>
  <c r="B3125" i="13"/>
  <c r="B3121" i="13"/>
  <c r="B3117" i="13"/>
  <c r="B3113" i="13"/>
  <c r="B3109" i="13"/>
  <c r="B3105" i="13"/>
  <c r="B3101" i="13"/>
  <c r="B3097" i="13"/>
  <c r="B3093" i="13"/>
  <c r="B3089" i="13"/>
  <c r="B3085" i="13"/>
  <c r="B3081" i="13"/>
  <c r="B3077" i="13"/>
  <c r="B3073" i="13"/>
  <c r="B3069" i="13"/>
  <c r="B3065" i="13"/>
  <c r="B3061" i="13"/>
  <c r="B3057" i="13"/>
  <c r="B3053" i="13"/>
  <c r="B3049" i="13"/>
  <c r="B3045" i="13"/>
  <c r="B3041" i="13"/>
  <c r="B3037" i="13"/>
  <c r="B3033" i="13"/>
  <c r="B3029" i="13"/>
  <c r="B3025" i="13"/>
  <c r="B3021" i="13"/>
  <c r="B3017" i="13"/>
  <c r="B3013" i="13"/>
  <c r="B3009" i="13"/>
  <c r="B3005" i="13"/>
  <c r="B3001" i="13"/>
  <c r="B2997" i="13"/>
  <c r="B2993" i="13"/>
  <c r="B2989" i="13"/>
  <c r="B2985" i="13"/>
  <c r="B2981" i="13"/>
  <c r="B2977" i="13"/>
  <c r="B2973" i="13"/>
  <c r="B2969" i="13"/>
  <c r="B2965" i="13"/>
  <c r="B2961" i="13"/>
  <c r="B2957" i="13"/>
  <c r="B2953" i="13"/>
  <c r="B2949" i="13"/>
  <c r="B2945" i="13"/>
  <c r="B2941" i="13"/>
  <c r="B2937" i="13"/>
  <c r="B2933" i="13"/>
  <c r="B2929" i="13"/>
  <c r="B2925" i="13"/>
  <c r="B2921" i="13"/>
  <c r="B2917" i="13"/>
  <c r="B2913" i="13"/>
  <c r="B2909" i="13"/>
  <c r="B2905" i="13"/>
  <c r="B2901" i="13"/>
  <c r="B2897" i="13"/>
  <c r="B2893" i="13"/>
  <c r="B2889" i="13"/>
  <c r="B2885" i="13"/>
  <c r="B2881" i="13"/>
  <c r="B2877" i="13"/>
  <c r="B2873" i="13"/>
  <c r="B2869" i="13"/>
  <c r="B2865" i="13"/>
  <c r="B2861" i="13"/>
  <c r="B2857" i="13"/>
  <c r="B2853" i="13"/>
  <c r="B2849" i="13"/>
  <c r="B2845" i="13"/>
  <c r="B2841" i="13"/>
  <c r="B2837" i="13"/>
  <c r="B2833" i="13"/>
  <c r="B2829" i="13"/>
  <c r="B2825" i="13"/>
  <c r="B2821" i="13"/>
  <c r="B2817" i="13"/>
  <c r="B2813" i="13"/>
  <c r="B2809" i="13"/>
  <c r="B2805" i="13"/>
  <c r="B2801" i="13"/>
  <c r="B2797" i="13"/>
  <c r="B2793" i="13"/>
  <c r="B2787" i="13"/>
  <c r="B2779" i="13"/>
  <c r="B3456" i="13"/>
  <c r="B3452" i="13"/>
  <c r="B3448" i="13"/>
  <c r="B3444" i="13"/>
  <c r="B3440" i="13"/>
  <c r="B3436" i="13"/>
  <c r="B3432" i="13"/>
  <c r="B3428" i="13"/>
  <c r="B3424" i="13"/>
  <c r="B3420" i="13"/>
  <c r="B3416" i="13"/>
  <c r="B3412" i="13"/>
  <c r="B3408" i="13"/>
  <c r="B3404" i="13"/>
  <c r="B3400" i="13"/>
  <c r="B3396" i="13"/>
  <c r="B3392" i="13"/>
  <c r="B3388" i="13"/>
  <c r="B3384" i="13"/>
  <c r="B3380" i="13"/>
  <c r="B3376" i="13"/>
  <c r="B3372" i="13"/>
  <c r="B3368" i="13"/>
  <c r="B3364" i="13"/>
  <c r="B3360" i="13"/>
  <c r="B3356" i="13"/>
  <c r="B3352" i="13"/>
  <c r="B3348" i="13"/>
  <c r="B3344" i="13"/>
  <c r="B3340" i="13"/>
  <c r="B3336" i="13"/>
  <c r="B3332" i="13"/>
  <c r="B3328" i="13"/>
  <c r="B3324" i="13"/>
  <c r="B3320" i="13"/>
  <c r="B3316" i="13"/>
  <c r="B3312" i="13"/>
  <c r="B3308" i="13"/>
  <c r="B3304" i="13"/>
  <c r="B3300" i="13"/>
  <c r="B3296" i="13"/>
  <c r="B3292" i="13"/>
  <c r="B3288" i="13"/>
  <c r="B3284" i="13"/>
  <c r="B3280" i="13"/>
  <c r="B3276" i="13"/>
  <c r="B3272" i="13"/>
  <c r="B3268" i="13"/>
  <c r="B3264" i="13"/>
  <c r="B3260" i="13"/>
  <c r="B3256" i="13"/>
  <c r="B3252" i="13"/>
  <c r="B3248" i="13"/>
  <c r="B3244" i="13"/>
  <c r="B3240" i="13"/>
  <c r="B3236" i="13"/>
  <c r="B3232" i="13"/>
  <c r="B3228" i="13"/>
  <c r="B3224" i="13"/>
  <c r="B3220" i="13"/>
  <c r="B3216" i="13"/>
  <c r="B3212" i="13"/>
  <c r="B3208" i="13"/>
  <c r="B3204" i="13"/>
  <c r="B3200" i="13"/>
  <c r="B3196" i="13"/>
  <c r="B3192" i="13"/>
  <c r="B3188" i="13"/>
  <c r="B3184" i="13"/>
  <c r="B3180" i="13"/>
  <c r="B3176" i="13"/>
  <c r="B3172" i="13"/>
  <c r="B3168" i="13"/>
  <c r="B3164" i="13"/>
  <c r="B3160" i="13"/>
  <c r="B3156" i="13"/>
  <c r="B3152" i="13"/>
  <c r="B3148" i="13"/>
  <c r="B3144" i="13"/>
  <c r="B3140" i="13"/>
  <c r="B3136" i="13"/>
  <c r="B3132" i="13"/>
  <c r="B3128" i="13"/>
  <c r="B3124" i="13"/>
  <c r="B3120" i="13"/>
  <c r="B3116" i="13"/>
  <c r="B3112" i="13"/>
  <c r="B3108" i="13"/>
  <c r="B3104" i="13"/>
  <c r="B3100" i="13"/>
  <c r="B3096" i="13"/>
  <c r="B3092" i="13"/>
  <c r="B3088" i="13"/>
  <c r="B3084" i="13"/>
  <c r="B3080" i="13"/>
  <c r="B3076" i="13"/>
  <c r="B3072" i="13"/>
  <c r="B3068" i="13"/>
  <c r="B3064" i="13"/>
  <c r="B3060" i="13"/>
  <c r="B3056" i="13"/>
  <c r="B3052" i="13"/>
  <c r="B3048" i="13"/>
  <c r="B3044" i="13"/>
  <c r="B3040" i="13"/>
  <c r="B3036" i="13"/>
  <c r="B3032" i="13"/>
  <c r="B3028" i="13"/>
  <c r="B3024" i="13"/>
  <c r="B3020" i="13"/>
  <c r="B3016" i="13"/>
  <c r="B3012" i="13"/>
  <c r="B3008" i="13"/>
  <c r="B3004" i="13"/>
  <c r="B3000" i="13"/>
  <c r="B2996" i="13"/>
  <c r="B2992" i="13"/>
  <c r="B2988" i="13"/>
  <c r="B2984" i="13"/>
  <c r="B2980" i="13"/>
  <c r="B2976" i="13"/>
  <c r="B2972" i="13"/>
  <c r="B2968" i="13"/>
  <c r="B2964" i="13"/>
  <c r="B2960" i="13"/>
  <c r="B2956" i="13"/>
  <c r="B2952" i="13"/>
  <c r="B2948" i="13"/>
  <c r="B2944" i="13"/>
  <c r="B2940" i="13"/>
  <c r="B2936" i="13"/>
  <c r="B2932" i="13"/>
  <c r="B2928" i="13"/>
  <c r="B2924" i="13"/>
  <c r="B2920" i="13"/>
  <c r="B2916" i="13"/>
  <c r="B2912" i="13"/>
  <c r="B2908" i="13"/>
  <c r="B2904" i="13"/>
  <c r="B2900" i="13"/>
  <c r="B2896" i="13"/>
  <c r="B2892" i="13"/>
  <c r="B2888" i="13"/>
  <c r="B2884" i="13"/>
  <c r="B2880" i="13"/>
  <c r="B2876" i="13"/>
  <c r="B2872" i="13"/>
  <c r="B2868" i="13"/>
  <c r="B2864" i="13"/>
  <c r="B2860" i="13"/>
  <c r="B2856" i="13"/>
  <c r="B2852" i="13"/>
  <c r="B2848" i="13"/>
  <c r="B2844" i="13"/>
  <c r="B2840" i="13"/>
  <c r="B2836" i="13"/>
  <c r="B2832" i="13"/>
  <c r="B2828" i="13"/>
  <c r="B2824" i="13"/>
  <c r="B2820" i="13"/>
  <c r="B2816" i="13"/>
  <c r="B2812" i="13"/>
  <c r="B2808" i="13"/>
  <c r="B2804" i="13"/>
  <c r="B2800" i="13"/>
  <c r="B2796" i="13"/>
  <c r="B2792" i="13"/>
  <c r="B2786" i="13"/>
  <c r="B2778" i="13"/>
  <c r="B3443" i="13"/>
  <c r="B3439" i="13"/>
  <c r="B3435" i="13"/>
  <c r="B3431" i="13"/>
  <c r="B3427" i="13"/>
  <c r="B3423" i="13"/>
  <c r="B3419" i="13"/>
  <c r="B3415" i="13"/>
  <c r="B3411" i="13"/>
  <c r="B3407" i="13"/>
  <c r="B3403" i="13"/>
  <c r="B3399" i="13"/>
  <c r="B3395" i="13"/>
  <c r="B3391" i="13"/>
  <c r="B3387" i="13"/>
  <c r="B3383" i="13"/>
  <c r="B3379" i="13"/>
  <c r="B3375" i="13"/>
  <c r="B3371" i="13"/>
  <c r="B3367" i="13"/>
  <c r="B3363" i="13"/>
  <c r="B3359" i="13"/>
  <c r="B3355" i="13"/>
  <c r="B3351" i="13"/>
  <c r="B3347" i="13"/>
  <c r="B3343" i="13"/>
  <c r="B3339" i="13"/>
  <c r="B3335" i="13"/>
  <c r="B3331" i="13"/>
  <c r="B3327" i="13"/>
  <c r="B3323" i="13"/>
  <c r="B3319" i="13"/>
  <c r="B3315" i="13"/>
  <c r="B3311" i="13"/>
  <c r="B3307" i="13"/>
  <c r="B3303" i="13"/>
  <c r="B3299" i="13"/>
  <c r="B3295" i="13"/>
  <c r="B3291" i="13"/>
  <c r="B3287" i="13"/>
  <c r="B3283" i="13"/>
  <c r="B3279" i="13"/>
  <c r="B3275" i="13"/>
  <c r="B3271" i="13"/>
  <c r="B3267" i="13"/>
  <c r="B3263" i="13"/>
  <c r="B3259" i="13"/>
  <c r="B3255" i="13"/>
  <c r="B3251" i="13"/>
  <c r="B3247" i="13"/>
  <c r="B3243" i="13"/>
  <c r="B3239" i="13"/>
  <c r="B3235" i="13"/>
  <c r="B3231" i="13"/>
  <c r="B3227" i="13"/>
  <c r="B3223" i="13"/>
  <c r="B3219" i="13"/>
  <c r="B3215" i="13"/>
  <c r="B3211" i="13"/>
  <c r="B3207" i="13"/>
  <c r="B3203" i="13"/>
  <c r="B3199" i="13"/>
  <c r="B3195" i="13"/>
  <c r="B3191" i="13"/>
  <c r="B3187" i="13"/>
  <c r="B3183" i="13"/>
  <c r="B3179" i="13"/>
  <c r="B3175" i="13"/>
  <c r="B3171" i="13"/>
  <c r="B3167" i="13"/>
  <c r="B3163" i="13"/>
  <c r="B3159" i="13"/>
  <c r="B3155" i="13"/>
  <c r="B3151" i="13"/>
  <c r="B3147" i="13"/>
  <c r="B3143" i="13"/>
  <c r="B3139" i="13"/>
  <c r="B3135" i="13"/>
  <c r="B3131" i="13"/>
  <c r="B3127" i="13"/>
  <c r="B3123" i="13"/>
  <c r="B3119" i="13"/>
  <c r="B3115" i="13"/>
  <c r="B3111" i="13"/>
  <c r="B3107" i="13"/>
  <c r="B3103" i="13"/>
  <c r="B3099" i="13"/>
  <c r="B3095" i="13"/>
  <c r="B3091" i="13"/>
  <c r="B3087" i="13"/>
  <c r="B3083" i="13"/>
  <c r="B3079" i="13"/>
  <c r="B3075" i="13"/>
  <c r="B3071" i="13"/>
  <c r="B3067" i="13"/>
  <c r="B3063" i="13"/>
  <c r="B3059" i="13"/>
  <c r="B3055" i="13"/>
  <c r="B3051" i="13"/>
  <c r="B3047" i="13"/>
  <c r="B3043" i="13"/>
  <c r="B3039" i="13"/>
  <c r="B3035" i="13"/>
  <c r="B3031" i="13"/>
  <c r="B3027" i="13"/>
  <c r="B3023" i="13"/>
  <c r="B3019" i="13"/>
  <c r="B3015" i="13"/>
  <c r="B3011" i="13"/>
  <c r="B3007" i="13"/>
  <c r="B3003" i="13"/>
  <c r="B2999" i="13"/>
  <c r="B2995" i="13"/>
  <c r="B2991" i="13"/>
  <c r="B2987" i="13"/>
  <c r="B2983" i="13"/>
  <c r="B2979" i="13"/>
  <c r="B2975" i="13"/>
  <c r="B2971" i="13"/>
  <c r="B2967" i="13"/>
  <c r="B2963" i="13"/>
  <c r="B2959" i="13"/>
  <c r="B2955" i="13"/>
  <c r="B2951" i="13"/>
  <c r="B2947" i="13"/>
  <c r="B2943" i="13"/>
  <c r="B2939" i="13"/>
  <c r="B2935" i="13"/>
  <c r="B2931" i="13"/>
  <c r="B2927" i="13"/>
  <c r="B2923" i="13"/>
  <c r="B2919" i="13"/>
  <c r="B2915" i="13"/>
  <c r="B2911" i="13"/>
  <c r="B2907" i="13"/>
  <c r="B2903" i="13"/>
  <c r="B2899" i="13"/>
  <c r="B2895" i="13"/>
  <c r="B2891" i="13"/>
  <c r="B2887" i="13"/>
  <c r="B2883" i="13"/>
  <c r="B2879" i="13"/>
  <c r="B2875" i="13"/>
  <c r="B2871" i="13"/>
  <c r="B2867" i="13"/>
  <c r="B2863" i="13"/>
  <c r="B2859" i="13"/>
  <c r="B2855" i="13"/>
  <c r="B2851" i="13"/>
  <c r="B2847" i="13"/>
  <c r="B2843" i="13"/>
  <c r="B2839" i="13"/>
  <c r="B2835" i="13"/>
  <c r="B2831" i="13"/>
  <c r="B2827" i="13"/>
  <c r="B2823" i="13"/>
  <c r="B2819" i="13"/>
  <c r="B2815" i="13"/>
  <c r="B2811" i="13"/>
  <c r="B2807" i="13"/>
  <c r="B2803" i="13"/>
  <c r="B2799" i="13"/>
  <c r="B2795" i="13"/>
  <c r="B2791" i="13"/>
  <c r="B2783" i="13"/>
  <c r="B2775" i="13"/>
  <c r="B2770" i="13"/>
  <c r="B2766" i="13"/>
  <c r="B2762" i="13"/>
  <c r="B2758" i="13"/>
  <c r="B2754" i="13"/>
  <c r="B2750" i="13"/>
  <c r="B2746" i="13"/>
  <c r="B2742" i="13"/>
  <c r="B2738" i="13"/>
  <c r="B2734" i="13"/>
  <c r="B2730" i="13"/>
  <c r="B2726" i="13"/>
  <c r="B2722" i="13"/>
  <c r="B2718" i="13"/>
  <c r="B2714" i="13"/>
  <c r="B2710" i="13"/>
  <c r="B2706" i="13"/>
  <c r="B2702" i="13"/>
  <c r="B2698" i="13"/>
  <c r="B2694" i="13"/>
  <c r="B2690" i="13"/>
  <c r="B2686" i="13"/>
  <c r="B2682" i="13"/>
  <c r="B2678" i="13"/>
  <c r="B2674" i="13"/>
  <c r="B2670" i="13"/>
  <c r="B2666" i="13"/>
  <c r="B2662" i="13"/>
  <c r="B2658" i="13"/>
  <c r="B2654" i="13"/>
  <c r="B2650" i="13"/>
  <c r="B2646" i="13"/>
  <c r="B2642" i="13"/>
  <c r="B2638" i="13"/>
  <c r="B2634" i="13"/>
  <c r="B2630" i="13"/>
  <c r="B2626" i="13"/>
  <c r="B2622" i="13"/>
  <c r="B2618" i="13"/>
  <c r="B2614" i="13"/>
  <c r="B2610" i="13"/>
  <c r="B2606" i="13"/>
  <c r="B2602" i="13"/>
  <c r="B2598" i="13"/>
  <c r="B2594" i="13"/>
  <c r="B2590" i="13"/>
  <c r="B2586" i="13"/>
  <c r="B2582" i="13"/>
  <c r="B2578" i="13"/>
  <c r="B2574" i="13"/>
  <c r="B2570" i="13"/>
  <c r="B2566" i="13"/>
  <c r="B2562" i="13"/>
  <c r="B2558" i="13"/>
  <c r="B2554" i="13"/>
  <c r="B2550" i="13"/>
  <c r="B2546" i="13"/>
  <c r="B2542" i="13"/>
  <c r="B2538" i="13"/>
  <c r="B2534" i="13"/>
  <c r="B2530" i="13"/>
  <c r="B2526" i="13"/>
  <c r="B2522" i="13"/>
  <c r="B2518" i="13"/>
  <c r="B2514" i="13"/>
  <c r="B2510" i="13"/>
  <c r="B2506" i="13"/>
  <c r="B2502" i="13"/>
  <c r="B2498" i="13"/>
  <c r="B2494" i="13"/>
  <c r="B2490" i="13"/>
  <c r="B2486" i="13"/>
  <c r="B2482" i="13"/>
  <c r="B2478" i="13"/>
  <c r="B2474" i="13"/>
  <c r="B2470" i="13"/>
  <c r="B2466" i="13"/>
  <c r="B2462" i="13"/>
  <c r="B2458" i="13"/>
  <c r="B2454" i="13"/>
  <c r="B2450" i="13"/>
  <c r="B2446" i="13"/>
  <c r="B2442" i="13"/>
  <c r="B2438" i="13"/>
  <c r="B2434" i="13"/>
  <c r="B2430" i="13"/>
  <c r="B2426" i="13"/>
  <c r="B2422" i="13"/>
  <c r="B2418" i="13"/>
  <c r="B2414" i="13"/>
  <c r="B2410" i="13"/>
  <c r="B2406" i="13"/>
  <c r="B2402" i="13"/>
  <c r="B2398" i="13"/>
  <c r="B2394" i="13"/>
  <c r="B2390" i="13"/>
  <c r="B2386" i="13"/>
  <c r="B2382" i="13"/>
  <c r="B2378" i="13"/>
  <c r="B2374" i="13"/>
  <c r="B2370" i="13"/>
  <c r="B2366" i="13"/>
  <c r="B2362" i="13"/>
  <c r="B2358" i="13"/>
  <c r="B2354" i="13"/>
  <c r="B2350" i="13"/>
  <c r="B2346" i="13"/>
  <c r="B2342" i="13"/>
  <c r="B2338" i="13"/>
  <c r="B2334" i="13"/>
  <c r="B2330" i="13"/>
  <c r="B2326" i="13"/>
  <c r="B2322" i="13"/>
  <c r="B2318" i="13"/>
  <c r="B2314" i="13"/>
  <c r="B2310" i="13"/>
  <c r="B2306" i="13"/>
  <c r="B2302" i="13"/>
  <c r="B2298" i="13"/>
  <c r="B2294" i="13"/>
  <c r="B2290" i="13"/>
  <c r="B2286" i="13"/>
  <c r="B2282" i="13"/>
  <c r="B2278" i="13"/>
  <c r="B2274" i="13"/>
  <c r="B2270" i="13"/>
  <c r="B2266" i="13"/>
  <c r="B2262" i="13"/>
  <c r="B2258" i="13"/>
  <c r="B2254" i="13"/>
  <c r="B2250" i="13"/>
  <c r="B2246" i="13"/>
  <c r="B2242" i="13"/>
  <c r="B2238" i="13"/>
  <c r="B2234" i="13"/>
  <c r="B2230" i="13"/>
  <c r="B2226" i="13"/>
  <c r="B2222" i="13"/>
  <c r="B2218" i="13"/>
  <c r="B2214" i="13"/>
  <c r="B2210" i="13"/>
  <c r="B2206" i="13"/>
  <c r="B2202" i="13"/>
  <c r="B2198" i="13"/>
  <c r="B2194" i="13"/>
  <c r="B2190" i="13"/>
  <c r="B2186" i="13"/>
  <c r="B2182" i="13"/>
  <c r="B2178" i="13"/>
  <c r="B2174" i="13"/>
  <c r="B2170" i="13"/>
  <c r="B2166" i="13"/>
  <c r="B2162" i="13"/>
  <c r="B2158" i="13"/>
  <c r="B2154" i="13"/>
  <c r="B2150" i="13"/>
  <c r="B2146" i="13"/>
  <c r="B2142" i="13"/>
  <c r="B2138" i="13"/>
  <c r="B2134" i="13"/>
  <c r="B2130" i="13"/>
  <c r="B2126" i="13"/>
  <c r="B2118" i="13"/>
  <c r="B2110" i="13"/>
  <c r="B2102" i="13"/>
  <c r="B2094" i="13"/>
  <c r="B2789" i="13"/>
  <c r="B2785" i="13"/>
  <c r="B2781" i="13"/>
  <c r="B2777" i="13"/>
  <c r="B2773" i="13"/>
  <c r="B2769" i="13"/>
  <c r="B2765" i="13"/>
  <c r="B2761" i="13"/>
  <c r="B2757" i="13"/>
  <c r="B2753" i="13"/>
  <c r="B2749" i="13"/>
  <c r="B2745" i="13"/>
  <c r="B2741" i="13"/>
  <c r="B2737" i="13"/>
  <c r="B2733" i="13"/>
  <c r="B2729" i="13"/>
  <c r="B2725" i="13"/>
  <c r="B2721" i="13"/>
  <c r="B2717" i="13"/>
  <c r="B2713" i="13"/>
  <c r="B2709" i="13"/>
  <c r="B2705" i="13"/>
  <c r="B2701" i="13"/>
  <c r="B2697" i="13"/>
  <c r="B2693" i="13"/>
  <c r="B2689" i="13"/>
  <c r="B2685" i="13"/>
  <c r="B2681" i="13"/>
  <c r="B2677" i="13"/>
  <c r="B2673" i="13"/>
  <c r="B2669" i="13"/>
  <c r="B2665" i="13"/>
  <c r="B2661" i="13"/>
  <c r="B2657" i="13"/>
  <c r="B2653" i="13"/>
  <c r="B2649" i="13"/>
  <c r="B2645" i="13"/>
  <c r="B2641" i="13"/>
  <c r="B2637" i="13"/>
  <c r="B2633" i="13"/>
  <c r="B2629" i="13"/>
  <c r="B2625" i="13"/>
  <c r="B2621" i="13"/>
  <c r="B2617" i="13"/>
  <c r="B2613" i="13"/>
  <c r="B2609" i="13"/>
  <c r="B2605" i="13"/>
  <c r="B2601" i="13"/>
  <c r="B2597" i="13"/>
  <c r="B2593" i="13"/>
  <c r="B2589" i="13"/>
  <c r="B2585" i="13"/>
  <c r="B2581" i="13"/>
  <c r="B2577" i="13"/>
  <c r="B2573" i="13"/>
  <c r="B2569" i="13"/>
  <c r="B2565" i="13"/>
  <c r="B2561" i="13"/>
  <c r="B2557" i="13"/>
  <c r="B2553" i="13"/>
  <c r="B2549" i="13"/>
  <c r="B2545" i="13"/>
  <c r="B2541" i="13"/>
  <c r="B2537" i="13"/>
  <c r="B2533" i="13"/>
  <c r="B2529" i="13"/>
  <c r="B2525" i="13"/>
  <c r="B2521" i="13"/>
  <c r="B2517" i="13"/>
  <c r="B2513" i="13"/>
  <c r="B2509" i="13"/>
  <c r="B2505" i="13"/>
  <c r="B2501" i="13"/>
  <c r="B2497" i="13"/>
  <c r="B2493" i="13"/>
  <c r="B2489" i="13"/>
  <c r="B2485" i="13"/>
  <c r="B2481" i="13"/>
  <c r="B2477" i="13"/>
  <c r="B2473" i="13"/>
  <c r="B2469" i="13"/>
  <c r="B2465" i="13"/>
  <c r="B2461" i="13"/>
  <c r="B2457" i="13"/>
  <c r="B2453" i="13"/>
  <c r="B2449" i="13"/>
  <c r="B2445" i="13"/>
  <c r="B2441" i="13"/>
  <c r="B2437" i="13"/>
  <c r="B2433" i="13"/>
  <c r="B2429" i="13"/>
  <c r="B2425" i="13"/>
  <c r="B2421" i="13"/>
  <c r="B2417" i="13"/>
  <c r="B2413" i="13"/>
  <c r="B2409" i="13"/>
  <c r="B2405" i="13"/>
  <c r="B2401" i="13"/>
  <c r="B2397" i="13"/>
  <c r="B2393" i="13"/>
  <c r="B2389" i="13"/>
  <c r="B2385" i="13"/>
  <c r="B2381" i="13"/>
  <c r="B2377" i="13"/>
  <c r="B2373" i="13"/>
  <c r="B2369" i="13"/>
  <c r="B2365" i="13"/>
  <c r="B2361" i="13"/>
  <c r="B2357" i="13"/>
  <c r="B2353" i="13"/>
  <c r="B2349" i="13"/>
  <c r="B2345" i="13"/>
  <c r="B2341" i="13"/>
  <c r="B2337" i="13"/>
  <c r="B2333" i="13"/>
  <c r="B2329" i="13"/>
  <c r="B2325" i="13"/>
  <c r="B2321" i="13"/>
  <c r="B2317" i="13"/>
  <c r="B2313" i="13"/>
  <c r="B2309" i="13"/>
  <c r="B2305" i="13"/>
  <c r="B2301" i="13"/>
  <c r="B2297" i="13"/>
  <c r="B2293" i="13"/>
  <c r="B2289" i="13"/>
  <c r="B2285" i="13"/>
  <c r="B2281" i="13"/>
  <c r="B2277" i="13"/>
  <c r="B2273" i="13"/>
  <c r="B2269" i="13"/>
  <c r="B2265" i="13"/>
  <c r="B2261" i="13"/>
  <c r="B2257" i="13"/>
  <c r="B2253" i="13"/>
  <c r="B2249" i="13"/>
  <c r="B2245" i="13"/>
  <c r="B2241" i="13"/>
  <c r="B2237" i="13"/>
  <c r="B2233" i="13"/>
  <c r="B2229" i="13"/>
  <c r="B2225" i="13"/>
  <c r="B2221" i="13"/>
  <c r="B2217" i="13"/>
  <c r="B2213" i="13"/>
  <c r="B2209" i="13"/>
  <c r="B2205" i="13"/>
  <c r="B2201" i="13"/>
  <c r="B2197" i="13"/>
  <c r="B2193" i="13"/>
  <c r="B2189" i="13"/>
  <c r="B2185" i="13"/>
  <c r="B2181" i="13"/>
  <c r="B2177" i="13"/>
  <c r="B2173" i="13"/>
  <c r="B2169" i="13"/>
  <c r="B2165" i="13"/>
  <c r="B2161" i="13"/>
  <c r="B2157" i="13"/>
  <c r="B2153" i="13"/>
  <c r="B2149" i="13"/>
  <c r="B2145" i="13"/>
  <c r="B2141" i="13"/>
  <c r="B2137" i="13"/>
  <c r="B2133" i="13"/>
  <c r="B2129" i="13"/>
  <c r="B2123" i="13"/>
  <c r="B2115" i="13"/>
  <c r="B2107" i="13"/>
  <c r="B2099" i="13"/>
  <c r="B2788" i="13"/>
  <c r="B2784" i="13"/>
  <c r="B2780" i="13"/>
  <c r="B2776" i="13"/>
  <c r="B2772" i="13"/>
  <c r="B2768" i="13"/>
  <c r="B2764" i="13"/>
  <c r="B2760" i="13"/>
  <c r="B2756" i="13"/>
  <c r="B2752" i="13"/>
  <c r="B2748" i="13"/>
  <c r="B2744" i="13"/>
  <c r="B2740" i="13"/>
  <c r="B2736" i="13"/>
  <c r="B2732" i="13"/>
  <c r="B2728" i="13"/>
  <c r="B2724" i="13"/>
  <c r="B2720" i="13"/>
  <c r="B2716" i="13"/>
  <c r="B2712" i="13"/>
  <c r="B2708" i="13"/>
  <c r="B2704" i="13"/>
  <c r="B2700" i="13"/>
  <c r="B2696" i="13"/>
  <c r="B2692" i="13"/>
  <c r="B2688" i="13"/>
  <c r="B2684" i="13"/>
  <c r="B2680" i="13"/>
  <c r="B2676" i="13"/>
  <c r="B2672" i="13"/>
  <c r="B2668" i="13"/>
  <c r="B2664" i="13"/>
  <c r="B2660" i="13"/>
  <c r="B2656" i="13"/>
  <c r="B2652" i="13"/>
  <c r="B2648" i="13"/>
  <c r="B2644" i="13"/>
  <c r="B2640" i="13"/>
  <c r="B2636" i="13"/>
  <c r="B2632" i="13"/>
  <c r="B2628" i="13"/>
  <c r="B2624" i="13"/>
  <c r="B2620" i="13"/>
  <c r="B2616" i="13"/>
  <c r="B2612" i="13"/>
  <c r="B2608" i="13"/>
  <c r="B2604" i="13"/>
  <c r="B2600" i="13"/>
  <c r="B2596" i="13"/>
  <c r="B2592" i="13"/>
  <c r="B2588" i="13"/>
  <c r="B2584" i="13"/>
  <c r="B2580" i="13"/>
  <c r="B2576" i="13"/>
  <c r="B2572" i="13"/>
  <c r="B2568" i="13"/>
  <c r="B2564" i="13"/>
  <c r="B2560" i="13"/>
  <c r="B2556" i="13"/>
  <c r="B2552" i="13"/>
  <c r="B2548" i="13"/>
  <c r="B2544" i="13"/>
  <c r="B2540" i="13"/>
  <c r="B2536" i="13"/>
  <c r="B2532" i="13"/>
  <c r="B2528" i="13"/>
  <c r="B2524" i="13"/>
  <c r="B2520" i="13"/>
  <c r="B2516" i="13"/>
  <c r="B2512" i="13"/>
  <c r="B2508" i="13"/>
  <c r="B2504" i="13"/>
  <c r="B2500" i="13"/>
  <c r="B2496" i="13"/>
  <c r="B2492" i="13"/>
  <c r="B2488" i="13"/>
  <c r="B2484" i="13"/>
  <c r="B2480" i="13"/>
  <c r="B2476" i="13"/>
  <c r="B2472" i="13"/>
  <c r="B2468" i="13"/>
  <c r="B2464" i="13"/>
  <c r="B2460" i="13"/>
  <c r="B2456" i="13"/>
  <c r="B2452" i="13"/>
  <c r="B2448" i="13"/>
  <c r="B2444" i="13"/>
  <c r="B2440" i="13"/>
  <c r="B2436" i="13"/>
  <c r="B2432" i="13"/>
  <c r="B2428" i="13"/>
  <c r="B2424" i="13"/>
  <c r="B2420" i="13"/>
  <c r="B2416" i="13"/>
  <c r="B2412" i="13"/>
  <c r="B2408" i="13"/>
  <c r="B2404" i="13"/>
  <c r="B2400" i="13"/>
  <c r="B2396" i="13"/>
  <c r="B2392" i="13"/>
  <c r="B2388" i="13"/>
  <c r="B2384" i="13"/>
  <c r="B2380" i="13"/>
  <c r="B2376" i="13"/>
  <c r="B2372" i="13"/>
  <c r="B2368" i="13"/>
  <c r="B2364" i="13"/>
  <c r="B2360" i="13"/>
  <c r="B2356" i="13"/>
  <c r="B2352" i="13"/>
  <c r="B2348" i="13"/>
  <c r="B2344" i="13"/>
  <c r="B2340" i="13"/>
  <c r="B2336" i="13"/>
  <c r="B2332" i="13"/>
  <c r="B2328" i="13"/>
  <c r="B2324" i="13"/>
  <c r="B2320" i="13"/>
  <c r="B2316" i="13"/>
  <c r="B2312" i="13"/>
  <c r="B2308" i="13"/>
  <c r="B2304" i="13"/>
  <c r="B2300" i="13"/>
  <c r="B2296" i="13"/>
  <c r="B2292" i="13"/>
  <c r="B2288" i="13"/>
  <c r="B2284" i="13"/>
  <c r="B2280" i="13"/>
  <c r="B2276" i="13"/>
  <c r="B2272" i="13"/>
  <c r="B2268" i="13"/>
  <c r="B2264" i="13"/>
  <c r="B2260" i="13"/>
  <c r="B2256" i="13"/>
  <c r="B2252" i="13"/>
  <c r="B2248" i="13"/>
  <c r="B2244" i="13"/>
  <c r="B2240" i="13"/>
  <c r="B2236" i="13"/>
  <c r="B2232" i="13"/>
  <c r="B2228" i="13"/>
  <c r="B2224" i="13"/>
  <c r="B2220" i="13"/>
  <c r="B2216" i="13"/>
  <c r="B2212" i="13"/>
  <c r="B2208" i="13"/>
  <c r="B2204" i="13"/>
  <c r="B2200" i="13"/>
  <c r="B2196" i="13"/>
  <c r="B2192" i="13"/>
  <c r="B2188" i="13"/>
  <c r="B2184" i="13"/>
  <c r="B2180" i="13"/>
  <c r="B2176" i="13"/>
  <c r="B2172" i="13"/>
  <c r="B2168" i="13"/>
  <c r="B2164" i="13"/>
  <c r="B2160" i="13"/>
  <c r="B2156" i="13"/>
  <c r="B2152" i="13"/>
  <c r="B2148" i="13"/>
  <c r="B2144" i="13"/>
  <c r="B2140" i="13"/>
  <c r="B2136" i="13"/>
  <c r="B2132" i="13"/>
  <c r="B2128" i="13"/>
  <c r="B2122" i="13"/>
  <c r="B2114" i="13"/>
  <c r="B2106" i="13"/>
  <c r="B2098" i="13"/>
  <c r="B2771" i="13"/>
  <c r="B2767" i="13"/>
  <c r="B2763" i="13"/>
  <c r="B2759" i="13"/>
  <c r="B2755" i="13"/>
  <c r="B2751" i="13"/>
  <c r="B2747" i="13"/>
  <c r="B2743" i="13"/>
  <c r="B2739" i="13"/>
  <c r="B2735" i="13"/>
  <c r="B2731" i="13"/>
  <c r="B2727" i="13"/>
  <c r="B2723" i="13"/>
  <c r="B2719" i="13"/>
  <c r="B2715" i="13"/>
  <c r="B2711" i="13"/>
  <c r="B2707" i="13"/>
  <c r="B2703" i="13"/>
  <c r="B2699" i="13"/>
  <c r="B2695" i="13"/>
  <c r="B2691" i="13"/>
  <c r="B2687" i="13"/>
  <c r="B2683" i="13"/>
  <c r="B2679" i="13"/>
  <c r="B2675" i="13"/>
  <c r="B2671" i="13"/>
  <c r="B2667" i="13"/>
  <c r="B2663" i="13"/>
  <c r="B2659" i="13"/>
  <c r="B2655" i="13"/>
  <c r="B2651" i="13"/>
  <c r="B2647" i="13"/>
  <c r="B2643" i="13"/>
  <c r="B2639" i="13"/>
  <c r="B2635" i="13"/>
  <c r="B2631" i="13"/>
  <c r="B2627" i="13"/>
  <c r="B2623" i="13"/>
  <c r="B2619" i="13"/>
  <c r="B2615" i="13"/>
  <c r="B2611" i="13"/>
  <c r="B2607" i="13"/>
  <c r="B2603" i="13"/>
  <c r="B2599" i="13"/>
  <c r="B2595" i="13"/>
  <c r="B2591" i="13"/>
  <c r="B2587" i="13"/>
  <c r="B2583" i="13"/>
  <c r="B2579" i="13"/>
  <c r="B2575" i="13"/>
  <c r="B2571" i="13"/>
  <c r="B2567" i="13"/>
  <c r="B2563" i="13"/>
  <c r="B2559" i="13"/>
  <c r="B2555" i="13"/>
  <c r="B2551" i="13"/>
  <c r="B2547" i="13"/>
  <c r="B2543" i="13"/>
  <c r="B2539" i="13"/>
  <c r="B2535" i="13"/>
  <c r="B2531" i="13"/>
  <c r="B2527" i="13"/>
  <c r="B2523" i="13"/>
  <c r="B2519" i="13"/>
  <c r="B2515" i="13"/>
  <c r="B2511" i="13"/>
  <c r="B2507" i="13"/>
  <c r="B2503" i="13"/>
  <c r="B2499" i="13"/>
  <c r="B2495" i="13"/>
  <c r="B2491" i="13"/>
  <c r="B2487" i="13"/>
  <c r="B2483" i="13"/>
  <c r="B2479" i="13"/>
  <c r="B2475" i="13"/>
  <c r="B2471" i="13"/>
  <c r="B2467" i="13"/>
  <c r="B2463" i="13"/>
  <c r="B2459" i="13"/>
  <c r="B2455" i="13"/>
  <c r="B2451" i="13"/>
  <c r="B2447" i="13"/>
  <c r="B2443" i="13"/>
  <c r="B2439" i="13"/>
  <c r="B2435" i="13"/>
  <c r="B2431" i="13"/>
  <c r="B2427" i="13"/>
  <c r="B2423" i="13"/>
  <c r="B2419" i="13"/>
  <c r="B2415" i="13"/>
  <c r="B2411" i="13"/>
  <c r="B2407" i="13"/>
  <c r="B2403" i="13"/>
  <c r="B2399" i="13"/>
  <c r="B2395" i="13"/>
  <c r="B2391" i="13"/>
  <c r="B2387" i="13"/>
  <c r="B2383" i="13"/>
  <c r="B2379" i="13"/>
  <c r="B2375" i="13"/>
  <c r="B2371" i="13"/>
  <c r="B2367" i="13"/>
  <c r="B2363" i="13"/>
  <c r="B2359" i="13"/>
  <c r="B2355" i="13"/>
  <c r="B2351" i="13"/>
  <c r="B2347" i="13"/>
  <c r="B2343" i="13"/>
  <c r="B2339" i="13"/>
  <c r="B2335" i="13"/>
  <c r="B2331" i="13"/>
  <c r="B2327" i="13"/>
  <c r="B2323" i="13"/>
  <c r="B2319" i="13"/>
  <c r="B2315" i="13"/>
  <c r="B2311" i="13"/>
  <c r="B2307" i="13"/>
  <c r="B2303" i="13"/>
  <c r="B2299" i="13"/>
  <c r="B2295" i="13"/>
  <c r="B2291" i="13"/>
  <c r="B2287" i="13"/>
  <c r="B2283" i="13"/>
  <c r="B2279" i="13"/>
  <c r="B2275" i="13"/>
  <c r="B2271" i="13"/>
  <c r="B2267" i="13"/>
  <c r="B2263" i="13"/>
  <c r="B2259" i="13"/>
  <c r="B2255" i="13"/>
  <c r="B2251" i="13"/>
  <c r="B2247" i="13"/>
  <c r="B2243" i="13"/>
  <c r="B2239" i="13"/>
  <c r="B2235" i="13"/>
  <c r="B2231" i="13"/>
  <c r="B2227" i="13"/>
  <c r="B2223" i="13"/>
  <c r="B2219" i="13"/>
  <c r="B2215" i="13"/>
  <c r="B2211" i="13"/>
  <c r="B2207" i="13"/>
  <c r="B2203" i="13"/>
  <c r="B2199" i="13"/>
  <c r="B2195" i="13"/>
  <c r="B2191" i="13"/>
  <c r="B2187" i="13"/>
  <c r="B2183" i="13"/>
  <c r="B2179" i="13"/>
  <c r="B2175" i="13"/>
  <c r="B2171" i="13"/>
  <c r="B2167" i="13"/>
  <c r="B2163" i="13"/>
  <c r="B2159" i="13"/>
  <c r="B2155" i="13"/>
  <c r="B2151" i="13"/>
  <c r="B2147" i="13"/>
  <c r="B2143" i="13"/>
  <c r="B2139" i="13"/>
  <c r="B2135" i="13"/>
  <c r="B2131" i="13"/>
  <c r="B2127" i="13"/>
  <c r="B2119" i="13"/>
  <c r="B2111" i="13"/>
  <c r="B2103" i="13"/>
  <c r="B2095" i="13"/>
  <c r="B2091" i="13"/>
  <c r="B2088" i="13"/>
  <c r="B2084" i="13"/>
  <c r="B2080" i="13"/>
  <c r="B2076" i="13"/>
  <c r="B2072" i="13"/>
  <c r="B2068" i="13"/>
  <c r="B2064" i="13"/>
  <c r="B2060" i="13"/>
  <c r="B2056" i="13"/>
  <c r="B2052" i="13"/>
  <c r="B2048" i="13"/>
  <c r="B2044" i="13"/>
  <c r="B2040" i="13"/>
  <c r="B2036" i="13"/>
  <c r="B2032" i="13"/>
  <c r="B2028" i="13"/>
  <c r="B2024" i="13"/>
  <c r="B2020" i="13"/>
  <c r="B2016" i="13"/>
  <c r="B2012" i="13"/>
  <c r="B2008" i="13"/>
  <c r="B2004" i="13"/>
  <c r="B2000" i="13"/>
  <c r="B1996" i="13"/>
  <c r="B1992" i="13"/>
  <c r="B1988" i="13"/>
  <c r="B1984" i="13"/>
  <c r="B1980" i="13"/>
  <c r="B1976" i="13"/>
  <c r="B1972" i="13"/>
  <c r="B1968" i="13"/>
  <c r="B1964" i="13"/>
  <c r="B1960" i="13"/>
  <c r="B1956" i="13"/>
  <c r="B1952" i="13"/>
  <c r="B1948" i="13"/>
  <c r="B1942" i="13"/>
  <c r="B1937" i="13"/>
  <c r="B1932" i="13"/>
  <c r="B1926" i="13"/>
  <c r="B1921" i="13"/>
  <c r="B1916" i="13"/>
  <c r="B1910" i="13"/>
  <c r="B1905" i="13"/>
  <c r="B1900" i="13"/>
  <c r="B1894" i="13"/>
  <c r="B1889" i="13"/>
  <c r="B1884" i="13"/>
  <c r="B1878" i="13"/>
  <c r="B1873" i="13"/>
  <c r="B1868" i="13"/>
  <c r="B1862" i="13"/>
  <c r="B1857" i="13"/>
  <c r="B1852" i="13"/>
  <c r="B1846" i="13"/>
  <c r="B1841" i="13"/>
  <c r="B1836" i="13"/>
  <c r="B1830" i="13"/>
  <c r="B1825" i="13"/>
  <c r="B1820" i="13"/>
  <c r="B1814" i="13"/>
  <c r="B1809" i="13"/>
  <c r="B1802" i="13"/>
  <c r="B1786" i="13"/>
  <c r="B1770" i="13"/>
  <c r="B1754" i="13"/>
  <c r="B1738" i="13"/>
  <c r="B1722" i="13"/>
  <c r="B1706" i="13"/>
  <c r="B1690" i="13"/>
  <c r="B1674" i="13"/>
  <c r="B1658" i="13"/>
  <c r="B1642" i="13"/>
  <c r="B1626" i="13"/>
  <c r="B1610" i="13"/>
  <c r="B1594" i="13"/>
  <c r="B1575" i="13"/>
  <c r="B1554" i="13"/>
  <c r="B1533" i="13"/>
  <c r="B1502" i="13"/>
  <c r="B1438" i="13"/>
  <c r="B1374" i="13"/>
  <c r="B1311" i="13"/>
  <c r="B1226" i="13"/>
  <c r="B2090" i="13"/>
  <c r="B2087" i="13"/>
  <c r="B2083" i="13"/>
  <c r="B2079" i="13"/>
  <c r="B2075" i="13"/>
  <c r="B2071" i="13"/>
  <c r="B2067" i="13"/>
  <c r="B2063" i="13"/>
  <c r="B2059" i="13"/>
  <c r="B2055" i="13"/>
  <c r="B2051" i="13"/>
  <c r="B2047" i="13"/>
  <c r="B2043" i="13"/>
  <c r="B2039" i="13"/>
  <c r="B2035" i="13"/>
  <c r="B2031" i="13"/>
  <c r="B2027" i="13"/>
  <c r="B2023" i="13"/>
  <c r="B2019" i="13"/>
  <c r="B2015" i="13"/>
  <c r="B2011" i="13"/>
  <c r="B2007" i="13"/>
  <c r="B2003" i="13"/>
  <c r="B1999" i="13"/>
  <c r="B1995" i="13"/>
  <c r="B1991" i="13"/>
  <c r="B1987" i="13"/>
  <c r="B1983" i="13"/>
  <c r="B1979" i="13"/>
  <c r="B1975" i="13"/>
  <c r="B1971" i="13"/>
  <c r="B1967" i="13"/>
  <c r="B1963" i="13"/>
  <c r="B1959" i="13"/>
  <c r="B1955" i="13"/>
  <c r="B1951" i="13"/>
  <c r="B1946" i="13"/>
  <c r="B1941" i="13"/>
  <c r="B1936" i="13"/>
  <c r="B1930" i="13"/>
  <c r="B1925" i="13"/>
  <c r="B1920" i="13"/>
  <c r="B1914" i="13"/>
  <c r="B1909" i="13"/>
  <c r="B1904" i="13"/>
  <c r="B1898" i="13"/>
  <c r="B1893" i="13"/>
  <c r="B1888" i="13"/>
  <c r="B1882" i="13"/>
  <c r="B1877" i="13"/>
  <c r="B1872" i="13"/>
  <c r="B1866" i="13"/>
  <c r="B1861" i="13"/>
  <c r="B1856" i="13"/>
  <c r="B1850" i="13"/>
  <c r="B1845" i="13"/>
  <c r="B1840" i="13"/>
  <c r="B1834" i="13"/>
  <c r="B1829" i="13"/>
  <c r="B1824" i="13"/>
  <c r="B1818" i="13"/>
  <c r="B1813" i="13"/>
  <c r="B1808" i="13"/>
  <c r="B1798" i="13"/>
  <c r="B1782" i="13"/>
  <c r="B1766" i="13"/>
  <c r="B1750" i="13"/>
  <c r="B1734" i="13"/>
  <c r="B1718" i="13"/>
  <c r="B1702" i="13"/>
  <c r="B1686" i="13"/>
  <c r="B1670" i="13"/>
  <c r="B1654" i="13"/>
  <c r="B1638" i="13"/>
  <c r="B1622" i="13"/>
  <c r="B1606" i="13"/>
  <c r="B1590" i="13"/>
  <c r="B1570" i="13"/>
  <c r="B1549" i="13"/>
  <c r="B1527" i="13"/>
  <c r="B1486" i="13"/>
  <c r="B1422" i="13"/>
  <c r="B1358" i="13"/>
  <c r="B1295" i="13"/>
  <c r="B2125" i="13"/>
  <c r="B2121" i="13"/>
  <c r="B2117" i="13"/>
  <c r="B2113" i="13"/>
  <c r="B2109" i="13"/>
  <c r="B2105" i="13"/>
  <c r="B2101" i="13"/>
  <c r="B2097" i="13"/>
  <c r="B2093" i="13"/>
  <c r="B2086" i="13"/>
  <c r="B2082" i="13"/>
  <c r="B2078" i="13"/>
  <c r="B2074" i="13"/>
  <c r="B2070" i="13"/>
  <c r="B2066" i="13"/>
  <c r="B2062" i="13"/>
  <c r="B2058" i="13"/>
  <c r="B2054" i="13"/>
  <c r="B2050" i="13"/>
  <c r="B2046" i="13"/>
  <c r="B2042" i="13"/>
  <c r="B2038" i="13"/>
  <c r="B2034" i="13"/>
  <c r="B2030" i="13"/>
  <c r="B2026" i="13"/>
  <c r="B2022" i="13"/>
  <c r="B2018" i="13"/>
  <c r="B2014" i="13"/>
  <c r="B2010" i="13"/>
  <c r="B2006" i="13"/>
  <c r="B2002" i="13"/>
  <c r="B1998" i="13"/>
  <c r="B1994" i="13"/>
  <c r="B1990" i="13"/>
  <c r="B1986" i="13"/>
  <c r="B1982" i="13"/>
  <c r="B1978" i="13"/>
  <c r="B1974" i="13"/>
  <c r="B1970" i="13"/>
  <c r="B1966" i="13"/>
  <c r="B1962" i="13"/>
  <c r="B1958" i="13"/>
  <c r="B1954" i="13"/>
  <c r="B1950" i="13"/>
  <c r="B1945" i="13"/>
  <c r="B1940" i="13"/>
  <c r="B1934" i="13"/>
  <c r="B1929" i="13"/>
  <c r="B1924" i="13"/>
  <c r="B1918" i="13"/>
  <c r="B1913" i="13"/>
  <c r="B1908" i="13"/>
  <c r="B1902" i="13"/>
  <c r="B1897" i="13"/>
  <c r="B1892" i="13"/>
  <c r="B1886" i="13"/>
  <c r="B1881" i="13"/>
  <c r="B1876" i="13"/>
  <c r="B1870" i="13"/>
  <c r="B1865" i="13"/>
  <c r="B1860" i="13"/>
  <c r="B1854" i="13"/>
  <c r="B1849" i="13"/>
  <c r="B1844" i="13"/>
  <c r="B1838" i="13"/>
  <c r="B1833" i="13"/>
  <c r="B1828" i="13"/>
  <c r="B1822" i="13"/>
  <c r="B1817" i="13"/>
  <c r="B1812" i="13"/>
  <c r="B1806" i="13"/>
  <c r="B1794" i="13"/>
  <c r="B1778" i="13"/>
  <c r="B1762" i="13"/>
  <c r="B1746" i="13"/>
  <c r="B1730" i="13"/>
  <c r="B1714" i="13"/>
  <c r="B1698" i="13"/>
  <c r="B1682" i="13"/>
  <c r="B1666" i="13"/>
  <c r="B1650" i="13"/>
  <c r="B1634" i="13"/>
  <c r="B1618" i="13"/>
  <c r="B1602" i="13"/>
  <c r="B1586" i="13"/>
  <c r="B1565" i="13"/>
  <c r="B1543" i="13"/>
  <c r="B1522" i="13"/>
  <c r="B1470" i="13"/>
  <c r="B1406" i="13"/>
  <c r="B1279" i="13"/>
  <c r="B2124" i="13"/>
  <c r="B2120" i="13"/>
  <c r="B2116" i="13"/>
  <c r="B2112" i="13"/>
  <c r="B2108" i="13"/>
  <c r="B2104" i="13"/>
  <c r="B2100" i="13"/>
  <c r="B2096" i="13"/>
  <c r="B2092" i="13"/>
  <c r="B2089" i="13"/>
  <c r="B2085" i="13"/>
  <c r="B2081" i="13"/>
  <c r="B2077" i="13"/>
  <c r="B2073" i="13"/>
  <c r="B2069" i="13"/>
  <c r="B2065" i="13"/>
  <c r="B2061" i="13"/>
  <c r="B2057" i="13"/>
  <c r="B2053" i="13"/>
  <c r="B2049" i="13"/>
  <c r="B2045" i="13"/>
  <c r="B2041" i="13"/>
  <c r="B2037" i="13"/>
  <c r="B2033" i="13"/>
  <c r="B2029" i="13"/>
  <c r="B2025" i="13"/>
  <c r="B2021" i="13"/>
  <c r="B2017" i="13"/>
  <c r="B2013" i="13"/>
  <c r="B2009" i="13"/>
  <c r="B2005" i="13"/>
  <c r="B2001" i="13"/>
  <c r="B1997" i="13"/>
  <c r="B1993" i="13"/>
  <c r="B1989" i="13"/>
  <c r="B1985" i="13"/>
  <c r="B1981" i="13"/>
  <c r="B1977" i="13"/>
  <c r="B1973" i="13"/>
  <c r="B1969" i="13"/>
  <c r="B1965" i="13"/>
  <c r="B1961" i="13"/>
  <c r="B1957" i="13"/>
  <c r="B1953" i="13"/>
  <c r="B1949" i="13"/>
  <c r="B1944" i="13"/>
  <c r="B1938" i="13"/>
  <c r="B1933" i="13"/>
  <c r="B1928" i="13"/>
  <c r="B1922" i="13"/>
  <c r="B1917" i="13"/>
  <c r="B1912" i="13"/>
  <c r="B1906" i="13"/>
  <c r="B1901" i="13"/>
  <c r="B1896" i="13"/>
  <c r="B1890" i="13"/>
  <c r="B1885" i="13"/>
  <c r="B1880" i="13"/>
  <c r="B1874" i="13"/>
  <c r="B1869" i="13"/>
  <c r="B1864" i="13"/>
  <c r="B1858" i="13"/>
  <c r="B1853" i="13"/>
  <c r="B1848" i="13"/>
  <c r="B1842" i="13"/>
  <c r="B1837" i="13"/>
  <c r="B1832" i="13"/>
  <c r="B1826" i="13"/>
  <c r="B1821" i="13"/>
  <c r="B1816" i="13"/>
  <c r="B1810" i="13"/>
  <c r="B1805" i="13"/>
  <c r="B1790" i="13"/>
  <c r="B1774" i="13"/>
  <c r="B1758" i="13"/>
  <c r="B1742" i="13"/>
  <c r="B1726" i="13"/>
  <c r="B1710" i="13"/>
  <c r="B1694" i="13"/>
  <c r="B1678" i="13"/>
  <c r="B1662" i="13"/>
  <c r="B1646" i="13"/>
  <c r="B1630" i="13"/>
  <c r="B1614" i="13"/>
  <c r="B1598" i="13"/>
  <c r="B1581" i="13"/>
  <c r="B1559" i="13"/>
  <c r="B1538" i="13"/>
  <c r="B1518" i="13"/>
  <c r="B1454" i="13"/>
  <c r="B1390" i="13"/>
  <c r="B1327" i="13"/>
  <c r="B1261" i="13"/>
  <c r="B1801" i="13"/>
  <c r="B1797" i="13"/>
  <c r="B1793" i="13"/>
  <c r="B1789" i="13"/>
  <c r="B1785" i="13"/>
  <c r="B1781" i="13"/>
  <c r="B1777" i="13"/>
  <c r="B1773" i="13"/>
  <c r="B1769" i="13"/>
  <c r="B1765" i="13"/>
  <c r="B1761" i="13"/>
  <c r="B1757" i="13"/>
  <c r="B1753" i="13"/>
  <c r="B1749" i="13"/>
  <c r="B1745" i="13"/>
  <c r="B1741" i="13"/>
  <c r="B1737" i="13"/>
  <c r="B1733" i="13"/>
  <c r="B1729" i="13"/>
  <c r="B1725" i="13"/>
  <c r="B1721" i="13"/>
  <c r="B1717" i="13"/>
  <c r="B1713" i="13"/>
  <c r="B1709" i="13"/>
  <c r="B1705" i="13"/>
  <c r="B1701" i="13"/>
  <c r="B1697" i="13"/>
  <c r="B1693" i="13"/>
  <c r="B1689" i="13"/>
  <c r="B1685" i="13"/>
  <c r="B1681" i="13"/>
  <c r="B1677" i="13"/>
  <c r="B1673" i="13"/>
  <c r="B1669" i="13"/>
  <c r="B1665" i="13"/>
  <c r="B1661" i="13"/>
  <c r="B1657" i="13"/>
  <c r="B1653" i="13"/>
  <c r="B1649" i="13"/>
  <c r="B1645" i="13"/>
  <c r="B1641" i="13"/>
  <c r="B1637" i="13"/>
  <c r="B1633" i="13"/>
  <c r="B1629" i="13"/>
  <c r="B1625" i="13"/>
  <c r="B1621" i="13"/>
  <c r="B1617" i="13"/>
  <c r="B1613" i="13"/>
  <c r="B1609" i="13"/>
  <c r="B1605" i="13"/>
  <c r="B1601" i="13"/>
  <c r="B1597" i="13"/>
  <c r="B1593" i="13"/>
  <c r="B1589" i="13"/>
  <c r="B1585" i="13"/>
  <c r="B1579" i="13"/>
  <c r="B1574" i="13"/>
  <c r="B1569" i="13"/>
  <c r="B1563" i="13"/>
  <c r="B1558" i="13"/>
  <c r="B1553" i="13"/>
  <c r="B1547" i="13"/>
  <c r="B1542" i="13"/>
  <c r="B1537" i="13"/>
  <c r="B1531" i="13"/>
  <c r="B1526" i="13"/>
  <c r="B1521" i="13"/>
  <c r="B1514" i="13"/>
  <c r="B1498" i="13"/>
  <c r="B1482" i="13"/>
  <c r="B1466" i="13"/>
  <c r="B1450" i="13"/>
  <c r="B1434" i="13"/>
  <c r="B1418" i="13"/>
  <c r="B1402" i="13"/>
  <c r="B1386" i="13"/>
  <c r="B1370" i="13"/>
  <c r="B1354" i="13"/>
  <c r="B1339" i="13"/>
  <c r="B1323" i="13"/>
  <c r="B1307" i="13"/>
  <c r="B1291" i="13"/>
  <c r="B1275" i="13"/>
  <c r="B1256" i="13"/>
  <c r="B1804" i="13"/>
  <c r="B1800" i="13"/>
  <c r="B1796" i="13"/>
  <c r="B1792" i="13"/>
  <c r="B1788" i="13"/>
  <c r="B1784" i="13"/>
  <c r="B1780" i="13"/>
  <c r="B1776" i="13"/>
  <c r="B1772" i="13"/>
  <c r="B1768" i="13"/>
  <c r="B1764" i="13"/>
  <c r="B1760" i="13"/>
  <c r="B1756" i="13"/>
  <c r="B1752" i="13"/>
  <c r="B1748" i="13"/>
  <c r="B1744" i="13"/>
  <c r="B1740" i="13"/>
  <c r="B1736" i="13"/>
  <c r="B1732" i="13"/>
  <c r="B1728" i="13"/>
  <c r="B1724" i="13"/>
  <c r="B1720" i="13"/>
  <c r="B1716" i="13"/>
  <c r="B1712" i="13"/>
  <c r="B1708" i="13"/>
  <c r="B1704" i="13"/>
  <c r="B1700" i="13"/>
  <c r="B1696" i="13"/>
  <c r="B1692" i="13"/>
  <c r="B1688" i="13"/>
  <c r="B1684" i="13"/>
  <c r="B1680" i="13"/>
  <c r="B1676" i="13"/>
  <c r="B1672" i="13"/>
  <c r="B1668" i="13"/>
  <c r="B1664" i="13"/>
  <c r="B1660" i="13"/>
  <c r="B1656" i="13"/>
  <c r="B1652" i="13"/>
  <c r="B1648" i="13"/>
  <c r="B1644" i="13"/>
  <c r="B1640" i="13"/>
  <c r="B1636" i="13"/>
  <c r="B1632" i="13"/>
  <c r="B1628" i="13"/>
  <c r="B1624" i="13"/>
  <c r="B1620" i="13"/>
  <c r="B1616" i="13"/>
  <c r="B1612" i="13"/>
  <c r="B1608" i="13"/>
  <c r="B1604" i="13"/>
  <c r="B1600" i="13"/>
  <c r="B1596" i="13"/>
  <c r="B1592" i="13"/>
  <c r="B1588" i="13"/>
  <c r="B1583" i="13"/>
  <c r="B1578" i="13"/>
  <c r="B1573" i="13"/>
  <c r="B1567" i="13"/>
  <c r="B1562" i="13"/>
  <c r="B1557" i="13"/>
  <c r="B1551" i="13"/>
  <c r="B1546" i="13"/>
  <c r="B1541" i="13"/>
  <c r="B1535" i="13"/>
  <c r="B1530" i="13"/>
  <c r="B1525" i="13"/>
  <c r="B1520" i="13"/>
  <c r="B1510" i="13"/>
  <c r="B1494" i="13"/>
  <c r="B1478" i="13"/>
  <c r="B1462" i="13"/>
  <c r="B1446" i="13"/>
  <c r="B1430" i="13"/>
  <c r="B1414" i="13"/>
  <c r="B1398" i="13"/>
  <c r="B1382" i="13"/>
  <c r="B1366" i="13"/>
  <c r="B1350" i="13"/>
  <c r="B1335" i="13"/>
  <c r="B1319" i="13"/>
  <c r="B1303" i="13"/>
  <c r="B1287" i="13"/>
  <c r="B1271" i="13"/>
  <c r="B1250" i="13"/>
  <c r="B1947" i="13"/>
  <c r="B1943" i="13"/>
  <c r="B1939" i="13"/>
  <c r="B1935" i="13"/>
  <c r="B1931" i="13"/>
  <c r="B1927" i="13"/>
  <c r="B1923" i="13"/>
  <c r="B1919" i="13"/>
  <c r="B1915" i="13"/>
  <c r="B1911" i="13"/>
  <c r="B1907" i="13"/>
  <c r="B1903" i="13"/>
  <c r="B1899" i="13"/>
  <c r="B1895" i="13"/>
  <c r="B1891" i="13"/>
  <c r="B1887" i="13"/>
  <c r="B1883" i="13"/>
  <c r="B1879" i="13"/>
  <c r="B1875" i="13"/>
  <c r="B1871" i="13"/>
  <c r="B1867" i="13"/>
  <c r="B1863" i="13"/>
  <c r="B1859" i="13"/>
  <c r="B1855" i="13"/>
  <c r="B1851" i="13"/>
  <c r="B1847" i="13"/>
  <c r="B1843" i="13"/>
  <c r="B1839" i="13"/>
  <c r="B1835" i="13"/>
  <c r="B1831" i="13"/>
  <c r="B1827" i="13"/>
  <c r="B1823" i="13"/>
  <c r="B1819" i="13"/>
  <c r="B1815" i="13"/>
  <c r="B1811" i="13"/>
  <c r="B1807" i="13"/>
  <c r="B1803" i="13"/>
  <c r="B1799" i="13"/>
  <c r="B1795" i="13"/>
  <c r="B1791" i="13"/>
  <c r="B1787" i="13"/>
  <c r="B1783" i="13"/>
  <c r="B1779" i="13"/>
  <c r="B1775" i="13"/>
  <c r="B1771" i="13"/>
  <c r="B1767" i="13"/>
  <c r="B1763" i="13"/>
  <c r="B1759" i="13"/>
  <c r="B1755" i="13"/>
  <c r="B1751" i="13"/>
  <c r="B1747" i="13"/>
  <c r="B1743" i="13"/>
  <c r="B1739" i="13"/>
  <c r="B1735" i="13"/>
  <c r="B1731" i="13"/>
  <c r="B1727" i="13"/>
  <c r="B1723" i="13"/>
  <c r="B1719" i="13"/>
  <c r="B1715" i="13"/>
  <c r="B1711" i="13"/>
  <c r="B1707" i="13"/>
  <c r="B1703" i="13"/>
  <c r="B1699" i="13"/>
  <c r="B1695" i="13"/>
  <c r="B1691" i="13"/>
  <c r="B1687" i="13"/>
  <c r="B1683" i="13"/>
  <c r="B1679" i="13"/>
  <c r="B1675" i="13"/>
  <c r="B1671" i="13"/>
  <c r="B1667" i="13"/>
  <c r="B1663" i="13"/>
  <c r="B1659" i="13"/>
  <c r="B1655" i="13"/>
  <c r="B1651" i="13"/>
  <c r="B1647" i="13"/>
  <c r="B1643" i="13"/>
  <c r="B1639" i="13"/>
  <c r="B1635" i="13"/>
  <c r="B1631" i="13"/>
  <c r="B1627" i="13"/>
  <c r="B1623" i="13"/>
  <c r="B1619" i="13"/>
  <c r="B1615" i="13"/>
  <c r="B1611" i="13"/>
  <c r="B1607" i="13"/>
  <c r="B1603" i="13"/>
  <c r="B1599" i="13"/>
  <c r="B1595" i="13"/>
  <c r="B1591" i="13"/>
  <c r="B1587" i="13"/>
  <c r="B1582" i="13"/>
  <c r="B1577" i="13"/>
  <c r="B1571" i="13"/>
  <c r="B1566" i="13"/>
  <c r="B1561" i="13"/>
  <c r="B1555" i="13"/>
  <c r="B1550" i="13"/>
  <c r="B1545" i="13"/>
  <c r="B1539" i="13"/>
  <c r="B1534" i="13"/>
  <c r="B1529" i="13"/>
  <c r="B1523" i="13"/>
  <c r="B1519" i="13"/>
  <c r="B1506" i="13"/>
  <c r="B1490" i="13"/>
  <c r="B1474" i="13"/>
  <c r="B1458" i="13"/>
  <c r="B1442" i="13"/>
  <c r="B1426" i="13"/>
  <c r="B1410" i="13"/>
  <c r="B1394" i="13"/>
  <c r="B1378" i="13"/>
  <c r="B1362" i="13"/>
  <c r="B1346" i="13"/>
  <c r="B1331" i="13"/>
  <c r="B1315" i="13"/>
  <c r="B1299" i="13"/>
  <c r="B1283" i="13"/>
  <c r="B1266" i="13"/>
  <c r="B1242" i="13"/>
  <c r="B1584" i="13"/>
  <c r="B1580" i="13"/>
  <c r="B1576" i="13"/>
  <c r="B1572" i="13"/>
  <c r="B1568" i="13"/>
  <c r="B1564" i="13"/>
  <c r="B1560" i="13"/>
  <c r="B1556" i="13"/>
  <c r="B1552" i="13"/>
  <c r="B1548" i="13"/>
  <c r="B1544" i="13"/>
  <c r="B1540" i="13"/>
  <c r="B1536" i="13"/>
  <c r="B1532" i="13"/>
  <c r="B1528" i="13"/>
  <c r="B1524" i="13"/>
  <c r="B1517" i="13"/>
  <c r="B1513" i="13"/>
  <c r="B1509" i="13"/>
  <c r="B1505" i="13"/>
  <c r="B1501" i="13"/>
  <c r="B1497" i="13"/>
  <c r="B1493" i="13"/>
  <c r="B1489" i="13"/>
  <c r="B1485" i="13"/>
  <c r="B1481" i="13"/>
  <c r="B1477" i="13"/>
  <c r="B1473" i="13"/>
  <c r="B1469" i="13"/>
  <c r="B1465" i="13"/>
  <c r="B1461" i="13"/>
  <c r="B1457" i="13"/>
  <c r="B1453" i="13"/>
  <c r="B1449" i="13"/>
  <c r="B1445" i="13"/>
  <c r="B1441" i="13"/>
  <c r="B1437" i="13"/>
  <c r="B1433" i="13"/>
  <c r="B1429" i="13"/>
  <c r="B1425" i="13"/>
  <c r="B1421" i="13"/>
  <c r="B1417" i="13"/>
  <c r="B1413" i="13"/>
  <c r="B1409" i="13"/>
  <c r="B1405" i="13"/>
  <c r="B1401" i="13"/>
  <c r="B1397" i="13"/>
  <c r="B1393" i="13"/>
  <c r="B1389" i="13"/>
  <c r="B1385" i="13"/>
  <c r="B1381" i="13"/>
  <c r="B1377" i="13"/>
  <c r="B1373" i="13"/>
  <c r="B1369" i="13"/>
  <c r="B1365" i="13"/>
  <c r="B1361" i="13"/>
  <c r="B1357" i="13"/>
  <c r="B1353" i="13"/>
  <c r="B1349" i="13"/>
  <c r="B1345" i="13"/>
  <c r="B1342" i="13"/>
  <c r="B1338" i="13"/>
  <c r="B1334" i="13"/>
  <c r="B1330" i="13"/>
  <c r="B1326" i="13"/>
  <c r="B1322" i="13"/>
  <c r="B1318" i="13"/>
  <c r="B1314" i="13"/>
  <c r="B1310" i="13"/>
  <c r="B1306" i="13"/>
  <c r="B1302" i="13"/>
  <c r="B1298" i="13"/>
  <c r="B1294" i="13"/>
  <c r="B1290" i="13"/>
  <c r="B1286" i="13"/>
  <c r="B1282" i="13"/>
  <c r="B1278" i="13"/>
  <c r="B1274" i="13"/>
  <c r="B1270" i="13"/>
  <c r="B1265" i="13"/>
  <c r="B1260" i="13"/>
  <c r="B1254" i="13"/>
  <c r="B1249" i="13"/>
  <c r="B1238" i="13"/>
  <c r="B1516" i="13"/>
  <c r="B1512" i="13"/>
  <c r="B1508" i="13"/>
  <c r="B1504" i="13"/>
  <c r="B1500" i="13"/>
  <c r="B1496" i="13"/>
  <c r="B1492" i="13"/>
  <c r="B1488" i="13"/>
  <c r="B1484" i="13"/>
  <c r="B1480" i="13"/>
  <c r="B1476" i="13"/>
  <c r="B1472" i="13"/>
  <c r="B1468" i="13"/>
  <c r="B1464" i="13"/>
  <c r="B1460" i="13"/>
  <c r="B1456" i="13"/>
  <c r="B1452" i="13"/>
  <c r="B1448" i="13"/>
  <c r="B1444" i="13"/>
  <c r="B1440" i="13"/>
  <c r="B1436" i="13"/>
  <c r="B1432" i="13"/>
  <c r="B1428" i="13"/>
  <c r="B1424" i="13"/>
  <c r="B1420" i="13"/>
  <c r="B1416" i="13"/>
  <c r="B1412" i="13"/>
  <c r="B1408" i="13"/>
  <c r="B1404" i="13"/>
  <c r="B1400" i="13"/>
  <c r="B1396" i="13"/>
  <c r="B1392" i="13"/>
  <c r="B1388" i="13"/>
  <c r="B1384" i="13"/>
  <c r="B1380" i="13"/>
  <c r="B1376" i="13"/>
  <c r="B1372" i="13"/>
  <c r="B1368" i="13"/>
  <c r="B1364" i="13"/>
  <c r="B1360" i="13"/>
  <c r="B1356" i="13"/>
  <c r="B1352" i="13"/>
  <c r="B1348" i="13"/>
  <c r="B1344" i="13"/>
  <c r="B1341" i="13"/>
  <c r="B1337" i="13"/>
  <c r="B1333" i="13"/>
  <c r="B1329" i="13"/>
  <c r="B1325" i="13"/>
  <c r="B1321" i="13"/>
  <c r="B1317" i="13"/>
  <c r="B1313" i="13"/>
  <c r="B1309" i="13"/>
  <c r="B1305" i="13"/>
  <c r="B1301" i="13"/>
  <c r="B1297" i="13"/>
  <c r="B1293" i="13"/>
  <c r="B1289" i="13"/>
  <c r="B1285" i="13"/>
  <c r="B1281" i="13"/>
  <c r="B1277" i="13"/>
  <c r="B1273" i="13"/>
  <c r="B1269" i="13"/>
  <c r="B1264" i="13"/>
  <c r="B1258" i="13"/>
  <c r="B1253" i="13"/>
  <c r="B1248" i="13"/>
  <c r="B1234" i="13"/>
  <c r="B1515" i="13"/>
  <c r="B1511" i="13"/>
  <c r="B1507" i="13"/>
  <c r="B1503" i="13"/>
  <c r="B1499" i="13"/>
  <c r="B1495" i="13"/>
  <c r="B1491" i="13"/>
  <c r="B1487" i="13"/>
  <c r="B1483" i="13"/>
  <c r="B1479" i="13"/>
  <c r="B1475" i="13"/>
  <c r="B1471" i="13"/>
  <c r="B1467" i="13"/>
  <c r="B1463" i="13"/>
  <c r="B1459" i="13"/>
  <c r="B1455" i="13"/>
  <c r="B1451" i="13"/>
  <c r="B1447" i="13"/>
  <c r="B1443" i="13"/>
  <c r="B1439" i="13"/>
  <c r="B1435" i="13"/>
  <c r="B1431" i="13"/>
  <c r="B1427" i="13"/>
  <c r="B1423" i="13"/>
  <c r="B1419" i="13"/>
  <c r="B1415" i="13"/>
  <c r="B1411" i="13"/>
  <c r="B1407" i="13"/>
  <c r="B1403" i="13"/>
  <c r="B1399" i="13"/>
  <c r="B1395" i="13"/>
  <c r="B1391" i="13"/>
  <c r="B1387" i="13"/>
  <c r="B1383" i="13"/>
  <c r="B1379" i="13"/>
  <c r="B1375" i="13"/>
  <c r="B1371" i="13"/>
  <c r="B1367" i="13"/>
  <c r="B1363" i="13"/>
  <c r="B1359" i="13"/>
  <c r="B1355" i="13"/>
  <c r="B1351" i="13"/>
  <c r="B1347" i="13"/>
  <c r="B1343" i="13"/>
  <c r="B1340" i="13"/>
  <c r="B1336" i="13"/>
  <c r="B1332" i="13"/>
  <c r="B1328" i="13"/>
  <c r="B1324" i="13"/>
  <c r="B1320" i="13"/>
  <c r="B1316" i="13"/>
  <c r="B1312" i="13"/>
  <c r="B1308" i="13"/>
  <c r="B1304" i="13"/>
  <c r="B1300" i="13"/>
  <c r="B1296" i="13"/>
  <c r="B1292" i="13"/>
  <c r="B1288" i="13"/>
  <c r="B1284" i="13"/>
  <c r="B1280" i="13"/>
  <c r="B1276" i="13"/>
  <c r="B1272" i="13"/>
  <c r="B1268" i="13"/>
  <c r="B1262" i="13"/>
  <c r="B1257" i="13"/>
  <c r="B1252" i="13"/>
  <c r="B1246" i="13"/>
  <c r="B1230" i="13"/>
  <c r="B1222" i="13"/>
  <c r="B1218" i="13"/>
  <c r="B1214" i="13"/>
  <c r="B1210" i="13"/>
  <c r="B1206" i="13"/>
  <c r="B1202" i="13"/>
  <c r="B1198" i="13"/>
  <c r="B1194" i="13"/>
  <c r="B1190" i="13"/>
  <c r="B1186" i="13"/>
  <c r="B1182" i="13"/>
  <c r="B1178" i="13"/>
  <c r="B1174" i="13"/>
  <c r="B1170" i="13"/>
  <c r="B1166" i="13"/>
  <c r="B1162" i="13"/>
  <c r="B1158" i="13"/>
  <c r="B1154" i="13"/>
  <c r="B1150" i="13"/>
  <c r="B1146" i="13"/>
  <c r="B1142" i="13"/>
  <c r="B1138" i="13"/>
  <c r="B1134" i="13"/>
  <c r="B1130" i="13"/>
  <c r="B1126" i="13"/>
  <c r="B1122" i="13"/>
  <c r="B1118" i="13"/>
  <c r="B1114" i="13"/>
  <c r="B1110" i="13"/>
  <c r="B1106" i="13"/>
  <c r="B1102" i="13"/>
  <c r="B1098" i="13"/>
  <c r="B1094" i="13"/>
  <c r="B1090" i="13"/>
  <c r="B1086" i="13"/>
  <c r="B1082" i="13"/>
  <c r="B1078" i="13"/>
  <c r="B1074" i="13"/>
  <c r="B1070" i="13"/>
  <c r="B1066" i="13"/>
  <c r="B1062" i="13"/>
  <c r="B1058" i="13"/>
  <c r="B1054" i="13"/>
  <c r="B1050" i="13"/>
  <c r="B1046" i="13"/>
  <c r="B1042" i="13"/>
  <c r="B1038" i="13"/>
  <c r="B1034" i="13"/>
  <c r="B1030" i="13"/>
  <c r="B1026" i="13"/>
  <c r="B1022" i="13"/>
  <c r="B1018" i="13"/>
  <c r="B1014" i="13"/>
  <c r="B1010" i="13"/>
  <c r="B1006" i="13"/>
  <c r="B1002" i="13"/>
  <c r="B998" i="13"/>
  <c r="B994" i="13"/>
  <c r="B990" i="13"/>
  <c r="B986" i="13"/>
  <c r="B982" i="13"/>
  <c r="B978" i="13"/>
  <c r="B974" i="13"/>
  <c r="B970" i="13"/>
  <c r="B966" i="13"/>
  <c r="B962" i="13"/>
  <c r="B958" i="13"/>
  <c r="B954" i="13"/>
  <c r="B950" i="13"/>
  <c r="B946" i="13"/>
  <c r="B942" i="13"/>
  <c r="B938" i="13"/>
  <c r="B934" i="13"/>
  <c r="B1245" i="13"/>
  <c r="B1241" i="13"/>
  <c r="B1237" i="13"/>
  <c r="B1233" i="13"/>
  <c r="B1229" i="13"/>
  <c r="B1225" i="13"/>
  <c r="B1221" i="13"/>
  <c r="B1217" i="13"/>
  <c r="B1213" i="13"/>
  <c r="B1209" i="13"/>
  <c r="B1205" i="13"/>
  <c r="B1201" i="13"/>
  <c r="B1197" i="13"/>
  <c r="B1193" i="13"/>
  <c r="B1189" i="13"/>
  <c r="B1185" i="13"/>
  <c r="B1181" i="13"/>
  <c r="B1177" i="13"/>
  <c r="B1173" i="13"/>
  <c r="B1169" i="13"/>
  <c r="B1165" i="13"/>
  <c r="B1161" i="13"/>
  <c r="B1157" i="13"/>
  <c r="B1153" i="13"/>
  <c r="B1149" i="13"/>
  <c r="B1145" i="13"/>
  <c r="B1141" i="13"/>
  <c r="B1137" i="13"/>
  <c r="B1133" i="13"/>
  <c r="B1129" i="13"/>
  <c r="B1125" i="13"/>
  <c r="B1121" i="13"/>
  <c r="B1117" i="13"/>
  <c r="B1113" i="13"/>
  <c r="B1109" i="13"/>
  <c r="B1105" i="13"/>
  <c r="B1101" i="13"/>
  <c r="B1097" i="13"/>
  <c r="B1093" i="13"/>
  <c r="B1089" i="13"/>
  <c r="B1085" i="13"/>
  <c r="B1081" i="13"/>
  <c r="B1077" i="13"/>
  <c r="B1073" i="13"/>
  <c r="B1069" i="13"/>
  <c r="B1065" i="13"/>
  <c r="B1061" i="13"/>
  <c r="B1057" i="13"/>
  <c r="B1053" i="13"/>
  <c r="B1049" i="13"/>
  <c r="B1045" i="13"/>
  <c r="B1041" i="13"/>
  <c r="B1037" i="13"/>
  <c r="B1033" i="13"/>
  <c r="B1029" i="13"/>
  <c r="B1025" i="13"/>
  <c r="B1021" i="13"/>
  <c r="B1017" i="13"/>
  <c r="B1013" i="13"/>
  <c r="B1009" i="13"/>
  <c r="B1005" i="13"/>
  <c r="B1001" i="13"/>
  <c r="B997" i="13"/>
  <c r="B993" i="13"/>
  <c r="B989" i="13"/>
  <c r="B985" i="13"/>
  <c r="B981" i="13"/>
  <c r="B977" i="13"/>
  <c r="B973" i="13"/>
  <c r="B969" i="13"/>
  <c r="B965" i="13"/>
  <c r="B961" i="13"/>
  <c r="B957" i="13"/>
  <c r="B953" i="13"/>
  <c r="B949" i="13"/>
  <c r="B945" i="13"/>
  <c r="B941" i="13"/>
  <c r="B937" i="13"/>
  <c r="B933" i="13"/>
  <c r="B1244" i="13"/>
  <c r="B1240" i="13"/>
  <c r="B1236" i="13"/>
  <c r="B1232" i="13"/>
  <c r="B1228" i="13"/>
  <c r="B1224" i="13"/>
  <c r="B1220" i="13"/>
  <c r="B1216" i="13"/>
  <c r="B1212" i="13"/>
  <c r="B1208" i="13"/>
  <c r="B1204" i="13"/>
  <c r="B1200" i="13"/>
  <c r="B1196" i="13"/>
  <c r="B1192" i="13"/>
  <c r="B1188" i="13"/>
  <c r="B1184" i="13"/>
  <c r="B1180" i="13"/>
  <c r="B1176" i="13"/>
  <c r="B1172" i="13"/>
  <c r="B1168" i="13"/>
  <c r="B1164" i="13"/>
  <c r="B1160" i="13"/>
  <c r="B1156" i="13"/>
  <c r="B1152" i="13"/>
  <c r="B1148" i="13"/>
  <c r="B1144" i="13"/>
  <c r="B1140" i="13"/>
  <c r="B1136" i="13"/>
  <c r="B1132" i="13"/>
  <c r="B1128" i="13"/>
  <c r="B1124" i="13"/>
  <c r="B1120" i="13"/>
  <c r="B1116" i="13"/>
  <c r="B1112" i="13"/>
  <c r="B1108" i="13"/>
  <c r="B1104" i="13"/>
  <c r="B1100" i="13"/>
  <c r="B1096" i="13"/>
  <c r="B1092" i="13"/>
  <c r="B1088" i="13"/>
  <c r="B1084" i="13"/>
  <c r="B1080" i="13"/>
  <c r="B1076" i="13"/>
  <c r="B1072" i="13"/>
  <c r="B1068" i="13"/>
  <c r="B1064" i="13"/>
  <c r="B1060" i="13"/>
  <c r="B1056" i="13"/>
  <c r="B1052" i="13"/>
  <c r="B1048" i="13"/>
  <c r="B1044" i="13"/>
  <c r="B1040" i="13"/>
  <c r="B1036" i="13"/>
  <c r="B1032" i="13"/>
  <c r="B1028" i="13"/>
  <c r="B1024" i="13"/>
  <c r="B1020" i="13"/>
  <c r="B1016" i="13"/>
  <c r="B1012" i="13"/>
  <c r="B1008" i="13"/>
  <c r="B1004" i="13"/>
  <c r="B1000" i="13"/>
  <c r="B996" i="13"/>
  <c r="B992" i="13"/>
  <c r="B988" i="13"/>
  <c r="B984" i="13"/>
  <c r="B980" i="13"/>
  <c r="B976" i="13"/>
  <c r="B972" i="13"/>
  <c r="B968" i="13"/>
  <c r="B964" i="13"/>
  <c r="B960" i="13"/>
  <c r="B956" i="13"/>
  <c r="B952" i="13"/>
  <c r="B948" i="13"/>
  <c r="B944" i="13"/>
  <c r="B940" i="13"/>
  <c r="B936" i="13"/>
  <c r="B932" i="13"/>
  <c r="F19" i="13"/>
  <c r="B1267" i="13"/>
  <c r="B1263" i="13"/>
  <c r="B1259" i="13"/>
  <c r="B1255" i="13"/>
  <c r="B1251" i="13"/>
  <c r="B1247" i="13"/>
  <c r="B1243" i="13"/>
  <c r="B1239" i="13"/>
  <c r="B1235" i="13"/>
  <c r="B1231" i="13"/>
  <c r="B1227" i="13"/>
  <c r="B1223" i="13"/>
  <c r="B1219" i="13"/>
  <c r="B1215" i="13"/>
  <c r="B1211" i="13"/>
  <c r="B1207" i="13"/>
  <c r="B1203" i="13"/>
  <c r="B1199" i="13"/>
  <c r="B1195" i="13"/>
  <c r="B1191" i="13"/>
  <c r="B1187" i="13"/>
  <c r="B1183" i="13"/>
  <c r="B1179" i="13"/>
  <c r="B1175" i="13"/>
  <c r="B1171" i="13"/>
  <c r="B1167" i="13"/>
  <c r="B1163" i="13"/>
  <c r="B1159" i="13"/>
  <c r="B1155" i="13"/>
  <c r="B1151" i="13"/>
  <c r="B1147" i="13"/>
  <c r="B1143" i="13"/>
  <c r="B1139" i="13"/>
  <c r="B1135" i="13"/>
  <c r="B1131" i="13"/>
  <c r="B1127" i="13"/>
  <c r="B1123" i="13"/>
  <c r="B1119" i="13"/>
  <c r="B1115" i="13"/>
  <c r="B1111" i="13"/>
  <c r="B1107" i="13"/>
  <c r="B1103" i="13"/>
  <c r="B1099" i="13"/>
  <c r="B1095" i="13"/>
  <c r="B1091" i="13"/>
  <c r="B1087" i="13"/>
  <c r="B1083" i="13"/>
  <c r="B1079" i="13"/>
  <c r="B1075" i="13"/>
  <c r="B1071" i="13"/>
  <c r="B1067" i="13"/>
  <c r="B1063" i="13"/>
  <c r="B1059" i="13"/>
  <c r="B1055" i="13"/>
  <c r="B1051" i="13"/>
  <c r="B1047" i="13"/>
  <c r="B1043" i="13"/>
  <c r="B1039" i="13"/>
  <c r="B1035" i="13"/>
  <c r="B1031" i="13"/>
  <c r="B1027" i="13"/>
  <c r="B1023" i="13"/>
  <c r="B1019" i="13"/>
  <c r="B1015" i="13"/>
  <c r="B1011" i="13"/>
  <c r="B1007" i="13"/>
  <c r="B1003" i="13"/>
  <c r="B999" i="13"/>
  <c r="B995" i="13"/>
  <c r="B991" i="13"/>
  <c r="B987" i="13"/>
  <c r="B983" i="13"/>
  <c r="B979" i="13"/>
  <c r="B975" i="13"/>
  <c r="B971" i="13"/>
  <c r="B967" i="13"/>
  <c r="B963" i="13"/>
  <c r="B959" i="13"/>
  <c r="B955" i="13"/>
  <c r="B951" i="13"/>
  <c r="B947" i="13"/>
  <c r="B943" i="13"/>
  <c r="B939" i="13"/>
  <c r="B935" i="13"/>
  <c r="B931" i="13"/>
</calcChain>
</file>

<file path=xl/sharedStrings.xml><?xml version="1.0" encoding="utf-8"?>
<sst xmlns="http://schemas.openxmlformats.org/spreadsheetml/2006/main" count="15739" uniqueCount="248">
  <si>
    <t>CATEGORIA</t>
  </si>
  <si>
    <t>QUANTIA</t>
  </si>
  <si>
    <t>DESCRIÇÃO</t>
  </si>
  <si>
    <t>PC</t>
  </si>
  <si>
    <t>FORNECEDOR</t>
  </si>
  <si>
    <t>PEPSICO</t>
  </si>
  <si>
    <t>NSG</t>
  </si>
  <si>
    <t>DOCE</t>
  </si>
  <si>
    <t>BALA</t>
  </si>
  <si>
    <t>IMPOSTO</t>
  </si>
  <si>
    <t>BRF</t>
  </si>
  <si>
    <t>ASA</t>
  </si>
  <si>
    <t>FRIOS</t>
  </si>
  <si>
    <t>RIVELLI</t>
  </si>
  <si>
    <t>COCA-COLA</t>
  </si>
  <si>
    <t>BEBIDAS</t>
  </si>
  <si>
    <t>AURORA</t>
  </si>
  <si>
    <t>RECEITA</t>
  </si>
  <si>
    <t>BISCOITO</t>
  </si>
  <si>
    <t>CHUA</t>
  </si>
  <si>
    <t>FARTURA</t>
  </si>
  <si>
    <t>NESTLE</t>
  </si>
  <si>
    <t>TEMPERO</t>
  </si>
  <si>
    <t>CHOCOLATE</t>
  </si>
  <si>
    <t>PIF-PAF</t>
  </si>
  <si>
    <t>REFRIGERANTE</t>
  </si>
  <si>
    <t>CERVEJA</t>
  </si>
  <si>
    <t>CIACARNE</t>
  </si>
  <si>
    <t>TARUMA</t>
  </si>
  <si>
    <t>GRAO</t>
  </si>
  <si>
    <t>DVL</t>
  </si>
  <si>
    <t>SOBREMESA</t>
  </si>
  <si>
    <t>COMIDA</t>
  </si>
  <si>
    <t>CONGELADA</t>
  </si>
  <si>
    <t>MASSA</t>
  </si>
  <si>
    <t>ÉPOCA</t>
  </si>
  <si>
    <t>HIGIENE</t>
  </si>
  <si>
    <t>OUTROS</t>
  </si>
  <si>
    <t>ENLATADA</t>
  </si>
  <si>
    <t>VINHO</t>
  </si>
  <si>
    <t>G.PETROPOLIS</t>
  </si>
  <si>
    <t>ENERGETICO</t>
  </si>
  <si>
    <t>AMERICANA</t>
  </si>
  <si>
    <t>LIMPEZA</t>
  </si>
  <si>
    <t>JUNHO</t>
  </si>
  <si>
    <t>VILA NOVA</t>
  </si>
  <si>
    <t>SUCO</t>
  </si>
  <si>
    <t>CHICLETE</t>
  </si>
  <si>
    <t>PINGA</t>
  </si>
  <si>
    <t>SOUZA CRUZ</t>
  </si>
  <si>
    <t>CIGARRO</t>
  </si>
  <si>
    <t>AGUA</t>
  </si>
  <si>
    <t>NACIONAL</t>
  </si>
  <si>
    <t>PARAGUAI</t>
  </si>
  <si>
    <t>DI</t>
  </si>
  <si>
    <t>FUMO</t>
  </si>
  <si>
    <t>SALARIO</t>
  </si>
  <si>
    <t>PALHA</t>
  </si>
  <si>
    <t>CARVAO</t>
  </si>
  <si>
    <t>CHEQUE</t>
  </si>
  <si>
    <t>CONTADOR</t>
  </si>
  <si>
    <t>CATUABA</t>
  </si>
  <si>
    <t>TROCO</t>
  </si>
  <si>
    <t>TAXA MAQ CARTAO</t>
  </si>
  <si>
    <t>CRED. TELEFONE</t>
  </si>
  <si>
    <t>MAQ. CARTAO</t>
  </si>
  <si>
    <t>CPV</t>
  </si>
  <si>
    <t>DESPESA PESSOAL</t>
  </si>
  <si>
    <t>SÓCIO</t>
  </si>
  <si>
    <t>DESPESA OPERACIONAL</t>
  </si>
  <si>
    <t>EMBALAGEM</t>
  </si>
  <si>
    <t>EMPRESTIMO</t>
  </si>
  <si>
    <t>RECEITAS NÃO OPERACIONAIS</t>
  </si>
  <si>
    <t>VENDA CRED. TELEFONE</t>
  </si>
  <si>
    <t>JULHO</t>
  </si>
  <si>
    <t>SORVETE</t>
  </si>
  <si>
    <t>SERVIÇO GERAL</t>
  </si>
  <si>
    <t>ATACADAO</t>
  </si>
  <si>
    <t>PHILIP MORRIS</t>
  </si>
  <si>
    <t>ALIMENTAÇÃO</t>
  </si>
  <si>
    <t>CHÁ</t>
  </si>
  <si>
    <t>VODKA</t>
  </si>
  <si>
    <t>IMPORTADO</t>
  </si>
  <si>
    <t>BONIFICAÇÃO</t>
  </si>
  <si>
    <t>AGOSTO</t>
  </si>
  <si>
    <t>JURUBEBA</t>
  </si>
  <si>
    <t>MILI</t>
  </si>
  <si>
    <t>ICMS</t>
  </si>
  <si>
    <t>SIMPLES</t>
  </si>
  <si>
    <t>BAHAMAS</t>
  </si>
  <si>
    <t>MULTA</t>
  </si>
  <si>
    <t>CEMIG</t>
  </si>
  <si>
    <t>LEITE</t>
  </si>
  <si>
    <t>COMBUSTIVEL</t>
  </si>
  <si>
    <t>SETEMBRO</t>
  </si>
  <si>
    <t>3 CORAÇÕES</t>
  </si>
  <si>
    <t>PACALUZ</t>
  </si>
  <si>
    <t>ARCOM</t>
  </si>
  <si>
    <t>OUTUBRO</t>
  </si>
  <si>
    <t>PERDA</t>
  </si>
  <si>
    <t>MB DISTRIBUIDORA</t>
  </si>
  <si>
    <t>SANTA AMALIA</t>
  </si>
  <si>
    <t>NOVEMBRO</t>
  </si>
  <si>
    <t>JUROS DE APLICAÇÕES</t>
  </si>
  <si>
    <t>CESAMA</t>
  </si>
  <si>
    <t>DRE</t>
  </si>
  <si>
    <t>DEZEMBRO</t>
  </si>
  <si>
    <t>DIRF</t>
  </si>
  <si>
    <t>DESCONTO DE FATURAMENTO</t>
  </si>
  <si>
    <t>JANEIRO</t>
  </si>
  <si>
    <t>FEVEREIRO</t>
  </si>
  <si>
    <t>MARÇO</t>
  </si>
  <si>
    <t>ABRIL</t>
  </si>
  <si>
    <t>MAIO</t>
  </si>
  <si>
    <t>13˚</t>
  </si>
  <si>
    <t>FGTS</t>
  </si>
  <si>
    <t>DESPESA FINANCEIRA</t>
  </si>
  <si>
    <t>MÊS</t>
  </si>
  <si>
    <t>Versão: 0.7 - 12/01/2020</t>
  </si>
  <si>
    <t>FÉRIAS</t>
  </si>
  <si>
    <t>M. DIAS BRANCO</t>
  </si>
  <si>
    <t>MKT</t>
  </si>
  <si>
    <t>INTERNET</t>
  </si>
  <si>
    <t>SISTEMA</t>
  </si>
  <si>
    <t>PRÓ - LABORE</t>
  </si>
  <si>
    <t>TARIFA BANCO</t>
  </si>
  <si>
    <t>ENTRADA</t>
  </si>
  <si>
    <t>SAIDA</t>
  </si>
  <si>
    <t>CARTUCHO</t>
  </si>
  <si>
    <t>S/N</t>
  </si>
  <si>
    <t>INVESTIMENTO</t>
  </si>
  <si>
    <t>ARTIGO PARA FUMO</t>
  </si>
  <si>
    <t>DIVERSAS</t>
  </si>
  <si>
    <t>MATERIAL ESCOLAR</t>
  </si>
  <si>
    <t>DIA DIA</t>
  </si>
  <si>
    <t>DEPRESIAÇÃO / AMORTIZAÇÃO</t>
  </si>
  <si>
    <t>CARTAO DÉBITO</t>
  </si>
  <si>
    <t>CARTAO CREDITO</t>
  </si>
  <si>
    <t>SERV. PUBLICOS</t>
  </si>
  <si>
    <t>SERV.TERCEIROS</t>
  </si>
  <si>
    <t>OUTROS DESCONTOS</t>
  </si>
  <si>
    <t>LINGUIÇA</t>
  </si>
  <si>
    <t>DESODORANTE</t>
  </si>
  <si>
    <t>ISQUEIRO</t>
  </si>
  <si>
    <t>CAFÉ</t>
  </si>
  <si>
    <t>PAO</t>
  </si>
  <si>
    <t>LEGUME</t>
  </si>
  <si>
    <t>MANUTENÇÃO MÁQUINAS</t>
  </si>
  <si>
    <t>FREEZER</t>
  </si>
  <si>
    <t>CHIP</t>
  </si>
  <si>
    <t>ROSE</t>
  </si>
  <si>
    <t>QUEIJO</t>
  </si>
  <si>
    <t>TORRESMO</t>
  </si>
  <si>
    <t>s/N</t>
  </si>
  <si>
    <t>PEIXE</t>
  </si>
  <si>
    <t>OVOS</t>
  </si>
  <si>
    <t>JF DISTRIBUIDORA</t>
  </si>
  <si>
    <t>INSS</t>
  </si>
  <si>
    <t>DARF</t>
  </si>
  <si>
    <t>CHUÁ</t>
  </si>
  <si>
    <t>COMERCIAL DE ALIMENTOS</t>
  </si>
  <si>
    <t>JF DA SORTE</t>
  </si>
  <si>
    <t>até o dia 23</t>
  </si>
  <si>
    <t>ALIANÇA</t>
  </si>
  <si>
    <t>DLS</t>
  </si>
  <si>
    <t>CONGEBRAS</t>
  </si>
  <si>
    <t>DOMITH</t>
  </si>
  <si>
    <t>MUSSARELA</t>
  </si>
  <si>
    <t>LANCEI ATE DIA 13</t>
  </si>
  <si>
    <t>DIAS BRANCO</t>
  </si>
  <si>
    <t>LANCEI ATE DIA 20</t>
  </si>
  <si>
    <t>SPLET</t>
  </si>
  <si>
    <t>MEL</t>
  </si>
  <si>
    <t>J</t>
  </si>
  <si>
    <t>LANCEI ATE DIA 06</t>
  </si>
  <si>
    <t>REFRIGERANTES JUIZ DE FORA</t>
  </si>
  <si>
    <t>ACHOCOLATADO</t>
  </si>
  <si>
    <t>LANCEI ATE DIA 10</t>
  </si>
  <si>
    <t>LANÇAMENTOS ATÉ DIA 20</t>
  </si>
  <si>
    <t>M.DIAS BRANCO</t>
  </si>
  <si>
    <t>TRIGO VITA</t>
  </si>
  <si>
    <t>REQUEIJAO</t>
  </si>
  <si>
    <t>di</t>
  </si>
  <si>
    <t>GELO</t>
  </si>
  <si>
    <t>PAO DE  ALHO</t>
  </si>
  <si>
    <t>ARMARINHO DOMITH</t>
  </si>
  <si>
    <t>35,03+22,05</t>
  </si>
  <si>
    <t>EXTINTOR</t>
  </si>
  <si>
    <t>MANTEIGA</t>
  </si>
  <si>
    <t>cemig</t>
  </si>
  <si>
    <t>cesama</t>
  </si>
  <si>
    <t>VEGUSTA</t>
  </si>
  <si>
    <t>CERTIFICADO</t>
  </si>
  <si>
    <t>GELADEIRA</t>
  </si>
  <si>
    <t>PRATELEIRAS</t>
  </si>
  <si>
    <t>ADVOGADO</t>
  </si>
  <si>
    <t>JONNY</t>
  </si>
  <si>
    <t>COCA</t>
  </si>
  <si>
    <t>FIOTE</t>
  </si>
  <si>
    <t>REMEDIO</t>
  </si>
  <si>
    <t>FGRAO</t>
  </si>
  <si>
    <t>HD</t>
  </si>
  <si>
    <t>RECICLAVEIS</t>
  </si>
  <si>
    <t>JONHY</t>
  </si>
  <si>
    <t>FRETES</t>
  </si>
  <si>
    <t>AQUISIÇÃO DE MOVEIS E UTENSILIOS</t>
  </si>
  <si>
    <t>MULTMIX</t>
  </si>
  <si>
    <t>T.G COMERCIO</t>
  </si>
  <si>
    <t>PACA LUZ</t>
  </si>
  <si>
    <t>M DIAS BRANCO</t>
  </si>
  <si>
    <t>FRETE</t>
  </si>
  <si>
    <t>TROPICAL</t>
  </si>
  <si>
    <t>SEARA</t>
  </si>
  <si>
    <t>GARRAFA PET</t>
  </si>
  <si>
    <t>maderite</t>
  </si>
  <si>
    <t>sócio</t>
  </si>
  <si>
    <t>RECICLAVEL</t>
  </si>
  <si>
    <t>ALMAIS</t>
  </si>
  <si>
    <t>GARRAFA LITRÃO</t>
  </si>
  <si>
    <t>MEI JONNHY</t>
  </si>
  <si>
    <t>VENTILADOR</t>
  </si>
  <si>
    <t>CAUCAO  E GARANTIA GARRAFA CC2L</t>
  </si>
  <si>
    <t>ENFEITES NATAL</t>
  </si>
  <si>
    <t>Consultor: Adriane</t>
  </si>
  <si>
    <t>Formulário: PR.002</t>
  </si>
  <si>
    <t>Ano</t>
  </si>
  <si>
    <t>COCA - COLA</t>
  </si>
  <si>
    <t>EPOCA</t>
  </si>
  <si>
    <t>ITA</t>
  </si>
  <si>
    <t>CAMIL</t>
  </si>
  <si>
    <t>MARTINS</t>
  </si>
  <si>
    <t>VALE TRANSPORTE</t>
  </si>
  <si>
    <t>PIX</t>
  </si>
  <si>
    <t>GENIAL</t>
  </si>
  <si>
    <t>ALIANCA</t>
  </si>
  <si>
    <t>AVANTE</t>
  </si>
  <si>
    <t>COMERCIO DE ALIMENTOS</t>
  </si>
  <si>
    <t>MULTIMIX</t>
  </si>
  <si>
    <t>SOUVENIR</t>
  </si>
  <si>
    <t>G PETROPOLIS</t>
  </si>
  <si>
    <t>CM</t>
  </si>
  <si>
    <t>DELLYS</t>
  </si>
  <si>
    <t>SULMINASPA</t>
  </si>
  <si>
    <t>PLAYVENDER</t>
  </si>
  <si>
    <t>suco</t>
  </si>
  <si>
    <t>SINDICATO</t>
  </si>
  <si>
    <t>ELMA CHIPS</t>
  </si>
  <si>
    <t>UNIFORME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</si>
</sst>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R$&quot;* #,##0.00_);_(&quot;R$&quot;* \(#,##0.00\);_(&quot;R$&quot;* &quot;-&quot;??_);_(@_)"/>
    <numFmt numFmtId="165" formatCode="0.000%"/>
    <numFmt numFmtId="166" formatCode="0.0000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4" tint="-0.499984740745262"/>
      <name val="Calibri"/>
      <family val="2"/>
      <scheme val="minor"/>
    </font>
    <font>
      <sz val="12"/>
      <color rgb="FF1B4A6E"/>
      <name val="Calibri"/>
      <family val="2"/>
      <scheme val="minor"/>
    </font>
    <font>
      <sz val="12"/>
      <color rgb="FF000000"/>
      <name val="Calibri"/>
      <family val="2"/>
    </font>
    <font>
      <sz val="14"/>
      <color rgb="FF1D7CD9"/>
      <name val="Calibri"/>
      <family val="2"/>
      <scheme val="minor"/>
    </font>
    <font>
      <sz val="16"/>
      <color rgb="FFF3F1B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1544D"/>
        <bgColor indexed="64"/>
      </patternFill>
    </fill>
    <fill>
      <patternFill patternType="solid">
        <fgColor rgb="FFF3F1B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2" borderId="0" xfId="1" applyFont="1" applyFill="1"/>
    <xf numFmtId="0" fontId="0" fillId="0" borderId="0" xfId="0" applyAlignment="1">
      <alignment horizontal="left" indent="2"/>
    </xf>
    <xf numFmtId="164" fontId="0" fillId="0" borderId="0" xfId="1" applyFont="1" applyAlignment="1">
      <alignment horizontal="right"/>
    </xf>
    <xf numFmtId="164" fontId="0" fillId="3" borderId="0" xfId="1" applyFont="1" applyFill="1" applyAlignment="1">
      <alignment horizontal="right"/>
    </xf>
    <xf numFmtId="164" fontId="4" fillId="5" borderId="5" xfId="1" applyFont="1" applyFill="1" applyBorder="1" applyAlignment="1">
      <alignment vertical="center"/>
    </xf>
    <xf numFmtId="164" fontId="4" fillId="5" borderId="4" xfId="1" applyFont="1" applyFill="1" applyBorder="1" applyAlignment="1">
      <alignment vertical="center"/>
    </xf>
    <xf numFmtId="164" fontId="4" fillId="5" borderId="3" xfId="1" applyFont="1" applyFill="1" applyBorder="1" applyAlignment="1">
      <alignment vertical="center"/>
    </xf>
    <xf numFmtId="164" fontId="4" fillId="5" borderId="0" xfId="1" applyFont="1" applyFill="1" applyBorder="1" applyAlignment="1">
      <alignment vertical="center"/>
    </xf>
    <xf numFmtId="164" fontId="4" fillId="5" borderId="6" xfId="1" applyFont="1" applyFill="1" applyBorder="1" applyAlignment="1">
      <alignment vertical="center"/>
    </xf>
    <xf numFmtId="164" fontId="4" fillId="5" borderId="2" xfId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2" fontId="0" fillId="0" borderId="0" xfId="1" applyNumberFormat="1" applyFont="1" applyAlignment="1">
      <alignment horizontal="right"/>
    </xf>
    <xf numFmtId="164" fontId="0" fillId="0" borderId="0" xfId="0" applyNumberFormat="1"/>
    <xf numFmtId="10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center"/>
    </xf>
    <xf numFmtId="0" fontId="0" fillId="0" borderId="7" xfId="0" applyBorder="1"/>
    <xf numFmtId="165" fontId="0" fillId="0" borderId="0" xfId="2" applyNumberFormat="1" applyFont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left" vertical="top"/>
    </xf>
    <xf numFmtId="164" fontId="0" fillId="6" borderId="0" xfId="1" applyFont="1" applyFill="1"/>
    <xf numFmtId="166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left" vertical="top"/>
    </xf>
    <xf numFmtId="0" fontId="9" fillId="3" borderId="8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/>
    <xf numFmtId="0" fontId="0" fillId="3" borderId="3" xfId="0" applyFill="1" applyBorder="1"/>
    <xf numFmtId="0" fontId="3" fillId="0" borderId="3" xfId="0" applyFont="1" applyBorder="1"/>
    <xf numFmtId="0" fontId="10" fillId="0" borderId="3" xfId="0" applyFont="1" applyBorder="1"/>
    <xf numFmtId="0" fontId="6" fillId="0" borderId="3" xfId="0" applyFont="1" applyBorder="1"/>
    <xf numFmtId="0" fontId="5" fillId="5" borderId="5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 vertical="center"/>
    </xf>
    <xf numFmtId="0" fontId="5" fillId="5" borderId="3" xfId="0" applyFont="1" applyFill="1" applyBorder="1"/>
    <xf numFmtId="0" fontId="7" fillId="5" borderId="0" xfId="0" applyFont="1" applyFill="1" applyAlignment="1">
      <alignment horizontal="left"/>
    </xf>
    <xf numFmtId="0" fontId="5" fillId="5" borderId="6" xfId="0" applyFont="1" applyFill="1" applyBorder="1"/>
    <xf numFmtId="0" fontId="7" fillId="5" borderId="2" xfId="0" applyFont="1" applyFill="1" applyBorder="1" applyAlignment="1">
      <alignment horizontal="left"/>
    </xf>
    <xf numFmtId="0" fontId="0" fillId="0" borderId="3" xfId="0" applyBorder="1" applyAlignment="1">
      <alignment horizontal="left" indent="1"/>
    </xf>
    <xf numFmtId="14" fontId="0" fillId="0" borderId="0" xfId="1" applyNumberFormat="1" applyFont="1" applyAlignment="1">
      <alignment horizontal="right"/>
    </xf>
    <xf numFmtId="164" fontId="0" fillId="0" borderId="0" xfId="1" applyFont="1" applyFill="1" applyBorder="1" applyAlignment="1">
      <alignment horizontal="left" vertical="top"/>
    </xf>
    <xf numFmtId="16" fontId="0" fillId="0" borderId="0" xfId="0" applyNumberFormat="1"/>
    <xf numFmtId="164" fontId="12" fillId="0" borderId="0" xfId="4" applyNumberFormat="1"/>
    <xf numFmtId="164" fontId="1" fillId="0" borderId="0" xfId="1" applyFont="1"/>
    <xf numFmtId="164" fontId="13" fillId="0" borderId="0" xfId="1" applyFont="1"/>
    <xf numFmtId="164" fontId="0" fillId="0" borderId="0" xfId="1" applyFont="1" applyAlignment="1">
      <alignment horizontal="left" vertical="top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</cellXfs>
  <cellStyles count="5">
    <cellStyle name="Hiperlink" xfId="4" builtinId="8"/>
    <cellStyle name="Moeda" xfId="1" builtinId="4"/>
    <cellStyle name="Normal" xfId="0" builtinId="0"/>
    <cellStyle name="Normal 8" xfId="3" xr:uid="{83E05DF1-52EE-5C48-8809-E61AAEE8D35C}"/>
    <cellStyle name="Porcentagem" xfId="2" builtinId="5"/>
  </cellStyles>
  <dxfs count="8">
    <dxf>
      <fill>
        <patternFill patternType="none">
          <fgColor auto="1"/>
          <bgColor auto="1"/>
        </patternFill>
      </fill>
    </dxf>
    <dxf>
      <fill>
        <patternFill>
          <bgColor rgb="FFF7F8FB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ill>
        <patternFill>
          <bgColor rgb="FFDCE4F4"/>
        </patternFill>
      </fill>
      <border diagonalDown="1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 style="thin">
          <color rgb="FFFFFFFF"/>
        </diagonal>
        <vertical style="thin">
          <color rgb="FFFFFFFF"/>
        </vertical>
        <horizontal style="thin">
          <color rgb="FFFFFFFF"/>
        </horizontal>
      </border>
    </dxf>
    <dxf>
      <font>
        <b/>
        <color rgb="FF305496"/>
      </font>
    </dxf>
    <dxf>
      <font>
        <b/>
        <color rgb="FF305496"/>
      </font>
    </dxf>
    <dxf>
      <font>
        <b/>
        <color rgb="FF305496"/>
      </font>
      <fill>
        <patternFill>
          <bgColor rgb="FFF6F8FB"/>
        </patternFill>
      </fill>
      <border>
        <left style="thin">
          <color rgb="FFFFFFFF"/>
        </left>
        <right style="thin">
          <color rgb="FFFFFFFF"/>
        </right>
        <top style="thin">
          <color rgb="FF4472C4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/>
        <color rgb="FF305496"/>
      </font>
      <border>
        <bottom style="thin">
          <color rgb="FF4472C4"/>
        </bottom>
      </border>
    </dxf>
    <dxf>
      <font>
        <color rgb="FF305496"/>
      </font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ContaAzul-M2" pivot="0" count="8" xr9:uid="{C382FC26-7722-924C-B5BD-E6F098CFDF5A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colors>
    <mruColors>
      <color rgb="FFF3F1B1"/>
      <color rgb="FF1D7CD9"/>
      <color rgb="FF81544D"/>
      <color rgb="FF1B4A6E"/>
      <color rgb="FF629E62"/>
      <color rgb="FFE87C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1341887</xdr:colOff>
      <xdr:row>1</xdr:row>
      <xdr:rowOff>47923</xdr:rowOff>
    </xdr:from>
    <xdr:to>
      <xdr:col>7</xdr:col>
      <xdr:colOff>1425754</xdr:colOff>
      <xdr:row>3</xdr:row>
      <xdr:rowOff>123644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16FAEB3-4288-2044-A382-26879F990F2C}"/>
            </a:ext>
          </a:extLst>
        </xdr:cNvPr>
        <xdr:cNvSpPr/>
      </xdr:nvSpPr>
      <xdr:spPr>
        <a:xfrm>
          <a:off x="6098396" y="251602"/>
          <a:ext cx="4828396" cy="578929"/>
        </a:xfrm>
        <a:prstGeom prst="rect">
          <a:avLst/>
        </a:prstGeom>
        <a:solidFill>
          <a:srgbClr val="F3F1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81544D"/>
              </a:solidFill>
            </a:rPr>
            <a:t>Cliente: Seu Fulano </a:t>
          </a:r>
          <a:endParaRPr lang="pt-BR" sz="1100">
            <a:solidFill>
              <a:srgbClr val="81544D"/>
            </a:solidFill>
          </a:endParaRPr>
        </a:p>
      </xdr:txBody>
    </xdr:sp>
    <xdr:clientData/>
  </xdr:twoCellAnchor>
  <xdr:twoCellAnchor editAs="oneCell">
    <xdr:from>
      <xdr:col>8</xdr:col>
      <xdr:colOff>131792</xdr:colOff>
      <xdr:row>1</xdr:row>
      <xdr:rowOff>119812</xdr:rowOff>
    </xdr:from>
    <xdr:to>
      <xdr:col>8</xdr:col>
      <xdr:colOff>1881568</xdr:colOff>
      <xdr:row>3</xdr:row>
      <xdr:rowOff>124604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9AB21E8-8FC5-E844-B076-7945991A3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8113" y="323491"/>
          <a:ext cx="1749776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file://////////964,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6578-33C9-6E49-8F8C-65FC0BDD0946}">
  <sheetPr codeName="Planilha4">
    <tabColor rgb="FFFF0000"/>
  </sheetPr>
  <dimension ref="B1:XFC85"/>
  <sheetViews>
    <sheetView showGridLines="0" zoomScale="125" workbookViewId="0">
      <pane ySplit="1" topLeftCell="A91" activePane="bottomLeft" state="frozen"/>
      <selection pane="bottomLeft" activeCell="F7" sqref="F7"/>
    </sheetView>
  </sheetViews>
  <sheetFormatPr baseColWidth="10" defaultColWidth="0" defaultRowHeight="16" x14ac:dyDescent="0.2"/>
  <cols>
    <col min="1" max="1" width="10.83203125" customWidth="1"/>
    <col min="2" max="2" width="27.5" bestFit="1" customWidth="1"/>
    <col min="3" max="4" width="27.1640625" bestFit="1" customWidth="1"/>
    <col min="5" max="6" width="10.83203125" customWidth="1"/>
    <col min="7" max="9" width="10.83203125" hidden="1"/>
    <col min="10" max="10" width="34.6640625" hidden="1"/>
    <col min="11" max="16383" width="10.83203125" hidden="1"/>
    <col min="16384" max="16384" width="77.33203125" customWidth="1"/>
  </cols>
  <sheetData>
    <row r="1" spans="2:5" ht="171" customHeight="1" x14ac:dyDescent="0.2">
      <c r="B1" s="30" t="s">
        <v>0</v>
      </c>
      <c r="C1" s="31" t="s">
        <v>3</v>
      </c>
      <c r="D1" s="32" t="s">
        <v>105</v>
      </c>
    </row>
    <row r="2" spans="2:5" x14ac:dyDescent="0.2">
      <c r="B2" s="34" t="s">
        <v>54</v>
      </c>
      <c r="C2" t="s">
        <v>17</v>
      </c>
      <c r="D2" s="23" t="s">
        <v>17</v>
      </c>
      <c r="E2" t="s">
        <v>126</v>
      </c>
    </row>
    <row r="3" spans="2:5" x14ac:dyDescent="0.2">
      <c r="B3" s="34" t="s">
        <v>136</v>
      </c>
      <c r="C3" t="s">
        <v>17</v>
      </c>
      <c r="D3" s="23" t="s">
        <v>17</v>
      </c>
      <c r="E3" t="s">
        <v>126</v>
      </c>
    </row>
    <row r="4" spans="2:5" x14ac:dyDescent="0.2">
      <c r="B4" s="34" t="s">
        <v>137</v>
      </c>
      <c r="C4" t="s">
        <v>17</v>
      </c>
      <c r="D4" s="23" t="s">
        <v>17</v>
      </c>
      <c r="E4" t="s">
        <v>126</v>
      </c>
    </row>
    <row r="5" spans="2:5" x14ac:dyDescent="0.2">
      <c r="B5" s="34" t="s">
        <v>59</v>
      </c>
      <c r="C5" t="s">
        <v>17</v>
      </c>
      <c r="D5" s="23" t="s">
        <v>17</v>
      </c>
      <c r="E5" t="s">
        <v>126</v>
      </c>
    </row>
    <row r="6" spans="2:5" x14ac:dyDescent="0.2">
      <c r="B6" s="34" t="s">
        <v>64</v>
      </c>
      <c r="C6" t="s">
        <v>17</v>
      </c>
      <c r="D6" s="23" t="s">
        <v>17</v>
      </c>
      <c r="E6" t="s">
        <v>126</v>
      </c>
    </row>
    <row r="7" spans="2:5" x14ac:dyDescent="0.2">
      <c r="B7" s="34" t="s">
        <v>62</v>
      </c>
      <c r="C7" t="s">
        <v>17</v>
      </c>
      <c r="D7" s="23" t="s">
        <v>17</v>
      </c>
      <c r="E7" t="s">
        <v>126</v>
      </c>
    </row>
    <row r="8" spans="2:5" x14ac:dyDescent="0.2">
      <c r="B8" s="34" t="s">
        <v>83</v>
      </c>
      <c r="C8" t="s">
        <v>17</v>
      </c>
      <c r="D8" s="23" t="s">
        <v>17</v>
      </c>
      <c r="E8" t="s">
        <v>126</v>
      </c>
    </row>
    <row r="9" spans="2:5" x14ac:dyDescent="0.2">
      <c r="B9" s="34" t="s">
        <v>107</v>
      </c>
      <c r="C9" t="s">
        <v>9</v>
      </c>
      <c r="D9" s="23" t="s">
        <v>108</v>
      </c>
      <c r="E9" t="s">
        <v>127</v>
      </c>
    </row>
    <row r="10" spans="2:5" x14ac:dyDescent="0.2">
      <c r="B10" s="34" t="s">
        <v>88</v>
      </c>
      <c r="C10" t="s">
        <v>9</v>
      </c>
      <c r="D10" s="23" t="s">
        <v>108</v>
      </c>
      <c r="E10" t="s">
        <v>127</v>
      </c>
    </row>
    <row r="11" spans="2:5" x14ac:dyDescent="0.2">
      <c r="B11" s="34" t="s">
        <v>87</v>
      </c>
      <c r="C11" t="s">
        <v>9</v>
      </c>
      <c r="D11" s="23" t="s">
        <v>108</v>
      </c>
      <c r="E11" t="s">
        <v>127</v>
      </c>
    </row>
    <row r="12" spans="2:5" x14ac:dyDescent="0.2">
      <c r="B12" s="34" t="s">
        <v>63</v>
      </c>
      <c r="C12" t="s">
        <v>140</v>
      </c>
      <c r="D12" s="23" t="s">
        <v>108</v>
      </c>
      <c r="E12" t="s">
        <v>127</v>
      </c>
    </row>
    <row r="13" spans="2:5" x14ac:dyDescent="0.2">
      <c r="B13" s="34" t="s">
        <v>65</v>
      </c>
      <c r="C13" t="s">
        <v>69</v>
      </c>
      <c r="D13" s="23" t="s">
        <v>69</v>
      </c>
      <c r="E13" t="s">
        <v>127</v>
      </c>
    </row>
    <row r="14" spans="2:5" x14ac:dyDescent="0.2">
      <c r="B14" s="34" t="s">
        <v>51</v>
      </c>
      <c r="C14" t="s">
        <v>15</v>
      </c>
      <c r="D14" t="s">
        <v>66</v>
      </c>
      <c r="E14" t="s">
        <v>127</v>
      </c>
    </row>
    <row r="15" spans="2:5" x14ac:dyDescent="0.2">
      <c r="B15" s="34" t="s">
        <v>61</v>
      </c>
      <c r="C15" t="s">
        <v>15</v>
      </c>
      <c r="D15" t="s">
        <v>66</v>
      </c>
      <c r="E15" t="s">
        <v>127</v>
      </c>
    </row>
    <row r="16" spans="2:5" x14ac:dyDescent="0.2">
      <c r="B16" s="34" t="s">
        <v>26</v>
      </c>
      <c r="C16" t="s">
        <v>15</v>
      </c>
      <c r="D16" t="s">
        <v>66</v>
      </c>
      <c r="E16" t="s">
        <v>127</v>
      </c>
    </row>
    <row r="17" spans="2:5" x14ac:dyDescent="0.2">
      <c r="B17" s="34" t="s">
        <v>80</v>
      </c>
      <c r="C17" t="s">
        <v>15</v>
      </c>
      <c r="D17" t="s">
        <v>66</v>
      </c>
      <c r="E17" t="s">
        <v>127</v>
      </c>
    </row>
    <row r="18" spans="2:5" x14ac:dyDescent="0.2">
      <c r="B18" s="34" t="s">
        <v>41</v>
      </c>
      <c r="C18" t="s">
        <v>15</v>
      </c>
      <c r="D18" t="s">
        <v>66</v>
      </c>
      <c r="E18" t="s">
        <v>127</v>
      </c>
    </row>
    <row r="19" spans="2:5" x14ac:dyDescent="0.2">
      <c r="B19" s="34" t="s">
        <v>132</v>
      </c>
      <c r="C19" t="s">
        <v>15</v>
      </c>
      <c r="D19" t="s">
        <v>66</v>
      </c>
      <c r="E19" t="s">
        <v>127</v>
      </c>
    </row>
    <row r="20" spans="2:5" x14ac:dyDescent="0.2">
      <c r="B20" s="34" t="s">
        <v>85</v>
      </c>
      <c r="C20" t="s">
        <v>15</v>
      </c>
      <c r="D20" t="s">
        <v>66</v>
      </c>
      <c r="E20" t="s">
        <v>127</v>
      </c>
    </row>
    <row r="21" spans="2:5" x14ac:dyDescent="0.2">
      <c r="B21" s="34" t="s">
        <v>144</v>
      </c>
      <c r="C21" t="s">
        <v>15</v>
      </c>
      <c r="D21" t="s">
        <v>66</v>
      </c>
      <c r="E21" t="s">
        <v>127</v>
      </c>
    </row>
    <row r="22" spans="2:5" x14ac:dyDescent="0.2">
      <c r="B22" s="34" t="s">
        <v>92</v>
      </c>
      <c r="C22" t="s">
        <v>15</v>
      </c>
      <c r="D22" t="s">
        <v>66</v>
      </c>
      <c r="E22" t="s">
        <v>127</v>
      </c>
    </row>
    <row r="23" spans="2:5" x14ac:dyDescent="0.2">
      <c r="B23" s="34" t="s">
        <v>48</v>
      </c>
      <c r="C23" t="s">
        <v>15</v>
      </c>
      <c r="D23" t="s">
        <v>66</v>
      </c>
      <c r="E23" t="s">
        <v>127</v>
      </c>
    </row>
    <row r="24" spans="2:5" x14ac:dyDescent="0.2">
      <c r="B24" s="34" t="s">
        <v>25</v>
      </c>
      <c r="C24" t="s">
        <v>15</v>
      </c>
      <c r="D24" t="s">
        <v>66</v>
      </c>
      <c r="E24" t="s">
        <v>127</v>
      </c>
    </row>
    <row r="25" spans="2:5" x14ac:dyDescent="0.2">
      <c r="B25" s="34" t="s">
        <v>46</v>
      </c>
      <c r="C25" t="s">
        <v>15</v>
      </c>
      <c r="D25" t="s">
        <v>66</v>
      </c>
      <c r="E25" t="s">
        <v>127</v>
      </c>
    </row>
    <row r="26" spans="2:5" x14ac:dyDescent="0.2">
      <c r="B26" s="34" t="s">
        <v>39</v>
      </c>
      <c r="C26" t="s">
        <v>15</v>
      </c>
      <c r="D26" t="s">
        <v>66</v>
      </c>
      <c r="E26" t="s">
        <v>127</v>
      </c>
    </row>
    <row r="27" spans="2:5" x14ac:dyDescent="0.2">
      <c r="B27" s="34" t="s">
        <v>81</v>
      </c>
      <c r="C27" t="s">
        <v>15</v>
      </c>
      <c r="D27" t="s">
        <v>66</v>
      </c>
      <c r="E27" t="s">
        <v>127</v>
      </c>
    </row>
    <row r="28" spans="2:5" x14ac:dyDescent="0.2">
      <c r="B28" s="34" t="s">
        <v>55</v>
      </c>
      <c r="C28" t="s">
        <v>50</v>
      </c>
      <c r="D28" t="s">
        <v>66</v>
      </c>
      <c r="E28" t="s">
        <v>127</v>
      </c>
    </row>
    <row r="29" spans="2:5" x14ac:dyDescent="0.2">
      <c r="B29" s="34" t="s">
        <v>82</v>
      </c>
      <c r="C29" t="s">
        <v>50</v>
      </c>
      <c r="D29" t="s">
        <v>66</v>
      </c>
      <c r="E29" t="s">
        <v>127</v>
      </c>
    </row>
    <row r="30" spans="2:5" x14ac:dyDescent="0.2">
      <c r="B30" s="34" t="s">
        <v>52</v>
      </c>
      <c r="C30" t="s">
        <v>50</v>
      </c>
      <c r="D30" t="s">
        <v>66</v>
      </c>
      <c r="E30" t="s">
        <v>127</v>
      </c>
    </row>
    <row r="31" spans="2:5" x14ac:dyDescent="0.2">
      <c r="B31" s="34" t="s">
        <v>57</v>
      </c>
      <c r="C31" t="s">
        <v>50</v>
      </c>
      <c r="D31" t="s">
        <v>66</v>
      </c>
      <c r="E31" t="s">
        <v>127</v>
      </c>
    </row>
    <row r="32" spans="2:5" x14ac:dyDescent="0.2">
      <c r="B32" s="34" t="s">
        <v>53</v>
      </c>
      <c r="C32" t="s">
        <v>50</v>
      </c>
      <c r="D32" t="s">
        <v>66</v>
      </c>
      <c r="E32" t="s">
        <v>127</v>
      </c>
    </row>
    <row r="33" spans="2:5" x14ac:dyDescent="0.2">
      <c r="B33" s="34" t="s">
        <v>131</v>
      </c>
      <c r="C33" t="s">
        <v>50</v>
      </c>
      <c r="D33" t="s">
        <v>66</v>
      </c>
      <c r="E33" t="s">
        <v>127</v>
      </c>
    </row>
    <row r="34" spans="2:5" x14ac:dyDescent="0.2">
      <c r="B34" s="35" t="s">
        <v>12</v>
      </c>
      <c r="C34" t="s">
        <v>32</v>
      </c>
      <c r="D34" t="s">
        <v>66</v>
      </c>
      <c r="E34" t="s">
        <v>127</v>
      </c>
    </row>
    <row r="35" spans="2:5" x14ac:dyDescent="0.2">
      <c r="B35" s="34" t="s">
        <v>22</v>
      </c>
      <c r="C35" t="s">
        <v>32</v>
      </c>
      <c r="D35" t="s">
        <v>66</v>
      </c>
      <c r="E35" t="s">
        <v>127</v>
      </c>
    </row>
    <row r="36" spans="2:5" x14ac:dyDescent="0.2">
      <c r="B36" s="34" t="s">
        <v>29</v>
      </c>
      <c r="C36" t="s">
        <v>32</v>
      </c>
      <c r="D36" t="s">
        <v>66</v>
      </c>
      <c r="E36" t="s">
        <v>127</v>
      </c>
    </row>
    <row r="37" spans="2:5" x14ac:dyDescent="0.2">
      <c r="B37" s="34" t="s">
        <v>38</v>
      </c>
      <c r="C37" t="s">
        <v>32</v>
      </c>
      <c r="D37" t="s">
        <v>66</v>
      </c>
      <c r="E37" t="s">
        <v>127</v>
      </c>
    </row>
    <row r="38" spans="2:5" x14ac:dyDescent="0.2">
      <c r="B38" s="34" t="s">
        <v>33</v>
      </c>
      <c r="C38" t="s">
        <v>32</v>
      </c>
      <c r="D38" t="s">
        <v>66</v>
      </c>
      <c r="E38" t="s">
        <v>127</v>
      </c>
    </row>
    <row r="39" spans="2:5" x14ac:dyDescent="0.2">
      <c r="B39" s="34" t="s">
        <v>18</v>
      </c>
      <c r="C39" t="s">
        <v>32</v>
      </c>
      <c r="D39" t="s">
        <v>66</v>
      </c>
      <c r="E39" t="s">
        <v>127</v>
      </c>
    </row>
    <row r="40" spans="2:5" x14ac:dyDescent="0.2">
      <c r="B40" s="35" t="s">
        <v>34</v>
      </c>
      <c r="C40" t="s">
        <v>32</v>
      </c>
      <c r="D40" t="s">
        <v>66</v>
      </c>
      <c r="E40" t="s">
        <v>127</v>
      </c>
    </row>
    <row r="41" spans="2:5" x14ac:dyDescent="0.2">
      <c r="B41" s="36" t="s">
        <v>36</v>
      </c>
      <c r="C41" t="s">
        <v>36</v>
      </c>
      <c r="D41" t="s">
        <v>66</v>
      </c>
      <c r="E41" t="s">
        <v>127</v>
      </c>
    </row>
    <row r="42" spans="2:5" x14ac:dyDescent="0.2">
      <c r="B42" s="36" t="s">
        <v>43</v>
      </c>
      <c r="C42" t="s">
        <v>43</v>
      </c>
      <c r="D42" t="s">
        <v>66</v>
      </c>
      <c r="E42" t="s">
        <v>127</v>
      </c>
    </row>
    <row r="43" spans="2:5" x14ac:dyDescent="0.2">
      <c r="B43" s="36" t="s">
        <v>37</v>
      </c>
      <c r="C43" t="s">
        <v>37</v>
      </c>
      <c r="D43" t="s">
        <v>66</v>
      </c>
      <c r="E43" t="s">
        <v>127</v>
      </c>
    </row>
    <row r="44" spans="2:5" x14ac:dyDescent="0.2">
      <c r="B44" s="34" t="s">
        <v>133</v>
      </c>
      <c r="C44" t="s">
        <v>37</v>
      </c>
      <c r="D44" t="s">
        <v>66</v>
      </c>
      <c r="E44" t="s">
        <v>127</v>
      </c>
    </row>
    <row r="45" spans="2:5" x14ac:dyDescent="0.2">
      <c r="B45" s="34" t="s">
        <v>134</v>
      </c>
      <c r="C45" t="s">
        <v>37</v>
      </c>
      <c r="D45" t="s">
        <v>66</v>
      </c>
      <c r="E45" t="s">
        <v>127</v>
      </c>
    </row>
    <row r="46" spans="2:5" x14ac:dyDescent="0.2">
      <c r="B46" s="34" t="s">
        <v>58</v>
      </c>
      <c r="C46" t="s">
        <v>37</v>
      </c>
      <c r="D46" t="s">
        <v>66</v>
      </c>
      <c r="E46" t="s">
        <v>127</v>
      </c>
    </row>
    <row r="47" spans="2:5" x14ac:dyDescent="0.2">
      <c r="B47" s="34" t="s">
        <v>37</v>
      </c>
      <c r="C47" t="s">
        <v>37</v>
      </c>
      <c r="D47" t="s">
        <v>66</v>
      </c>
      <c r="E47" t="s">
        <v>127</v>
      </c>
    </row>
    <row r="48" spans="2:5" x14ac:dyDescent="0.2">
      <c r="B48" s="34" t="s">
        <v>8</v>
      </c>
      <c r="C48" t="s">
        <v>31</v>
      </c>
      <c r="D48" t="s">
        <v>66</v>
      </c>
      <c r="E48" t="s">
        <v>127</v>
      </c>
    </row>
    <row r="49" spans="2:5" x14ac:dyDescent="0.2">
      <c r="B49" s="34" t="s">
        <v>47</v>
      </c>
      <c r="C49" t="s">
        <v>31</v>
      </c>
      <c r="D49" t="s">
        <v>66</v>
      </c>
      <c r="E49" t="s">
        <v>127</v>
      </c>
    </row>
    <row r="50" spans="2:5" x14ac:dyDescent="0.2">
      <c r="B50" s="34" t="s">
        <v>23</v>
      </c>
      <c r="C50" t="s">
        <v>31</v>
      </c>
      <c r="D50" t="s">
        <v>66</v>
      </c>
      <c r="E50" t="s">
        <v>127</v>
      </c>
    </row>
    <row r="51" spans="2:5" x14ac:dyDescent="0.2">
      <c r="B51" s="34" t="s">
        <v>7</v>
      </c>
      <c r="C51" t="s">
        <v>31</v>
      </c>
      <c r="D51" t="s">
        <v>66</v>
      </c>
      <c r="E51" t="s">
        <v>127</v>
      </c>
    </row>
    <row r="52" spans="2:5" x14ac:dyDescent="0.2">
      <c r="B52" s="34" t="s">
        <v>75</v>
      </c>
      <c r="C52" t="s">
        <v>31</v>
      </c>
      <c r="D52" t="s">
        <v>66</v>
      </c>
      <c r="E52" t="s">
        <v>127</v>
      </c>
    </row>
    <row r="53" spans="2:5" x14ac:dyDescent="0.2">
      <c r="B53" s="34" t="s">
        <v>70</v>
      </c>
      <c r="C53" t="s">
        <v>69</v>
      </c>
      <c r="D53" t="s">
        <v>69</v>
      </c>
      <c r="E53" t="s">
        <v>127</v>
      </c>
    </row>
    <row r="54" spans="2:5" x14ac:dyDescent="0.2">
      <c r="B54" s="34" t="s">
        <v>73</v>
      </c>
      <c r="C54" t="s">
        <v>69</v>
      </c>
      <c r="D54" t="s">
        <v>69</v>
      </c>
      <c r="E54" t="s">
        <v>127</v>
      </c>
    </row>
    <row r="55" spans="2:5" x14ac:dyDescent="0.2">
      <c r="B55" s="34" t="s">
        <v>79</v>
      </c>
      <c r="C55" t="s">
        <v>69</v>
      </c>
      <c r="D55" t="s">
        <v>69</v>
      </c>
      <c r="E55" t="s">
        <v>127</v>
      </c>
    </row>
    <row r="56" spans="2:5" x14ac:dyDescent="0.2">
      <c r="B56" s="34" t="s">
        <v>93</v>
      </c>
      <c r="C56" t="s">
        <v>69</v>
      </c>
      <c r="D56" t="s">
        <v>69</v>
      </c>
      <c r="E56" t="s">
        <v>127</v>
      </c>
    </row>
    <row r="57" spans="2:5" x14ac:dyDescent="0.2">
      <c r="B57" s="34" t="s">
        <v>99</v>
      </c>
      <c r="C57" t="s">
        <v>69</v>
      </c>
      <c r="D57" t="s">
        <v>69</v>
      </c>
      <c r="E57" t="s">
        <v>127</v>
      </c>
    </row>
    <row r="58" spans="2:5" x14ac:dyDescent="0.2">
      <c r="B58" s="34" t="s">
        <v>76</v>
      </c>
      <c r="C58" t="s">
        <v>69</v>
      </c>
      <c r="D58" t="s">
        <v>69</v>
      </c>
      <c r="E58" t="s">
        <v>127</v>
      </c>
    </row>
    <row r="59" spans="2:5" x14ac:dyDescent="0.2">
      <c r="B59" s="34" t="s">
        <v>130</v>
      </c>
      <c r="C59" t="s">
        <v>130</v>
      </c>
      <c r="D59" t="s">
        <v>130</v>
      </c>
      <c r="E59" t="s">
        <v>127</v>
      </c>
    </row>
    <row r="60" spans="2:5" x14ac:dyDescent="0.2">
      <c r="B60" s="34" t="s">
        <v>125</v>
      </c>
      <c r="C60" t="s">
        <v>116</v>
      </c>
      <c r="D60" t="s">
        <v>116</v>
      </c>
      <c r="E60" t="s">
        <v>127</v>
      </c>
    </row>
    <row r="61" spans="2:5" x14ac:dyDescent="0.2">
      <c r="B61" s="34" t="s">
        <v>122</v>
      </c>
      <c r="C61" t="s">
        <v>69</v>
      </c>
      <c r="D61" t="s">
        <v>69</v>
      </c>
      <c r="E61" t="s">
        <v>127</v>
      </c>
    </row>
    <row r="62" spans="2:5" x14ac:dyDescent="0.2">
      <c r="B62" s="34" t="s">
        <v>56</v>
      </c>
      <c r="C62" t="s">
        <v>67</v>
      </c>
      <c r="D62" t="s">
        <v>67</v>
      </c>
      <c r="E62" t="s">
        <v>127</v>
      </c>
    </row>
    <row r="63" spans="2:5" x14ac:dyDescent="0.2">
      <c r="B63" s="34" t="s">
        <v>68</v>
      </c>
      <c r="C63" t="s">
        <v>67</v>
      </c>
      <c r="D63" t="s">
        <v>67</v>
      </c>
      <c r="E63" t="s">
        <v>127</v>
      </c>
    </row>
    <row r="64" spans="2:5" x14ac:dyDescent="0.2">
      <c r="B64" s="34" t="s">
        <v>114</v>
      </c>
      <c r="C64" t="s">
        <v>67</v>
      </c>
      <c r="D64" t="s">
        <v>67</v>
      </c>
      <c r="E64" t="s">
        <v>127</v>
      </c>
    </row>
    <row r="65" spans="2:5" x14ac:dyDescent="0.2">
      <c r="B65" s="34" t="s">
        <v>119</v>
      </c>
      <c r="C65" t="s">
        <v>67</v>
      </c>
      <c r="D65" t="s">
        <v>67</v>
      </c>
      <c r="E65" t="s">
        <v>127</v>
      </c>
    </row>
    <row r="66" spans="2:5" x14ac:dyDescent="0.2">
      <c r="B66" s="34" t="s">
        <v>115</v>
      </c>
      <c r="C66" t="s">
        <v>67</v>
      </c>
      <c r="D66" t="s">
        <v>67</v>
      </c>
      <c r="E66" t="s">
        <v>127</v>
      </c>
    </row>
    <row r="67" spans="2:5" x14ac:dyDescent="0.2">
      <c r="B67" s="34" t="s">
        <v>124</v>
      </c>
      <c r="C67" t="s">
        <v>67</v>
      </c>
      <c r="D67" t="s">
        <v>67</v>
      </c>
      <c r="E67" t="s">
        <v>127</v>
      </c>
    </row>
    <row r="68" spans="2:5" x14ac:dyDescent="0.2">
      <c r="B68" s="34" t="s">
        <v>91</v>
      </c>
      <c r="C68" t="s">
        <v>138</v>
      </c>
      <c r="D68" t="s">
        <v>138</v>
      </c>
      <c r="E68" t="s">
        <v>127</v>
      </c>
    </row>
    <row r="69" spans="2:5" x14ac:dyDescent="0.2">
      <c r="B69" s="34" t="s">
        <v>104</v>
      </c>
      <c r="C69" t="s">
        <v>138</v>
      </c>
      <c r="D69" t="s">
        <v>138</v>
      </c>
      <c r="E69" t="s">
        <v>127</v>
      </c>
    </row>
    <row r="70" spans="2:5" x14ac:dyDescent="0.2">
      <c r="B70" s="34" t="s">
        <v>60</v>
      </c>
      <c r="C70" t="s">
        <v>139</v>
      </c>
      <c r="D70" t="s">
        <v>139</v>
      </c>
      <c r="E70" t="s">
        <v>127</v>
      </c>
    </row>
    <row r="71" spans="2:5" x14ac:dyDescent="0.2">
      <c r="B71" s="34" t="s">
        <v>121</v>
      </c>
      <c r="C71" t="s">
        <v>139</v>
      </c>
      <c r="D71" t="s">
        <v>139</v>
      </c>
      <c r="E71" t="s">
        <v>127</v>
      </c>
    </row>
    <row r="72" spans="2:5" x14ac:dyDescent="0.2">
      <c r="B72" s="34" t="s">
        <v>123</v>
      </c>
      <c r="C72" t="s">
        <v>139</v>
      </c>
      <c r="D72" t="s">
        <v>139</v>
      </c>
      <c r="E72" t="s">
        <v>127</v>
      </c>
    </row>
    <row r="73" spans="2:5" x14ac:dyDescent="0.2">
      <c r="B73" s="34" t="s">
        <v>71</v>
      </c>
      <c r="C73" s="34" t="s">
        <v>71</v>
      </c>
      <c r="D73" t="s">
        <v>72</v>
      </c>
      <c r="E73" t="s">
        <v>127</v>
      </c>
    </row>
    <row r="74" spans="2:5" x14ac:dyDescent="0.2">
      <c r="B74" s="34" t="s">
        <v>103</v>
      </c>
      <c r="C74" s="34" t="s">
        <v>103</v>
      </c>
      <c r="D74" t="s">
        <v>72</v>
      </c>
      <c r="E74" t="s">
        <v>127</v>
      </c>
    </row>
    <row r="75" spans="2:5" x14ac:dyDescent="0.2">
      <c r="B75" s="37" t="s">
        <v>135</v>
      </c>
      <c r="C75" s="33" t="s">
        <v>135</v>
      </c>
      <c r="D75" s="33" t="s">
        <v>135</v>
      </c>
      <c r="E75" t="s">
        <v>127</v>
      </c>
    </row>
    <row r="76" spans="2:5" x14ac:dyDescent="0.2">
      <c r="B76" s="37" t="s">
        <v>116</v>
      </c>
      <c r="C76" t="s">
        <v>116</v>
      </c>
      <c r="D76" t="s">
        <v>116</v>
      </c>
      <c r="E76" t="s">
        <v>127</v>
      </c>
    </row>
    <row r="77" spans="2:5" x14ac:dyDescent="0.2">
      <c r="B77" s="38" t="s">
        <v>90</v>
      </c>
      <c r="C77" t="s">
        <v>116</v>
      </c>
      <c r="D77" t="s">
        <v>116</v>
      </c>
      <c r="E77" t="s">
        <v>127</v>
      </c>
    </row>
    <row r="78" spans="2:5" x14ac:dyDescent="0.2">
      <c r="B78" s="34" t="s">
        <v>146</v>
      </c>
      <c r="C78" t="s">
        <v>32</v>
      </c>
      <c r="D78" t="s">
        <v>66</v>
      </c>
      <c r="E78" t="s">
        <v>127</v>
      </c>
    </row>
    <row r="79" spans="2:5" x14ac:dyDescent="0.2">
      <c r="B79" t="s">
        <v>147</v>
      </c>
      <c r="C79" t="s">
        <v>147</v>
      </c>
      <c r="D79" t="s">
        <v>69</v>
      </c>
    </row>
    <row r="80" spans="2:5" x14ac:dyDescent="0.2">
      <c r="B80" t="s">
        <v>149</v>
      </c>
      <c r="C80" t="s">
        <v>37</v>
      </c>
      <c r="D80" t="s">
        <v>66</v>
      </c>
    </row>
    <row r="81" spans="2:4" x14ac:dyDescent="0.2">
      <c r="B81" t="s">
        <v>145</v>
      </c>
      <c r="C81" t="s">
        <v>32</v>
      </c>
      <c r="D81" t="s">
        <v>66</v>
      </c>
    </row>
    <row r="82" spans="2:4" x14ac:dyDescent="0.2">
      <c r="B82" t="s">
        <v>152</v>
      </c>
      <c r="C82" t="s">
        <v>32</v>
      </c>
      <c r="D82" t="s">
        <v>66</v>
      </c>
    </row>
    <row r="83" spans="2:4" x14ac:dyDescent="0.2">
      <c r="B83" t="s">
        <v>155</v>
      </c>
      <c r="C83" t="s">
        <v>32</v>
      </c>
      <c r="D83" t="s">
        <v>66</v>
      </c>
    </row>
    <row r="84" spans="2:4" x14ac:dyDescent="0.2">
      <c r="B84" s="4" t="s">
        <v>158</v>
      </c>
      <c r="C84" t="s">
        <v>9</v>
      </c>
      <c r="D84" t="s">
        <v>108</v>
      </c>
    </row>
    <row r="85" spans="2:4" x14ac:dyDescent="0.2">
      <c r="B85" s="4" t="s">
        <v>161</v>
      </c>
      <c r="C85" t="s">
        <v>37</v>
      </c>
      <c r="D85" t="s">
        <v>66</v>
      </c>
    </row>
  </sheetData>
  <autoFilter ref="B1:XFD85" xr:uid="{9F358985-4930-6A45-893F-35638B11FAB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5CE7-6F2C-EF4E-81EF-6A11D21E2BFC}">
  <sheetPr codeName="Planilha6">
    <tabColor theme="9" tint="-0.499984740745262"/>
  </sheetPr>
  <dimension ref="B2:XEZ5900"/>
  <sheetViews>
    <sheetView showGridLines="0" tabSelected="1" zoomScale="150" zoomScaleNormal="150" workbookViewId="0">
      <pane ySplit="6" topLeftCell="A5482" activePane="bottomLeft" state="frozen"/>
      <selection activeCell="E4" sqref="E4"/>
      <selection pane="bottomLeft" activeCell="E4771" sqref="E4770:E4771"/>
    </sheetView>
  </sheetViews>
  <sheetFormatPr baseColWidth="10" defaultColWidth="0" defaultRowHeight="16" x14ac:dyDescent="0.2"/>
  <cols>
    <col min="1" max="1" width="10.83203125" customWidth="1"/>
    <col min="2" max="2" width="26.83203125" customWidth="1"/>
    <col min="3" max="3" width="26.83203125" style="22" customWidth="1"/>
    <col min="4" max="4" width="12" bestFit="1" customWidth="1"/>
    <col min="5" max="5" width="20.1640625" customWidth="1"/>
    <col min="6" max="6" width="21" bestFit="1" customWidth="1"/>
    <col min="7" max="7" width="21.6640625" bestFit="1" customWidth="1"/>
    <col min="8" max="8" width="22.6640625" style="1" bestFit="1" customWidth="1"/>
    <col min="9" max="9" width="28.33203125" style="7" customWidth="1"/>
    <col min="10" max="10" width="10.83203125" customWidth="1"/>
    <col min="11" max="11" width="4.1640625" customWidth="1"/>
    <col min="12" max="23" width="0" hidden="1" customWidth="1"/>
    <col min="24" max="16380" width="10.83203125" hidden="1"/>
    <col min="16381" max="16381" width="107.5" customWidth="1"/>
    <col min="16382" max="16382" width="22.33203125" customWidth="1"/>
    <col min="16383" max="16384" width="9" customWidth="1"/>
  </cols>
  <sheetData>
    <row r="2" spans="2:9" ht="24" customHeight="1" x14ac:dyDescent="0.2">
      <c r="B2" s="39"/>
      <c r="C2" s="53"/>
      <c r="D2" s="40" t="s">
        <v>224</v>
      </c>
      <c r="E2" s="9"/>
      <c r="F2" s="10"/>
      <c r="G2" s="10"/>
      <c r="H2" s="10"/>
      <c r="I2" s="10"/>
    </row>
    <row r="3" spans="2:9" ht="16" customHeight="1" x14ac:dyDescent="0.25">
      <c r="B3" s="41"/>
      <c r="C3" s="54"/>
      <c r="D3" s="42" t="s">
        <v>118</v>
      </c>
      <c r="E3" s="11"/>
      <c r="F3" s="12"/>
      <c r="G3" s="12"/>
      <c r="H3" s="12"/>
      <c r="I3" s="12"/>
    </row>
    <row r="4" spans="2:9" ht="16" customHeight="1" x14ac:dyDescent="0.25">
      <c r="B4" s="43"/>
      <c r="C4" s="55"/>
      <c r="D4" s="44" t="s">
        <v>223</v>
      </c>
      <c r="E4" s="13"/>
      <c r="F4" s="14"/>
      <c r="G4" s="14"/>
      <c r="H4" s="14"/>
      <c r="I4" s="14"/>
    </row>
    <row r="5" spans="2:9" x14ac:dyDescent="0.2">
      <c r="H5" s="5">
        <f>SUBTOTAL(9,H7:H6785)</f>
        <v>6510790.9343774077</v>
      </c>
    </row>
    <row r="6" spans="2:9" ht="18" customHeight="1" x14ac:dyDescent="0.2">
      <c r="B6" s="15" t="s">
        <v>105</v>
      </c>
      <c r="C6" s="17" t="s">
        <v>225</v>
      </c>
      <c r="D6" s="17" t="s">
        <v>117</v>
      </c>
      <c r="E6" s="15" t="s">
        <v>4</v>
      </c>
      <c r="F6" s="15" t="s">
        <v>3</v>
      </c>
      <c r="G6" s="15" t="s">
        <v>0</v>
      </c>
      <c r="H6" s="16" t="s">
        <v>1</v>
      </c>
      <c r="I6" s="15" t="s">
        <v>2</v>
      </c>
    </row>
    <row r="7" spans="2:9" x14ac:dyDescent="0.2">
      <c r="B7" t="str">
        <f>VLOOKUP(G7,PC!B:D,3,FALSE)</f>
        <v>CPV</v>
      </c>
      <c r="C7" s="22">
        <v>2023</v>
      </c>
      <c r="D7" t="s">
        <v>109</v>
      </c>
      <c r="E7" t="s">
        <v>129</v>
      </c>
      <c r="F7" t="str">
        <f>VLOOKUP(G7,PC!B:D,2,FALSE)</f>
        <v>SOBREMESA</v>
      </c>
      <c r="G7" t="s">
        <v>75</v>
      </c>
      <c r="H7" s="1">
        <v>779.58</v>
      </c>
    </row>
    <row r="8" spans="2:9" x14ac:dyDescent="0.2">
      <c r="B8" t="str">
        <f>VLOOKUP(G8,PC!B:D,3,FALSE)</f>
        <v>CPV</v>
      </c>
      <c r="C8" s="22">
        <v>2023</v>
      </c>
      <c r="D8" t="s">
        <v>109</v>
      </c>
      <c r="E8" t="s">
        <v>129</v>
      </c>
      <c r="F8" t="str">
        <f>VLOOKUP(G8,PC!B:D,2,FALSE)</f>
        <v>BEBIDAS</v>
      </c>
      <c r="G8" s="4" t="s">
        <v>48</v>
      </c>
      <c r="H8" s="1">
        <v>184.8</v>
      </c>
    </row>
    <row r="9" spans="2:9" x14ac:dyDescent="0.2">
      <c r="B9" t="str">
        <f>VLOOKUP(G9,PC!B:D,3,FALSE)</f>
        <v>CPV</v>
      </c>
      <c r="C9" s="22">
        <v>2023</v>
      </c>
      <c r="D9" t="s">
        <v>109</v>
      </c>
      <c r="E9" t="s">
        <v>129</v>
      </c>
      <c r="F9" t="str">
        <f>VLOOKUP(G9,PC!B:D,2,FALSE)</f>
        <v>BEBIDAS</v>
      </c>
      <c r="G9" t="s">
        <v>39</v>
      </c>
      <c r="H9" s="1">
        <v>204</v>
      </c>
    </row>
    <row r="10" spans="2:9" x14ac:dyDescent="0.2">
      <c r="B10" t="str">
        <f>VLOOKUP(G10,PC!B:D,3,FALSE)</f>
        <v>CPV</v>
      </c>
      <c r="C10" s="22">
        <v>2023</v>
      </c>
      <c r="D10" t="s">
        <v>109</v>
      </c>
      <c r="E10" t="s">
        <v>129</v>
      </c>
      <c r="F10" t="str">
        <f>VLOOKUP(G10,PC!B:D,2,FALSE)</f>
        <v>BEBIDAS</v>
      </c>
      <c r="G10" t="s">
        <v>48</v>
      </c>
      <c r="H10" s="1">
        <f>17.9*8</f>
        <v>143.19999999999999</v>
      </c>
    </row>
    <row r="11" spans="2:9" x14ac:dyDescent="0.2">
      <c r="B11" t="str">
        <f>VLOOKUP(G11,PC!B:D,3,FALSE)</f>
        <v>CPV</v>
      </c>
      <c r="C11" s="22">
        <v>2023</v>
      </c>
      <c r="D11" t="s">
        <v>109</v>
      </c>
      <c r="E11" t="s">
        <v>129</v>
      </c>
      <c r="F11" t="str">
        <f>VLOOKUP(G11,PC!B:D,2,FALSE)</f>
        <v>BEBIDAS</v>
      </c>
      <c r="G11" t="s">
        <v>46</v>
      </c>
      <c r="H11" s="1">
        <f>84</f>
        <v>84</v>
      </c>
    </row>
    <row r="12" spans="2:9" x14ac:dyDescent="0.2">
      <c r="B12" t="str">
        <f>VLOOKUP(G12,PC!B:D,3,FALSE)</f>
        <v>CPV</v>
      </c>
      <c r="C12" s="22">
        <v>2023</v>
      </c>
      <c r="D12" t="s">
        <v>109</v>
      </c>
      <c r="E12" t="s">
        <v>129</v>
      </c>
      <c r="F12" t="str">
        <f>VLOOKUP(G12,PC!B:D,2,FALSE)</f>
        <v>COMIDA</v>
      </c>
      <c r="G12" t="s">
        <v>12</v>
      </c>
      <c r="H12" s="1">
        <v>400</v>
      </c>
      <c r="I12" s="7" t="s">
        <v>141</v>
      </c>
    </row>
    <row r="13" spans="2:9" x14ac:dyDescent="0.2">
      <c r="B13" t="str">
        <f>VLOOKUP(G13,PC!B:D,3,FALSE)</f>
        <v>CPV</v>
      </c>
      <c r="C13" s="22">
        <v>2023</v>
      </c>
      <c r="D13" t="s">
        <v>109</v>
      </c>
      <c r="E13" t="s">
        <v>129</v>
      </c>
      <c r="F13" t="str">
        <f>VLOOKUP(G13,PC!B:D,2,FALSE)</f>
        <v>SOBREMESA</v>
      </c>
      <c r="G13" t="s">
        <v>7</v>
      </c>
      <c r="H13" s="1">
        <v>91.7</v>
      </c>
    </row>
    <row r="14" spans="2:9" x14ac:dyDescent="0.2">
      <c r="B14" t="str">
        <f>VLOOKUP(G14,PC!B:D,3,FALSE)</f>
        <v>CPV</v>
      </c>
      <c r="C14" s="22">
        <v>2023</v>
      </c>
      <c r="D14" t="s">
        <v>109</v>
      </c>
      <c r="E14" t="s">
        <v>129</v>
      </c>
      <c r="F14" t="str">
        <f>VLOOKUP(G14,PC!B:D,2,FALSE)</f>
        <v>SOBREMESA</v>
      </c>
      <c r="G14" t="s">
        <v>7</v>
      </c>
      <c r="H14" s="1">
        <v>109</v>
      </c>
    </row>
    <row r="15" spans="2:9" x14ac:dyDescent="0.2">
      <c r="B15" t="str">
        <f>VLOOKUP(G15,PC!B:D,3,FALSE)</f>
        <v>DESPESA OPERACIONAL</v>
      </c>
      <c r="C15" s="22">
        <v>2023</v>
      </c>
      <c r="D15" t="s">
        <v>109</v>
      </c>
      <c r="F15" t="str">
        <f>VLOOKUP(G15,PC!B:D,2,FALSE)</f>
        <v>DESPESA OPERACIONAL</v>
      </c>
      <c r="G15" s="34" t="s">
        <v>73</v>
      </c>
      <c r="H15" s="1">
        <v>1452.11</v>
      </c>
    </row>
    <row r="16" spans="2:9" x14ac:dyDescent="0.2">
      <c r="B16" t="str">
        <f>VLOOKUP(G16,PC!B:D,3,FALSE)</f>
        <v>RECEITA</v>
      </c>
      <c r="C16" s="22">
        <v>2023</v>
      </c>
      <c r="D16" t="s">
        <v>109</v>
      </c>
      <c r="F16" t="str">
        <f>VLOOKUP(G16,PC!B:D,2,FALSE)</f>
        <v>RECEITA</v>
      </c>
      <c r="G16" t="s">
        <v>64</v>
      </c>
      <c r="H16" s="1">
        <v>33.39</v>
      </c>
    </row>
    <row r="17" spans="2:20" x14ac:dyDescent="0.2">
      <c r="B17" t="str">
        <f>VLOOKUP(G17,PC!B:D,3,FALSE)</f>
        <v>CPV</v>
      </c>
      <c r="C17" s="22">
        <v>2023</v>
      </c>
      <c r="D17" t="s">
        <v>109</v>
      </c>
      <c r="E17" t="s">
        <v>77</v>
      </c>
      <c r="F17" t="str">
        <f>VLOOKUP(G17,PC!B:D,2,FALSE)</f>
        <v>OUTROS</v>
      </c>
      <c r="G17" t="s">
        <v>37</v>
      </c>
      <c r="H17" s="1">
        <v>1554.09</v>
      </c>
    </row>
    <row r="18" spans="2:20" x14ac:dyDescent="0.2">
      <c r="B18" t="str">
        <f>VLOOKUP(G18,PC!B:D,3,FALSE)</f>
        <v>CPV</v>
      </c>
      <c r="C18" s="22">
        <v>2023</v>
      </c>
      <c r="D18" t="s">
        <v>109</v>
      </c>
      <c r="E18" t="s">
        <v>77</v>
      </c>
      <c r="F18" t="str">
        <f>VLOOKUP(G18,PC!B:D,2,FALSE)</f>
        <v>OUTROS</v>
      </c>
      <c r="G18" t="s">
        <v>37</v>
      </c>
      <c r="H18" s="1">
        <v>287.12</v>
      </c>
    </row>
    <row r="19" spans="2:20" x14ac:dyDescent="0.2">
      <c r="B19" t="str">
        <f>VLOOKUP(G19,PC!B:D,3,FALSE)</f>
        <v>CPV</v>
      </c>
      <c r="C19" s="22">
        <v>2023</v>
      </c>
      <c r="D19" t="s">
        <v>109</v>
      </c>
      <c r="E19" t="s">
        <v>89</v>
      </c>
      <c r="F19" t="str">
        <f>VLOOKUP(G19,PC!B:D,2,FALSE)</f>
        <v>BEBIDAS</v>
      </c>
      <c r="G19" t="s">
        <v>92</v>
      </c>
      <c r="H19" s="1">
        <v>136.44</v>
      </c>
    </row>
    <row r="20" spans="2:20" x14ac:dyDescent="0.2">
      <c r="B20" t="str">
        <f>VLOOKUP(G20,PC!B:D,3,FALSE)</f>
        <v>CPV</v>
      </c>
      <c r="C20" s="22">
        <v>2023</v>
      </c>
      <c r="D20" t="s">
        <v>109</v>
      </c>
      <c r="E20" t="s">
        <v>89</v>
      </c>
      <c r="F20" t="str">
        <f>VLOOKUP(G20,PC!B:D,2,FALSE)</f>
        <v>OUTROS</v>
      </c>
      <c r="G20" t="s">
        <v>37</v>
      </c>
      <c r="H20" s="1">
        <f>327-H19</f>
        <v>190.56</v>
      </c>
    </row>
    <row r="21" spans="2:20" x14ac:dyDescent="0.2">
      <c r="B21" t="str">
        <f>VLOOKUP(G21,PC!B:D,3,FALSE)</f>
        <v>CPV</v>
      </c>
      <c r="C21" s="22">
        <v>2023</v>
      </c>
      <c r="D21" t="s">
        <v>109</v>
      </c>
      <c r="E21" t="s">
        <v>49</v>
      </c>
      <c r="F21" t="str">
        <f>VLOOKUP(G21,PC!B:D,2,FALSE)</f>
        <v>CIGARRO</v>
      </c>
      <c r="G21" t="s">
        <v>52</v>
      </c>
      <c r="H21" s="1">
        <v>6173.73</v>
      </c>
      <c r="Q21">
        <v>131.68</v>
      </c>
      <c r="R21">
        <v>1.38</v>
      </c>
      <c r="S21" s="2">
        <f>R21/Q21</f>
        <v>1.0479951397326851E-2</v>
      </c>
    </row>
    <row r="22" spans="2:20" x14ac:dyDescent="0.2">
      <c r="B22" t="str">
        <f>VLOOKUP(G22,PC!B:D,3,FALSE)</f>
        <v>CPV</v>
      </c>
      <c r="C22" s="22">
        <v>2023</v>
      </c>
      <c r="D22" t="s">
        <v>109</v>
      </c>
      <c r="E22" t="s">
        <v>28</v>
      </c>
      <c r="F22" t="str">
        <f>VLOOKUP(G22,PC!B:D,2,FALSE)</f>
        <v>BEBIDAS</v>
      </c>
      <c r="G22" t="s">
        <v>26</v>
      </c>
      <c r="H22" s="1">
        <v>699</v>
      </c>
      <c r="Q22">
        <v>125.4</v>
      </c>
      <c r="R22">
        <v>1.32</v>
      </c>
      <c r="S22" s="2">
        <f t="shared" ref="S22:S28" si="0">R22/Q22</f>
        <v>1.0526315789473684E-2</v>
      </c>
    </row>
    <row r="23" spans="2:20" x14ac:dyDescent="0.2">
      <c r="B23" t="str">
        <f>VLOOKUP(G23,PC!B:D,3,FALSE)</f>
        <v>CPV</v>
      </c>
      <c r="C23" s="22">
        <v>2023</v>
      </c>
      <c r="D23" t="s">
        <v>109</v>
      </c>
      <c r="E23" t="s">
        <v>78</v>
      </c>
      <c r="F23" t="str">
        <f>VLOOKUP(G23,PC!B:D,2,FALSE)</f>
        <v>CIGARRO</v>
      </c>
      <c r="G23" t="s">
        <v>82</v>
      </c>
      <c r="H23" s="1">
        <v>281.48</v>
      </c>
      <c r="Q23">
        <v>122.64</v>
      </c>
      <c r="R23">
        <v>1.29</v>
      </c>
      <c r="S23" s="2">
        <f t="shared" si="0"/>
        <v>1.0518590998043052E-2</v>
      </c>
    </row>
    <row r="24" spans="2:20" x14ac:dyDescent="0.2">
      <c r="B24" t="str">
        <f>VLOOKUP(G24,PC!B:D,3,FALSE)</f>
        <v>CPV</v>
      </c>
      <c r="C24" s="22">
        <v>2023</v>
      </c>
      <c r="D24" t="s">
        <v>109</v>
      </c>
      <c r="E24" t="s">
        <v>20</v>
      </c>
      <c r="F24" t="str">
        <f>VLOOKUP(G24,PC!B:D,2,FALSE)</f>
        <v>COMIDA</v>
      </c>
      <c r="G24" t="s">
        <v>29</v>
      </c>
      <c r="H24" s="1">
        <v>62.25</v>
      </c>
      <c r="Q24">
        <v>18.690000000000001</v>
      </c>
      <c r="R24">
        <v>2.2999999999999998</v>
      </c>
      <c r="S24" s="2">
        <f t="shared" si="0"/>
        <v>0.1230604601391118</v>
      </c>
    </row>
    <row r="25" spans="2:20" x14ac:dyDescent="0.2">
      <c r="B25" t="str">
        <f>VLOOKUP(G25,PC!B:D,3,FALSE)</f>
        <v>CPV</v>
      </c>
      <c r="C25" s="22">
        <v>2023</v>
      </c>
      <c r="D25" t="s">
        <v>109</v>
      </c>
      <c r="E25" t="s">
        <v>40</v>
      </c>
      <c r="F25" t="str">
        <f>VLOOKUP(G25,PC!B:D,2,FALSE)</f>
        <v>BEBIDAS</v>
      </c>
      <c r="G25" t="s">
        <v>26</v>
      </c>
      <c r="H25" s="1">
        <v>73.099999999999994</v>
      </c>
      <c r="Q25">
        <v>71.540000000000006</v>
      </c>
      <c r="R25">
        <v>3</v>
      </c>
      <c r="S25" s="2">
        <f t="shared" si="0"/>
        <v>4.1934582051998875E-2</v>
      </c>
    </row>
    <row r="26" spans="2:20" x14ac:dyDescent="0.2">
      <c r="B26" t="str">
        <f>VLOOKUP(G26,PC!B:D,3,FALSE)</f>
        <v>CPV</v>
      </c>
      <c r="C26" s="22">
        <v>2023</v>
      </c>
      <c r="D26" t="s">
        <v>109</v>
      </c>
      <c r="E26" t="s">
        <v>30</v>
      </c>
      <c r="F26" t="str">
        <f>VLOOKUP(G26,PC!B:D,2,FALSE)</f>
        <v>SOBREMESA</v>
      </c>
      <c r="G26" t="s">
        <v>23</v>
      </c>
      <c r="H26" s="1">
        <f>143.58+254.56+73.91</f>
        <v>472.04999999999995</v>
      </c>
      <c r="Q26">
        <v>68.75</v>
      </c>
      <c r="R26">
        <v>2.17</v>
      </c>
      <c r="S26" s="2">
        <f t="shared" si="0"/>
        <v>3.1563636363636363E-2</v>
      </c>
    </row>
    <row r="27" spans="2:20" x14ac:dyDescent="0.2">
      <c r="B27" t="str">
        <f>VLOOKUP(G27,PC!B:D,3,FALSE)</f>
        <v>CPV</v>
      </c>
      <c r="C27" s="22">
        <v>2023</v>
      </c>
      <c r="D27" t="s">
        <v>109</v>
      </c>
      <c r="E27" t="s">
        <v>30</v>
      </c>
      <c r="F27" t="str">
        <f>VLOOKUP(G27,PC!B:D,2,FALSE)</f>
        <v>HIGIENE</v>
      </c>
      <c r="G27" s="3" t="s">
        <v>36</v>
      </c>
      <c r="H27" s="1">
        <f>37.14+18.57+18.57</f>
        <v>74.28</v>
      </c>
      <c r="I27" s="7" t="s">
        <v>142</v>
      </c>
      <c r="Q27">
        <v>71.510000000000005</v>
      </c>
      <c r="R27">
        <v>8.69</v>
      </c>
      <c r="S27" s="2">
        <f t="shared" si="0"/>
        <v>0.12152146552929659</v>
      </c>
    </row>
    <row r="28" spans="2:20" x14ac:dyDescent="0.2">
      <c r="B28" t="str">
        <f>VLOOKUP(G28,PC!B:D,3,FALSE)</f>
        <v>CPV</v>
      </c>
      <c r="C28" s="22">
        <v>2023</v>
      </c>
      <c r="D28" t="s">
        <v>109</v>
      </c>
      <c r="E28" t="s">
        <v>30</v>
      </c>
      <c r="F28" t="str">
        <f>VLOOKUP(G28,PC!B:D,2,FALSE)</f>
        <v>OUTROS</v>
      </c>
      <c r="G28" s="3" t="s">
        <v>37</v>
      </c>
      <c r="H28" s="1">
        <v>307.2</v>
      </c>
      <c r="I28" s="7" t="s">
        <v>143</v>
      </c>
      <c r="Q28">
        <v>82.29</v>
      </c>
      <c r="R28">
        <v>6.67</v>
      </c>
      <c r="S28" s="2">
        <f t="shared" si="0"/>
        <v>8.1054806173289584E-2</v>
      </c>
    </row>
    <row r="29" spans="2:20" x14ac:dyDescent="0.2">
      <c r="B29" t="str">
        <f>VLOOKUP(G29,PC!B:D,3,FALSE)</f>
        <v>CPV</v>
      </c>
      <c r="C29" s="22">
        <v>2023</v>
      </c>
      <c r="D29" t="s">
        <v>109</v>
      </c>
      <c r="E29" t="s">
        <v>27</v>
      </c>
      <c r="F29" t="str">
        <f>VLOOKUP(G29,PC!B:D,2,FALSE)</f>
        <v>COMIDA</v>
      </c>
      <c r="G29" t="s">
        <v>12</v>
      </c>
      <c r="H29" s="1">
        <v>221.08</v>
      </c>
      <c r="Q29">
        <f>SUBTOTAL(9,Q21:Q28)</f>
        <v>692.5</v>
      </c>
      <c r="R29">
        <f>SUBTOTAL(9,R21:R28)</f>
        <v>26.82</v>
      </c>
      <c r="S29">
        <f>R29+Q29</f>
        <v>719.32</v>
      </c>
      <c r="T29" s="2">
        <f>R29/Q29</f>
        <v>3.8729241877256321E-2</v>
      </c>
    </row>
    <row r="30" spans="2:20" x14ac:dyDescent="0.2">
      <c r="B30" t="str">
        <f>VLOOKUP(G30,PC!B:D,3,FALSE)</f>
        <v>CPV</v>
      </c>
      <c r="C30" s="22">
        <v>2023</v>
      </c>
      <c r="D30" t="s">
        <v>109</v>
      </c>
      <c r="E30" t="s">
        <v>28</v>
      </c>
      <c r="F30" t="str">
        <f>VLOOKUP(G30,PC!B:D,2,FALSE)</f>
        <v>BEBIDAS</v>
      </c>
      <c r="G30" t="s">
        <v>26</v>
      </c>
      <c r="H30" s="1">
        <v>2347.64</v>
      </c>
    </row>
    <row r="31" spans="2:20" x14ac:dyDescent="0.2">
      <c r="B31" t="str">
        <f>VLOOKUP(G31,PC!B:D,3,FALSE)</f>
        <v>CPV</v>
      </c>
      <c r="C31" s="22">
        <v>2023</v>
      </c>
      <c r="D31" t="s">
        <v>109</v>
      </c>
      <c r="E31" t="s">
        <v>13</v>
      </c>
      <c r="F31" t="str">
        <f>VLOOKUP(G31,PC!B:D,2,FALSE)</f>
        <v>COMIDA</v>
      </c>
      <c r="G31" t="s">
        <v>33</v>
      </c>
      <c r="H31" s="1">
        <v>318.31</v>
      </c>
    </row>
    <row r="32" spans="2:20" x14ac:dyDescent="0.2">
      <c r="B32" t="str">
        <f>VLOOKUP(G32,PC!B:D,3,FALSE)</f>
        <v>CPV</v>
      </c>
      <c r="C32" s="22">
        <v>2023</v>
      </c>
      <c r="D32" t="s">
        <v>109</v>
      </c>
      <c r="E32" t="s">
        <v>95</v>
      </c>
      <c r="F32" t="str">
        <f>VLOOKUP(G32,PC!B:D,2,FALSE)</f>
        <v>BEBIDAS</v>
      </c>
      <c r="G32" t="s">
        <v>144</v>
      </c>
      <c r="H32" s="1">
        <v>150</v>
      </c>
    </row>
    <row r="33" spans="2:9" x14ac:dyDescent="0.2">
      <c r="B33" t="str">
        <f>VLOOKUP(G33,PC!B:D,3,FALSE)</f>
        <v>CPV</v>
      </c>
      <c r="C33" s="22">
        <v>2023</v>
      </c>
      <c r="D33" t="s">
        <v>109</v>
      </c>
      <c r="E33" t="s">
        <v>14</v>
      </c>
      <c r="F33" t="str">
        <f>VLOOKUP(G33,PC!B:D,2,FALSE)</f>
        <v>BEBIDAS</v>
      </c>
      <c r="G33" t="s">
        <v>25</v>
      </c>
      <c r="H33" s="1">
        <f>570.27-H34</f>
        <v>530.55999999999995</v>
      </c>
    </row>
    <row r="34" spans="2:9" x14ac:dyDescent="0.2">
      <c r="B34" t="str">
        <f>VLOOKUP(G34,PC!B:D,3,FALSE)</f>
        <v>CPV</v>
      </c>
      <c r="C34" s="22">
        <v>2023</v>
      </c>
      <c r="D34" t="s">
        <v>109</v>
      </c>
      <c r="E34" t="s">
        <v>14</v>
      </c>
      <c r="F34" t="str">
        <f>VLOOKUP(G34,PC!B:D,2,FALSE)</f>
        <v>BEBIDAS</v>
      </c>
      <c r="G34" t="s">
        <v>80</v>
      </c>
      <c r="H34" s="1">
        <f>28.33+11.38</f>
        <v>39.71</v>
      </c>
    </row>
    <row r="35" spans="2:9" x14ac:dyDescent="0.2">
      <c r="B35" t="str">
        <f>VLOOKUP(G35,PC!B:D,3,FALSE)</f>
        <v>CPV</v>
      </c>
      <c r="C35" s="22">
        <v>2023</v>
      </c>
      <c r="D35" t="s">
        <v>109</v>
      </c>
      <c r="E35" t="s">
        <v>28</v>
      </c>
      <c r="F35" t="str">
        <f>VLOOKUP(G35,PC!B:D,2,FALSE)</f>
        <v>BEBIDAS</v>
      </c>
      <c r="G35" t="s">
        <v>26</v>
      </c>
      <c r="H35" s="1">
        <v>4657.28</v>
      </c>
    </row>
    <row r="36" spans="2:9" x14ac:dyDescent="0.2">
      <c r="B36" t="str">
        <f>VLOOKUP(G36,PC!B:D,3,FALSE)</f>
        <v>CPV</v>
      </c>
      <c r="C36" s="22">
        <v>2023</v>
      </c>
      <c r="D36" t="s">
        <v>109</v>
      </c>
      <c r="E36" t="s">
        <v>24</v>
      </c>
      <c r="F36" t="str">
        <f>VLOOKUP(G36,PC!B:D,2,FALSE)</f>
        <v>COMIDA</v>
      </c>
      <c r="G36" t="s">
        <v>33</v>
      </c>
      <c r="H36" s="1">
        <v>475.84</v>
      </c>
    </row>
    <row r="37" spans="2:9" x14ac:dyDescent="0.2">
      <c r="B37" t="str">
        <f>VLOOKUP(G37,PC!B:D,3,FALSE)</f>
        <v>CPV</v>
      </c>
      <c r="C37" s="22">
        <v>2023</v>
      </c>
      <c r="D37" t="s">
        <v>109</v>
      </c>
      <c r="E37" t="s">
        <v>100</v>
      </c>
      <c r="F37" t="str">
        <f>VLOOKUP(G37,PC!B:D,2,FALSE)</f>
        <v>COMIDA</v>
      </c>
      <c r="G37" t="s">
        <v>18</v>
      </c>
      <c r="H37" s="1">
        <v>157.69999999999999</v>
      </c>
    </row>
    <row r="38" spans="2:9" x14ac:dyDescent="0.2">
      <c r="B38" t="str">
        <f>VLOOKUP(G38,PC!B:D,3,FALSE)</f>
        <v>RECEITA</v>
      </c>
      <c r="C38" s="22">
        <v>2023</v>
      </c>
      <c r="D38" t="s">
        <v>109</v>
      </c>
      <c r="F38" t="str">
        <f>VLOOKUP(G38,PC!B:D,2,FALSE)</f>
        <v>RECEITA</v>
      </c>
      <c r="G38" t="s">
        <v>54</v>
      </c>
      <c r="H38" s="1">
        <v>3450</v>
      </c>
    </row>
    <row r="39" spans="2:9" x14ac:dyDescent="0.2">
      <c r="B39" t="str">
        <f>VLOOKUP(G39,PC!B:D,3,FALSE)</f>
        <v>RECEITA</v>
      </c>
      <c r="C39" s="22">
        <v>2023</v>
      </c>
      <c r="D39" t="s">
        <v>109</v>
      </c>
      <c r="F39" t="str">
        <f>VLOOKUP(G39,PC!B:D,2,FALSE)</f>
        <v>RECEITA</v>
      </c>
      <c r="G39" t="s">
        <v>62</v>
      </c>
      <c r="H39" s="1">
        <v>140</v>
      </c>
    </row>
    <row r="40" spans="2:9" x14ac:dyDescent="0.2">
      <c r="B40" t="str">
        <f>VLOOKUP(G40,PC!B:D,3,FALSE)</f>
        <v>RECEITA</v>
      </c>
      <c r="C40" s="22">
        <v>2023</v>
      </c>
      <c r="D40" t="s">
        <v>109</v>
      </c>
      <c r="F40" t="str">
        <f>VLOOKUP(G40,PC!B:D,2,FALSE)</f>
        <v>RECEITA</v>
      </c>
      <c r="G40" t="s">
        <v>62</v>
      </c>
      <c r="H40" s="1">
        <v>110</v>
      </c>
    </row>
    <row r="41" spans="2:9" x14ac:dyDescent="0.2">
      <c r="B41" t="str">
        <f>VLOOKUP(G41,PC!B:D,3,FALSE)</f>
        <v>RECEITA</v>
      </c>
      <c r="C41" s="22">
        <v>2023</v>
      </c>
      <c r="D41" t="s">
        <v>109</v>
      </c>
      <c r="F41" t="str">
        <f>VLOOKUP(G41,PC!B:D,2,FALSE)</f>
        <v>RECEITA</v>
      </c>
      <c r="G41" t="s">
        <v>54</v>
      </c>
      <c r="H41" s="1">
        <v>1550</v>
      </c>
    </row>
    <row r="42" spans="2:9" x14ac:dyDescent="0.2">
      <c r="B42" t="str">
        <f>VLOOKUP(G42,PC!B:D,3,FALSE)</f>
        <v>CPV</v>
      </c>
      <c r="C42" s="22">
        <v>2023</v>
      </c>
      <c r="D42" t="s">
        <v>109</v>
      </c>
      <c r="E42" t="s">
        <v>129</v>
      </c>
      <c r="F42" t="str">
        <f>VLOOKUP(G42,PC!B:D,2,FALSE)</f>
        <v>COMIDA</v>
      </c>
      <c r="G42" t="s">
        <v>12</v>
      </c>
      <c r="H42" s="1">
        <v>277</v>
      </c>
    </row>
    <row r="43" spans="2:9" x14ac:dyDescent="0.2">
      <c r="B43" t="str">
        <f>VLOOKUP(G43,PC!B:D,3,FALSE)</f>
        <v>DESPESA PESSOAL</v>
      </c>
      <c r="C43" s="22">
        <v>2023</v>
      </c>
      <c r="D43" t="s">
        <v>109</v>
      </c>
      <c r="F43" t="str">
        <f>VLOOKUP(G43,PC!B:D,2,FALSE)</f>
        <v>DESPESA PESSOAL</v>
      </c>
      <c r="G43" t="s">
        <v>56</v>
      </c>
      <c r="H43" s="1">
        <v>250</v>
      </c>
    </row>
    <row r="44" spans="2:9" x14ac:dyDescent="0.2">
      <c r="B44" t="str">
        <f>VLOOKUP(G44,PC!B:D,3,FALSE)</f>
        <v>RECEITA</v>
      </c>
      <c r="C44" s="22">
        <v>2023</v>
      </c>
      <c r="D44" t="s">
        <v>109</v>
      </c>
      <c r="F44" t="str">
        <f>VLOOKUP(G44,PC!B:D,2,FALSE)</f>
        <v>RECEITA</v>
      </c>
      <c r="G44" t="s">
        <v>54</v>
      </c>
      <c r="H44" s="1">
        <v>1000</v>
      </c>
    </row>
    <row r="45" spans="2:9" x14ac:dyDescent="0.2">
      <c r="B45" t="str">
        <f>VLOOKUP(G45,PC!B:D,3,FALSE)</f>
        <v>RECEITA</v>
      </c>
      <c r="C45" s="22">
        <v>2023</v>
      </c>
      <c r="D45" t="s">
        <v>109</v>
      </c>
      <c r="F45" t="str">
        <f>VLOOKUP(G45,PC!B:D,2,FALSE)</f>
        <v>RECEITA</v>
      </c>
      <c r="G45" t="s">
        <v>54</v>
      </c>
      <c r="H45" s="1">
        <v>2200</v>
      </c>
    </row>
    <row r="46" spans="2:9" x14ac:dyDescent="0.2">
      <c r="B46" t="str">
        <f>VLOOKUP(G46,PC!B:D,3,FALSE)</f>
        <v>RECEITA</v>
      </c>
      <c r="C46" s="22">
        <v>2023</v>
      </c>
      <c r="D46" t="s">
        <v>109</v>
      </c>
      <c r="F46" t="str">
        <f>VLOOKUP(G46,PC!B:D,2,FALSE)</f>
        <v>RECEITA</v>
      </c>
      <c r="G46" t="s">
        <v>59</v>
      </c>
      <c r="H46" s="1">
        <v>291</v>
      </c>
    </row>
    <row r="47" spans="2:9" x14ac:dyDescent="0.2">
      <c r="B47" t="str">
        <f>VLOOKUP(G47,PC!B:D,3,FALSE)</f>
        <v>DESPESA PESSOAL</v>
      </c>
      <c r="C47" s="22">
        <v>2023</v>
      </c>
      <c r="D47" t="s">
        <v>109</v>
      </c>
      <c r="F47" t="str">
        <f>VLOOKUP(G47,PC!B:D,2,FALSE)</f>
        <v>DESPESA PESSOAL</v>
      </c>
      <c r="G47" t="s">
        <v>56</v>
      </c>
      <c r="H47" s="1">
        <v>300</v>
      </c>
      <c r="I47" s="7" t="s">
        <v>150</v>
      </c>
    </row>
    <row r="48" spans="2:9" x14ac:dyDescent="0.2">
      <c r="B48" t="str">
        <f>VLOOKUP(G48,PC!B:D,3,FALSE)</f>
        <v>CPV</v>
      </c>
      <c r="C48" s="22">
        <v>2023</v>
      </c>
      <c r="D48" t="s">
        <v>109</v>
      </c>
      <c r="E48" t="s">
        <v>129</v>
      </c>
      <c r="F48" t="str">
        <f>VLOOKUP(G48,PC!B:D,2,FALSE)</f>
        <v>COMIDA</v>
      </c>
      <c r="G48" t="s">
        <v>12</v>
      </c>
      <c r="H48" s="1">
        <v>27</v>
      </c>
    </row>
    <row r="49" spans="2:8" x14ac:dyDescent="0.2">
      <c r="B49" t="str">
        <f>VLOOKUP(G49,PC!B:D,3,FALSE)</f>
        <v>RECEITA</v>
      </c>
      <c r="C49" s="22">
        <v>2023</v>
      </c>
      <c r="D49" t="s">
        <v>109</v>
      </c>
      <c r="F49" t="str">
        <f>VLOOKUP(G49,PC!B:D,2,FALSE)</f>
        <v>RECEITA</v>
      </c>
      <c r="G49" t="s">
        <v>54</v>
      </c>
      <c r="H49" s="1">
        <v>2000</v>
      </c>
    </row>
    <row r="50" spans="2:8" x14ac:dyDescent="0.2">
      <c r="B50" t="str">
        <f>VLOOKUP(G50,PC!B:D,3,FALSE)</f>
        <v>RECEITA</v>
      </c>
      <c r="C50" s="22">
        <v>2023</v>
      </c>
      <c r="D50" t="s">
        <v>109</v>
      </c>
      <c r="F50" t="str">
        <f>VLOOKUP(G50,PC!B:D,2,FALSE)</f>
        <v>RECEITA</v>
      </c>
      <c r="G50" s="4" t="s">
        <v>54</v>
      </c>
      <c r="H50" s="1">
        <v>150</v>
      </c>
    </row>
    <row r="51" spans="2:8" x14ac:dyDescent="0.2">
      <c r="B51" t="str">
        <f>VLOOKUP(G51,PC!B:D,3,FALSE)</f>
        <v>RECEITA</v>
      </c>
      <c r="C51" s="22">
        <v>2023</v>
      </c>
      <c r="D51" t="s">
        <v>109</v>
      </c>
      <c r="F51" t="str">
        <f>VLOOKUP(G51,PC!B:D,2,FALSE)</f>
        <v>RECEITA</v>
      </c>
      <c r="G51" s="4" t="s">
        <v>54</v>
      </c>
      <c r="H51" s="1">
        <v>1500</v>
      </c>
    </row>
    <row r="52" spans="2:8" x14ac:dyDescent="0.2">
      <c r="B52" t="str">
        <f>VLOOKUP(G52,PC!B:D,3,FALSE)</f>
        <v>RECEITA</v>
      </c>
      <c r="C52" s="22">
        <v>2023</v>
      </c>
      <c r="D52" t="s">
        <v>109</v>
      </c>
      <c r="F52" t="str">
        <f>VLOOKUP(G52,PC!B:D,2,FALSE)</f>
        <v>RECEITA</v>
      </c>
      <c r="G52" t="s">
        <v>54</v>
      </c>
      <c r="H52" s="1">
        <v>700</v>
      </c>
    </row>
    <row r="53" spans="2:8" x14ac:dyDescent="0.2">
      <c r="B53" t="str">
        <f>VLOOKUP(G53,PC!B:D,3,FALSE)</f>
        <v>RECEITA</v>
      </c>
      <c r="C53" s="22">
        <v>2023</v>
      </c>
      <c r="D53" t="s">
        <v>109</v>
      </c>
      <c r="F53" t="str">
        <f>VLOOKUP(G53,PC!B:D,2,FALSE)</f>
        <v>RECEITA</v>
      </c>
      <c r="G53" t="s">
        <v>54</v>
      </c>
      <c r="H53" s="1">
        <v>900</v>
      </c>
    </row>
    <row r="54" spans="2:8" x14ac:dyDescent="0.2">
      <c r="B54" t="str">
        <f>VLOOKUP(G54,PC!B:D,3,FALSE)</f>
        <v>RECEITAS NÃO OPERACIONAIS</v>
      </c>
      <c r="C54" s="22">
        <v>2023</v>
      </c>
      <c r="D54" t="s">
        <v>109</v>
      </c>
      <c r="F54" t="str">
        <f>VLOOKUP(G54,PC!B:D,2,FALSE)</f>
        <v>EMPRESTIMO</v>
      </c>
      <c r="G54" t="s">
        <v>71</v>
      </c>
      <c r="H54" s="1">
        <v>600</v>
      </c>
    </row>
    <row r="55" spans="2:8" x14ac:dyDescent="0.2">
      <c r="B55" t="str">
        <f>VLOOKUP(G55,PC!B:D,3,FALSE)</f>
        <v>RECEITA</v>
      </c>
      <c r="C55" s="22">
        <v>2023</v>
      </c>
      <c r="D55" t="s">
        <v>109</v>
      </c>
      <c r="F55" t="str">
        <f>VLOOKUP(G55,PC!B:D,2,FALSE)</f>
        <v>RECEITA</v>
      </c>
      <c r="G55" t="s">
        <v>54</v>
      </c>
      <c r="H55" s="1">
        <v>1600</v>
      </c>
    </row>
    <row r="56" spans="2:8" x14ac:dyDescent="0.2">
      <c r="B56" t="str">
        <f>VLOOKUP(G56,PC!B:D,3,FALSE)</f>
        <v>CPV</v>
      </c>
      <c r="C56" s="22">
        <v>2023</v>
      </c>
      <c r="D56" t="s">
        <v>109</v>
      </c>
      <c r="E56" t="s">
        <v>129</v>
      </c>
      <c r="F56" t="str">
        <f>VLOOKUP(G56,PC!B:D,2,FALSE)</f>
        <v>COMIDA</v>
      </c>
      <c r="G56" t="s">
        <v>12</v>
      </c>
      <c r="H56" s="1">
        <f>100+44</f>
        <v>144</v>
      </c>
    </row>
    <row r="57" spans="2:8" x14ac:dyDescent="0.2">
      <c r="B57" t="str">
        <f>VLOOKUP(G57,PC!B:D,3,FALSE)</f>
        <v>DESPESA OPERACIONAL</v>
      </c>
      <c r="C57" s="22">
        <v>2023</v>
      </c>
      <c r="D57" t="s">
        <v>109</v>
      </c>
      <c r="F57" t="str">
        <f>VLOOKUP(G57,PC!B:D,2,FALSE)</f>
        <v>DESPESA OPERACIONAL</v>
      </c>
      <c r="G57" t="s">
        <v>70</v>
      </c>
      <c r="H57" s="1">
        <v>83</v>
      </c>
    </row>
    <row r="58" spans="2:8" x14ac:dyDescent="0.2">
      <c r="B58" t="str">
        <f>VLOOKUP(G58,PC!B:D,3,FALSE)</f>
        <v>CPV</v>
      </c>
      <c r="C58" s="22">
        <v>2023</v>
      </c>
      <c r="D58" t="s">
        <v>109</v>
      </c>
      <c r="E58" t="s">
        <v>129</v>
      </c>
      <c r="F58" t="str">
        <f>VLOOKUP(G58,PC!B:D,2,FALSE)</f>
        <v>COMIDA</v>
      </c>
      <c r="G58" t="s">
        <v>12</v>
      </c>
      <c r="H58" s="1">
        <v>100</v>
      </c>
    </row>
    <row r="59" spans="2:8" x14ac:dyDescent="0.2">
      <c r="B59" t="str">
        <f>VLOOKUP(G59,PC!B:D,3,FALSE)</f>
        <v>CPV</v>
      </c>
      <c r="C59" s="22">
        <v>2023</v>
      </c>
      <c r="D59" t="s">
        <v>109</v>
      </c>
      <c r="E59" t="s">
        <v>129</v>
      </c>
      <c r="F59" t="str">
        <f>VLOOKUP(G59,PC!B:D,2,FALSE)</f>
        <v>COMIDA</v>
      </c>
      <c r="G59" t="s">
        <v>34</v>
      </c>
      <c r="H59" s="1">
        <v>110</v>
      </c>
    </row>
    <row r="60" spans="2:8" x14ac:dyDescent="0.2">
      <c r="B60" t="str">
        <f>VLOOKUP(G60,PC!B:D,3,FALSE)</f>
        <v>RECEITA</v>
      </c>
      <c r="C60" s="22">
        <v>2023</v>
      </c>
      <c r="D60" t="s">
        <v>109</v>
      </c>
      <c r="F60" t="str">
        <f>VLOOKUP(G60,PC!B:D,2,FALSE)</f>
        <v>RECEITA</v>
      </c>
      <c r="G60" t="s">
        <v>54</v>
      </c>
      <c r="H60" s="1">
        <v>1300</v>
      </c>
    </row>
    <row r="61" spans="2:8" x14ac:dyDescent="0.2">
      <c r="B61" t="str">
        <f>VLOOKUP(G61,PC!B:D,3,FALSE)</f>
        <v>CPV</v>
      </c>
      <c r="C61" s="22">
        <v>2023</v>
      </c>
      <c r="D61" t="s">
        <v>109</v>
      </c>
      <c r="E61" t="s">
        <v>129</v>
      </c>
      <c r="F61" t="str">
        <f>VLOOKUP(G61,PC!B:D,2,FALSE)</f>
        <v>SOBREMESA</v>
      </c>
      <c r="G61" t="s">
        <v>7</v>
      </c>
      <c r="H61" s="1">
        <v>68</v>
      </c>
    </row>
    <row r="62" spans="2:8" x14ac:dyDescent="0.2">
      <c r="B62" t="str">
        <f>VLOOKUP(G62,PC!B:D,3,FALSE)</f>
        <v>RECEITA</v>
      </c>
      <c r="C62" s="22">
        <v>2023</v>
      </c>
      <c r="D62" t="s">
        <v>109</v>
      </c>
      <c r="F62" t="str">
        <f>VLOOKUP(G62,PC!B:D,2,FALSE)</f>
        <v>RECEITA</v>
      </c>
      <c r="G62" t="s">
        <v>54</v>
      </c>
      <c r="H62" s="1">
        <v>1600</v>
      </c>
    </row>
    <row r="63" spans="2:8" x14ac:dyDescent="0.2">
      <c r="B63" t="str">
        <f>VLOOKUP(G63,PC!B:D,3,FALSE)</f>
        <v>RECEITA</v>
      </c>
      <c r="C63" s="22">
        <v>2023</v>
      </c>
      <c r="D63" t="s">
        <v>109</v>
      </c>
      <c r="F63" t="str">
        <f>VLOOKUP(G63,PC!B:D,2,FALSE)</f>
        <v>RECEITA</v>
      </c>
      <c r="G63" t="s">
        <v>54</v>
      </c>
      <c r="H63" s="1">
        <v>1450</v>
      </c>
    </row>
    <row r="64" spans="2:8" x14ac:dyDescent="0.2">
      <c r="B64" t="str">
        <f>VLOOKUP(G64,PC!B:D,3,FALSE)</f>
        <v>CPV</v>
      </c>
      <c r="C64" s="22">
        <v>2023</v>
      </c>
      <c r="D64" t="s">
        <v>109</v>
      </c>
      <c r="E64" t="s">
        <v>129</v>
      </c>
      <c r="F64" t="str">
        <f>VLOOKUP(G64,PC!B:D,2,FALSE)</f>
        <v>COMIDA</v>
      </c>
      <c r="G64" t="s">
        <v>18</v>
      </c>
      <c r="H64" s="1">
        <v>44</v>
      </c>
    </row>
    <row r="65" spans="2:9" x14ac:dyDescent="0.2">
      <c r="B65" t="str">
        <f>VLOOKUP(G65,PC!B:D,3,FALSE)</f>
        <v>CPV</v>
      </c>
      <c r="C65" s="22">
        <v>2023</v>
      </c>
      <c r="D65" t="s">
        <v>109</v>
      </c>
      <c r="E65" t="s">
        <v>129</v>
      </c>
      <c r="F65" t="str">
        <f>VLOOKUP(G65,PC!B:D,2,FALSE)</f>
        <v>CIGARRO</v>
      </c>
      <c r="G65" t="s">
        <v>55</v>
      </c>
      <c r="H65" s="1">
        <v>38</v>
      </c>
    </row>
    <row r="66" spans="2:9" x14ac:dyDescent="0.2">
      <c r="B66" t="str">
        <f>VLOOKUP(G66,PC!B:D,3,FALSE)</f>
        <v>DESPESA PESSOAL</v>
      </c>
      <c r="C66" s="22">
        <v>2023</v>
      </c>
      <c r="D66" t="s">
        <v>109</v>
      </c>
      <c r="F66" t="str">
        <f>VLOOKUP(G66,PC!B:D,2,FALSE)</f>
        <v>DESPESA PESSOAL</v>
      </c>
      <c r="G66" t="s">
        <v>68</v>
      </c>
      <c r="H66" s="1">
        <v>120</v>
      </c>
    </row>
    <row r="67" spans="2:9" x14ac:dyDescent="0.2">
      <c r="B67" t="str">
        <f>VLOOKUP(G67,PC!B:D,3,FALSE)</f>
        <v>CPV</v>
      </c>
      <c r="C67" s="22">
        <v>2023</v>
      </c>
      <c r="D67" t="s">
        <v>109</v>
      </c>
      <c r="E67" t="s">
        <v>129</v>
      </c>
      <c r="F67" t="str">
        <f>VLOOKUP(G67,PC!B:D,2,FALSE)</f>
        <v>COMIDA</v>
      </c>
      <c r="G67" t="s">
        <v>34</v>
      </c>
      <c r="H67" s="1">
        <v>105</v>
      </c>
    </row>
    <row r="68" spans="2:9" x14ac:dyDescent="0.2">
      <c r="B68" t="str">
        <f>VLOOKUP(G68,PC!B:D,3,FALSE)</f>
        <v>CPV</v>
      </c>
      <c r="C68" s="22">
        <v>2023</v>
      </c>
      <c r="D68" t="s">
        <v>109</v>
      </c>
      <c r="E68" t="s">
        <v>129</v>
      </c>
      <c r="F68" t="str">
        <f>VLOOKUP(G68,PC!B:D,2,FALSE)</f>
        <v>COMIDA</v>
      </c>
      <c r="G68" t="s">
        <v>146</v>
      </c>
      <c r="H68" s="1">
        <v>80</v>
      </c>
    </row>
    <row r="69" spans="2:9" x14ac:dyDescent="0.2">
      <c r="B69" t="str">
        <f>VLOOKUP(G69,PC!B:D,3,FALSE)</f>
        <v>RECEITA</v>
      </c>
      <c r="C69" s="22">
        <v>2023</v>
      </c>
      <c r="D69" t="s">
        <v>109</v>
      </c>
      <c r="F69" t="str">
        <f>VLOOKUP(G69,PC!B:D,2,FALSE)</f>
        <v>RECEITA</v>
      </c>
      <c r="G69" t="s">
        <v>54</v>
      </c>
      <c r="H69" s="1">
        <v>250</v>
      </c>
    </row>
    <row r="70" spans="2:9" x14ac:dyDescent="0.2">
      <c r="B70" t="str">
        <f>VLOOKUP(G70,PC!B:D,3,FALSE)</f>
        <v>CPV</v>
      </c>
      <c r="C70" s="22">
        <v>2023</v>
      </c>
      <c r="D70" t="s">
        <v>109</v>
      </c>
      <c r="E70" t="s">
        <v>129</v>
      </c>
      <c r="F70" t="str">
        <f>VLOOKUP(G70,PC!B:D,2,FALSE)</f>
        <v>OUTROS</v>
      </c>
      <c r="G70" t="s">
        <v>58</v>
      </c>
      <c r="H70" s="1">
        <v>118</v>
      </c>
    </row>
    <row r="71" spans="2:9" x14ac:dyDescent="0.2">
      <c r="B71" t="str">
        <f>VLOOKUP(G71,PC!B:D,3,FALSE)</f>
        <v>CPV</v>
      </c>
      <c r="C71" s="22">
        <v>2023</v>
      </c>
      <c r="D71" t="s">
        <v>109</v>
      </c>
      <c r="E71" t="s">
        <v>129</v>
      </c>
      <c r="F71" t="str">
        <f>VLOOKUP(G71,PC!B:D,2,FALSE)</f>
        <v>CIGARRO</v>
      </c>
      <c r="G71" s="4" t="s">
        <v>55</v>
      </c>
      <c r="H71" s="1">
        <v>158</v>
      </c>
    </row>
    <row r="72" spans="2:9" x14ac:dyDescent="0.2">
      <c r="B72" t="str">
        <f>VLOOKUP(G72,PC!B:D,3,FALSE)</f>
        <v>RECEITA</v>
      </c>
      <c r="C72" s="22">
        <v>2023</v>
      </c>
      <c r="D72" t="s">
        <v>109</v>
      </c>
      <c r="F72" t="str">
        <f>VLOOKUP(G72,PC!B:D,2,FALSE)</f>
        <v>RECEITA</v>
      </c>
      <c r="G72" t="s">
        <v>54</v>
      </c>
      <c r="H72" s="1">
        <v>1100</v>
      </c>
    </row>
    <row r="73" spans="2:9" x14ac:dyDescent="0.2">
      <c r="B73" t="str">
        <f>VLOOKUP(G73,PC!B:D,3,FALSE)</f>
        <v>DESPESA OPERACIONAL</v>
      </c>
      <c r="C73" s="22">
        <v>2023</v>
      </c>
      <c r="D73" t="s">
        <v>109</v>
      </c>
      <c r="F73" t="str">
        <f>VLOOKUP(G73,PC!B:D,2,FALSE)</f>
        <v>MANUTENÇÃO MÁQUINAS</v>
      </c>
      <c r="G73" t="s">
        <v>147</v>
      </c>
      <c r="H73" s="1">
        <v>100</v>
      </c>
    </row>
    <row r="74" spans="2:9" x14ac:dyDescent="0.2">
      <c r="B74" t="str">
        <f>VLOOKUP(G74,PC!B:D,3,FALSE)</f>
        <v>INVESTIMENTO</v>
      </c>
      <c r="C74" s="22">
        <v>2023</v>
      </c>
      <c r="D74" t="s">
        <v>109</v>
      </c>
      <c r="F74" t="str">
        <f>VLOOKUP(G74,PC!B:D,2,FALSE)</f>
        <v>INVESTIMENTO</v>
      </c>
      <c r="G74" t="s">
        <v>130</v>
      </c>
      <c r="H74" s="1">
        <v>2500</v>
      </c>
      <c r="I74" s="7" t="s">
        <v>148</v>
      </c>
    </row>
    <row r="75" spans="2:9" x14ac:dyDescent="0.2">
      <c r="B75" t="str">
        <f>VLOOKUP(G75,PC!B:D,3,FALSE)</f>
        <v>CPV</v>
      </c>
      <c r="C75" s="22">
        <v>2023</v>
      </c>
      <c r="D75" t="s">
        <v>109</v>
      </c>
      <c r="E75" t="s">
        <v>129</v>
      </c>
      <c r="F75" t="str">
        <f>VLOOKUP(G75,PC!B:D,2,FALSE)</f>
        <v>COMIDA</v>
      </c>
      <c r="G75" t="s">
        <v>33</v>
      </c>
      <c r="H75" s="1">
        <v>60</v>
      </c>
    </row>
    <row r="76" spans="2:9" x14ac:dyDescent="0.2">
      <c r="B76" t="str">
        <f>VLOOKUP(G76,PC!B:D,3,FALSE)</f>
        <v>RECEITA</v>
      </c>
      <c r="C76" s="22">
        <v>2023</v>
      </c>
      <c r="D76" t="s">
        <v>109</v>
      </c>
      <c r="F76" t="str">
        <f>VLOOKUP(G76,PC!B:D,2,FALSE)</f>
        <v>RECEITA</v>
      </c>
      <c r="G76" t="s">
        <v>54</v>
      </c>
      <c r="H76" s="1">
        <v>1200</v>
      </c>
    </row>
    <row r="77" spans="2:9" x14ac:dyDescent="0.2">
      <c r="B77" t="str">
        <f>VLOOKUP(G77,PC!B:D,3,FALSE)</f>
        <v>RECEITA</v>
      </c>
      <c r="C77" s="22">
        <v>2023</v>
      </c>
      <c r="D77" t="s">
        <v>109</v>
      </c>
      <c r="F77" t="str">
        <f>VLOOKUP(G77,PC!B:D,2,FALSE)</f>
        <v>RECEITA</v>
      </c>
      <c r="G77" t="s">
        <v>54</v>
      </c>
      <c r="H77" s="1">
        <v>1600</v>
      </c>
    </row>
    <row r="78" spans="2:9" x14ac:dyDescent="0.2">
      <c r="B78" t="str">
        <f>VLOOKUP(G78,PC!B:D,3,FALSE)</f>
        <v>CPV</v>
      </c>
      <c r="C78" s="22">
        <v>2023</v>
      </c>
      <c r="D78" t="s">
        <v>109</v>
      </c>
      <c r="E78" t="s">
        <v>153</v>
      </c>
      <c r="F78" t="str">
        <f>VLOOKUP(G78,PC!B:D,2,FALSE)</f>
        <v>COMIDA</v>
      </c>
      <c r="G78" t="s">
        <v>22</v>
      </c>
      <c r="H78" s="1">
        <v>87</v>
      </c>
    </row>
    <row r="79" spans="2:9" x14ac:dyDescent="0.2">
      <c r="B79" t="str">
        <f>VLOOKUP(G79,PC!B:D,3,FALSE)</f>
        <v>CPV</v>
      </c>
      <c r="C79" s="22">
        <v>2023</v>
      </c>
      <c r="D79" t="s">
        <v>109</v>
      </c>
      <c r="F79" t="str">
        <f>VLOOKUP(G79,PC!B:D,2,FALSE)</f>
        <v>OUTROS</v>
      </c>
      <c r="G79" t="s">
        <v>149</v>
      </c>
      <c r="H79" s="1">
        <v>90</v>
      </c>
    </row>
    <row r="80" spans="2:9" x14ac:dyDescent="0.2">
      <c r="B80" t="str">
        <f>VLOOKUP(G80,PC!B:D,3,FALSE)</f>
        <v>CPV</v>
      </c>
      <c r="C80" s="22">
        <v>2023</v>
      </c>
      <c r="D80" t="s">
        <v>109</v>
      </c>
      <c r="E80" t="s">
        <v>153</v>
      </c>
      <c r="F80" t="str">
        <f>VLOOKUP(G80,PC!B:D,2,FALSE)</f>
        <v>COMIDA</v>
      </c>
      <c r="G80" t="s">
        <v>18</v>
      </c>
      <c r="H80" s="1">
        <v>35</v>
      </c>
    </row>
    <row r="81" spans="2:9" x14ac:dyDescent="0.2">
      <c r="B81" t="str">
        <f>VLOOKUP(G81,PC!B:D,3,FALSE)</f>
        <v>RECEITA</v>
      </c>
      <c r="C81" s="22">
        <v>2023</v>
      </c>
      <c r="D81" t="s">
        <v>109</v>
      </c>
      <c r="F81" t="str">
        <f>VLOOKUP(G81,PC!B:D,2,FALSE)</f>
        <v>RECEITA</v>
      </c>
      <c r="G81" t="s">
        <v>54</v>
      </c>
      <c r="H81" s="1">
        <v>3400</v>
      </c>
    </row>
    <row r="82" spans="2:9" x14ac:dyDescent="0.2">
      <c r="B82" t="str">
        <f>VLOOKUP(G82,PC!B:D,3,FALSE)</f>
        <v>CPV</v>
      </c>
      <c r="C82" s="22">
        <v>2023</v>
      </c>
      <c r="D82" t="s">
        <v>109</v>
      </c>
      <c r="E82" t="s">
        <v>153</v>
      </c>
      <c r="F82" t="str">
        <f>VLOOKUP(G82,PC!B:D,2,FALSE)</f>
        <v>CIGARRO</v>
      </c>
      <c r="G82" t="s">
        <v>55</v>
      </c>
      <c r="H82" s="1">
        <v>140</v>
      </c>
    </row>
    <row r="83" spans="2:9" x14ac:dyDescent="0.2">
      <c r="B83" t="str">
        <f>VLOOKUP(G83,PC!B:D,3,FALSE)</f>
        <v>RECEITA</v>
      </c>
      <c r="C83" s="22">
        <v>2023</v>
      </c>
      <c r="D83" t="s">
        <v>109</v>
      </c>
      <c r="F83" t="str">
        <f>VLOOKUP(G83,PC!B:D,2,FALSE)</f>
        <v>RECEITA</v>
      </c>
      <c r="G83" t="s">
        <v>54</v>
      </c>
      <c r="H83" s="1">
        <v>2950</v>
      </c>
    </row>
    <row r="84" spans="2:9" x14ac:dyDescent="0.2">
      <c r="B84" t="str">
        <f>VLOOKUP(G84,PC!B:D,3,FALSE)</f>
        <v>RECEITA</v>
      </c>
      <c r="C84" s="22">
        <v>2023</v>
      </c>
      <c r="D84" t="s">
        <v>109</v>
      </c>
      <c r="F84" t="str">
        <f>VLOOKUP(G84,PC!B:D,2,FALSE)</f>
        <v>RECEITA</v>
      </c>
      <c r="G84" t="s">
        <v>54</v>
      </c>
      <c r="H84" s="1">
        <v>300</v>
      </c>
    </row>
    <row r="85" spans="2:9" x14ac:dyDescent="0.2">
      <c r="B85" t="str">
        <f>VLOOKUP(G85,PC!B:D,3,FALSE)</f>
        <v>CPV</v>
      </c>
      <c r="C85" s="22">
        <v>2023</v>
      </c>
      <c r="D85" t="s">
        <v>109</v>
      </c>
      <c r="E85" t="s">
        <v>153</v>
      </c>
      <c r="F85" t="str">
        <f>VLOOKUP(G85,PC!B:D,2,FALSE)</f>
        <v>COMIDA</v>
      </c>
      <c r="G85" t="s">
        <v>12</v>
      </c>
      <c r="H85" s="1">
        <v>150</v>
      </c>
    </row>
    <row r="86" spans="2:9" x14ac:dyDescent="0.2">
      <c r="B86" t="str">
        <f>VLOOKUP(G86,PC!B:D,3,FALSE)</f>
        <v>CPV</v>
      </c>
      <c r="C86" s="22">
        <v>2023</v>
      </c>
      <c r="D86" t="s">
        <v>109</v>
      </c>
      <c r="E86" t="s">
        <v>153</v>
      </c>
      <c r="F86" t="str">
        <f>VLOOKUP(G86,PC!B:D,2,FALSE)</f>
        <v>SOBREMESA</v>
      </c>
      <c r="G86" t="s">
        <v>7</v>
      </c>
      <c r="H86" s="1">
        <v>30</v>
      </c>
    </row>
    <row r="87" spans="2:9" x14ac:dyDescent="0.2">
      <c r="B87" t="str">
        <f>VLOOKUP(G87,PC!B:D,3,FALSE)</f>
        <v>DESPESA PESSOAL</v>
      </c>
      <c r="C87" s="22">
        <v>2023</v>
      </c>
      <c r="D87" t="s">
        <v>109</v>
      </c>
      <c r="F87" t="str">
        <f>VLOOKUP(G87,PC!B:D,2,FALSE)</f>
        <v>DESPESA PESSOAL</v>
      </c>
      <c r="G87" t="s">
        <v>56</v>
      </c>
      <c r="H87" s="1">
        <v>300</v>
      </c>
      <c r="I87" s="7" t="s">
        <v>150</v>
      </c>
    </row>
    <row r="88" spans="2:9" x14ac:dyDescent="0.2">
      <c r="B88" t="str">
        <f>VLOOKUP(G88,PC!B:D,3,FALSE)</f>
        <v>RECEITA</v>
      </c>
      <c r="C88" s="22">
        <v>2023</v>
      </c>
      <c r="D88" t="s">
        <v>109</v>
      </c>
      <c r="F88" t="str">
        <f>VLOOKUP(G88,PC!B:D,2,FALSE)</f>
        <v>RECEITA</v>
      </c>
      <c r="G88" t="s">
        <v>54</v>
      </c>
      <c r="H88" s="1">
        <v>1100</v>
      </c>
    </row>
    <row r="89" spans="2:9" x14ac:dyDescent="0.2">
      <c r="B89" t="str">
        <f>VLOOKUP(G89,PC!B:D,3,FALSE)</f>
        <v>RECEITA</v>
      </c>
      <c r="C89" s="22">
        <v>2023</v>
      </c>
      <c r="D89" t="s">
        <v>109</v>
      </c>
      <c r="F89" t="str">
        <f>VLOOKUP(G89,PC!B:D,2,FALSE)</f>
        <v>RECEITA</v>
      </c>
      <c r="G89" t="s">
        <v>54</v>
      </c>
      <c r="H89" s="1">
        <v>1700</v>
      </c>
    </row>
    <row r="90" spans="2:9" x14ac:dyDescent="0.2">
      <c r="B90" t="str">
        <f>VLOOKUP(G90,PC!B:D,3,FALSE)</f>
        <v>RECEITA</v>
      </c>
      <c r="C90" s="22">
        <v>2023</v>
      </c>
      <c r="D90" t="s">
        <v>109</v>
      </c>
      <c r="F90" t="str">
        <f>VLOOKUP(G90,PC!B:D,2,FALSE)</f>
        <v>RECEITA</v>
      </c>
      <c r="G90" t="s">
        <v>54</v>
      </c>
      <c r="H90" s="1">
        <v>2200</v>
      </c>
    </row>
    <row r="91" spans="2:9" x14ac:dyDescent="0.2">
      <c r="B91" t="str">
        <f>VLOOKUP(G91,PC!B:D,3,FALSE)</f>
        <v>DESPESA PESSOAL</v>
      </c>
      <c r="C91" s="22">
        <v>2023</v>
      </c>
      <c r="D91" t="s">
        <v>109</v>
      </c>
      <c r="F91" t="str">
        <f>VLOOKUP(G91,PC!B:D,2,FALSE)</f>
        <v>DESPESA PESSOAL</v>
      </c>
      <c r="G91" t="s">
        <v>56</v>
      </c>
      <c r="H91" s="1">
        <v>350</v>
      </c>
    </row>
    <row r="92" spans="2:9" x14ac:dyDescent="0.2">
      <c r="B92" t="str">
        <f>VLOOKUP(G92,PC!B:D,3,FALSE)</f>
        <v>CPV</v>
      </c>
      <c r="C92" s="22">
        <v>2023</v>
      </c>
      <c r="D92" t="s">
        <v>109</v>
      </c>
      <c r="F92" t="str">
        <f>VLOOKUP(G92,PC!B:D,2,FALSE)</f>
        <v>SOBREMESA</v>
      </c>
      <c r="G92" t="s">
        <v>7</v>
      </c>
      <c r="H92" s="1">
        <v>53</v>
      </c>
    </row>
    <row r="93" spans="2:9" x14ac:dyDescent="0.2">
      <c r="B93" t="str">
        <f>VLOOKUP(G93,PC!B:D,3,FALSE)</f>
        <v>CPV</v>
      </c>
      <c r="C93" s="22">
        <v>2023</v>
      </c>
      <c r="D93" t="s">
        <v>109</v>
      </c>
      <c r="E93" t="s">
        <v>153</v>
      </c>
      <c r="F93" t="str">
        <f>VLOOKUP(G93,PC!B:D,2,FALSE)</f>
        <v>COMIDA</v>
      </c>
      <c r="G93" t="s">
        <v>145</v>
      </c>
      <c r="H93" s="1">
        <v>47</v>
      </c>
    </row>
    <row r="94" spans="2:9" x14ac:dyDescent="0.2">
      <c r="B94" t="str">
        <f>VLOOKUP(G94,PC!B:D,3,FALSE)</f>
        <v>CPV</v>
      </c>
      <c r="C94" s="22">
        <v>2023</v>
      </c>
      <c r="D94" t="s">
        <v>109</v>
      </c>
      <c r="E94" t="s">
        <v>153</v>
      </c>
      <c r="F94" t="str">
        <f>VLOOKUP(G94,PC!B:D,2,FALSE)</f>
        <v>COMIDA</v>
      </c>
      <c r="G94" t="s">
        <v>12</v>
      </c>
      <c r="H94" s="1">
        <v>27</v>
      </c>
    </row>
    <row r="95" spans="2:9" x14ac:dyDescent="0.2">
      <c r="B95" t="str">
        <f>VLOOKUP(G95,PC!B:D,3,FALSE)</f>
        <v>RECEITA</v>
      </c>
      <c r="C95" s="22">
        <v>2023</v>
      </c>
      <c r="D95" t="s">
        <v>109</v>
      </c>
      <c r="F95" t="str">
        <f>VLOOKUP(G95,PC!B:D,2,FALSE)</f>
        <v>RECEITA</v>
      </c>
      <c r="G95" t="s">
        <v>54</v>
      </c>
      <c r="H95" s="1">
        <v>1500</v>
      </c>
    </row>
    <row r="96" spans="2:9" x14ac:dyDescent="0.2">
      <c r="B96" t="str">
        <f>VLOOKUP(G96,PC!B:D,3,FALSE)</f>
        <v>RECEITA</v>
      </c>
      <c r="C96" s="22">
        <v>2023</v>
      </c>
      <c r="D96" t="s">
        <v>109</v>
      </c>
      <c r="F96" t="str">
        <f>VLOOKUP(G96,PC!B:D,2,FALSE)</f>
        <v>RECEITA</v>
      </c>
      <c r="G96" t="s">
        <v>54</v>
      </c>
      <c r="H96" s="1">
        <v>1900</v>
      </c>
    </row>
    <row r="97" spans="2:9" x14ac:dyDescent="0.2">
      <c r="B97" t="str">
        <f>VLOOKUP(G97,PC!B:D,3,FALSE)</f>
        <v>RECEITA</v>
      </c>
      <c r="C97" s="22">
        <v>2023</v>
      </c>
      <c r="D97" t="s">
        <v>109</v>
      </c>
      <c r="F97" t="str">
        <f>VLOOKUP(G97,PC!B:D,2,FALSE)</f>
        <v>RECEITA</v>
      </c>
      <c r="G97" t="s">
        <v>54</v>
      </c>
      <c r="H97" s="1">
        <v>1350</v>
      </c>
    </row>
    <row r="98" spans="2:9" x14ac:dyDescent="0.2">
      <c r="B98" t="str">
        <f>VLOOKUP(G98,PC!B:D,3,FALSE)</f>
        <v>RECEITA</v>
      </c>
      <c r="C98" s="22">
        <v>2023</v>
      </c>
      <c r="D98" t="s">
        <v>109</v>
      </c>
      <c r="F98" t="str">
        <f>VLOOKUP(G98,PC!B:D,2,FALSE)</f>
        <v>RECEITA</v>
      </c>
      <c r="G98" t="s">
        <v>54</v>
      </c>
      <c r="H98" s="1">
        <v>800</v>
      </c>
    </row>
    <row r="99" spans="2:9" x14ac:dyDescent="0.2">
      <c r="B99" t="str">
        <f>VLOOKUP(G99,PC!B:D,3,FALSE)</f>
        <v>RECEITA</v>
      </c>
      <c r="C99" s="22">
        <v>2023</v>
      </c>
      <c r="D99" t="s">
        <v>109</v>
      </c>
      <c r="F99" t="str">
        <f>VLOOKUP(G99,PC!B:D,2,FALSE)</f>
        <v>RECEITA</v>
      </c>
      <c r="G99" t="s">
        <v>54</v>
      </c>
      <c r="H99" s="1">
        <v>2600</v>
      </c>
    </row>
    <row r="100" spans="2:9" x14ac:dyDescent="0.2">
      <c r="B100" t="str">
        <f>VLOOKUP(G100,PC!B:D,3,FALSE)</f>
        <v>DESPESA OPERACIONAL</v>
      </c>
      <c r="C100" s="22">
        <v>2023</v>
      </c>
      <c r="D100" t="s">
        <v>109</v>
      </c>
      <c r="F100" t="str">
        <f>VLOOKUP(G100,PC!B:D,2,FALSE)</f>
        <v>DESPESA OPERACIONAL</v>
      </c>
      <c r="G100" t="s">
        <v>70</v>
      </c>
      <c r="H100" s="1">
        <v>149</v>
      </c>
    </row>
    <row r="101" spans="2:9" x14ac:dyDescent="0.2">
      <c r="B101" t="str">
        <f>VLOOKUP(G101,PC!B:D,3,FALSE)</f>
        <v>CPV</v>
      </c>
      <c r="C101" s="22">
        <v>2023</v>
      </c>
      <c r="D101" t="s">
        <v>109</v>
      </c>
      <c r="E101" t="s">
        <v>153</v>
      </c>
      <c r="F101" t="str">
        <f>VLOOKUP(G101,PC!B:D,2,FALSE)</f>
        <v>SOBREMESA</v>
      </c>
      <c r="G101" t="s">
        <v>8</v>
      </c>
      <c r="H101" s="1">
        <v>18</v>
      </c>
    </row>
    <row r="102" spans="2:9" x14ac:dyDescent="0.2">
      <c r="B102" t="str">
        <f>VLOOKUP(G102,PC!B:D,3,FALSE)</f>
        <v>RECEITA</v>
      </c>
      <c r="C102" s="22">
        <v>2023</v>
      </c>
      <c r="D102" t="s">
        <v>109</v>
      </c>
      <c r="F102" t="str">
        <f>VLOOKUP(G102,PC!B:D,2,FALSE)</f>
        <v>RECEITA</v>
      </c>
      <c r="G102" t="s">
        <v>54</v>
      </c>
      <c r="H102" s="1">
        <v>500</v>
      </c>
    </row>
    <row r="103" spans="2:9" x14ac:dyDescent="0.2">
      <c r="B103" t="str">
        <f>VLOOKUP(G103,PC!B:D,3,FALSE)</f>
        <v>CPV</v>
      </c>
      <c r="C103" s="22">
        <v>2023</v>
      </c>
      <c r="D103" t="s">
        <v>109</v>
      </c>
      <c r="E103" t="s">
        <v>153</v>
      </c>
      <c r="F103" t="str">
        <f>VLOOKUP(G103,PC!B:D,2,FALSE)</f>
        <v>SOBREMESA</v>
      </c>
      <c r="G103" t="s">
        <v>7</v>
      </c>
      <c r="H103" s="1">
        <v>109</v>
      </c>
    </row>
    <row r="104" spans="2:9" x14ac:dyDescent="0.2">
      <c r="B104" t="str">
        <f>VLOOKUP(G104,PC!B:D,3,FALSE)</f>
        <v>RECEITA</v>
      </c>
      <c r="C104" s="22">
        <v>2023</v>
      </c>
      <c r="D104" t="s">
        <v>109</v>
      </c>
      <c r="F104" t="str">
        <f>VLOOKUP(G104,PC!B:D,2,FALSE)</f>
        <v>RECEITA</v>
      </c>
      <c r="G104" t="s">
        <v>54</v>
      </c>
      <c r="H104" s="1">
        <v>1300</v>
      </c>
    </row>
    <row r="105" spans="2:9" x14ac:dyDescent="0.2">
      <c r="B105" t="str">
        <f>VLOOKUP(G105,PC!B:D,3,FALSE)</f>
        <v>RECEITA</v>
      </c>
      <c r="C105" s="22">
        <v>2023</v>
      </c>
      <c r="D105" t="s">
        <v>109</v>
      </c>
      <c r="F105" t="str">
        <f>VLOOKUP(G105,PC!B:D,2,FALSE)</f>
        <v>RECEITA</v>
      </c>
      <c r="G105" t="s">
        <v>54</v>
      </c>
      <c r="H105" s="1">
        <v>1100</v>
      </c>
    </row>
    <row r="106" spans="2:9" x14ac:dyDescent="0.2">
      <c r="B106" t="str">
        <f>VLOOKUP(G106,PC!B:D,3,FALSE)</f>
        <v>CPV</v>
      </c>
      <c r="C106" s="22">
        <v>2023</v>
      </c>
      <c r="D106" t="s">
        <v>109</v>
      </c>
      <c r="E106" t="s">
        <v>153</v>
      </c>
      <c r="F106" t="str">
        <f>VLOOKUP(G106,PC!B:D,2,FALSE)</f>
        <v>COMIDA</v>
      </c>
      <c r="G106" t="s">
        <v>12</v>
      </c>
      <c r="H106" s="1">
        <v>80</v>
      </c>
      <c r="I106" s="7" t="s">
        <v>151</v>
      </c>
    </row>
    <row r="107" spans="2:9" x14ac:dyDescent="0.2">
      <c r="B107" t="str">
        <f>VLOOKUP(G107,PC!B:D,3,FALSE)</f>
        <v>CPV</v>
      </c>
      <c r="C107" s="22">
        <v>2023</v>
      </c>
      <c r="D107" t="s">
        <v>109</v>
      </c>
      <c r="E107" t="s">
        <v>153</v>
      </c>
      <c r="F107" t="str">
        <f>VLOOKUP(G107,PC!B:D,2,FALSE)</f>
        <v>COMIDA</v>
      </c>
      <c r="G107" t="s">
        <v>12</v>
      </c>
      <c r="H107" s="1">
        <v>35</v>
      </c>
    </row>
    <row r="108" spans="2:9" x14ac:dyDescent="0.2">
      <c r="B108" t="str">
        <f>VLOOKUP(G108,PC!B:D,3,FALSE)</f>
        <v>DESPESA PESSOAL</v>
      </c>
      <c r="C108" s="22">
        <v>2023</v>
      </c>
      <c r="D108" t="s">
        <v>109</v>
      </c>
      <c r="F108" t="str">
        <f>VLOOKUP(G108,PC!B:D,2,FALSE)</f>
        <v>DESPESA PESSOAL</v>
      </c>
      <c r="G108" t="s">
        <v>68</v>
      </c>
      <c r="H108" s="1">
        <v>20</v>
      </c>
    </row>
    <row r="109" spans="2:9" x14ac:dyDescent="0.2">
      <c r="B109" t="str">
        <f>VLOOKUP(G109,PC!B:D,3,FALSE)</f>
        <v>RECEITAS NÃO OPERACIONAIS</v>
      </c>
      <c r="C109" s="22">
        <v>2023</v>
      </c>
      <c r="D109" t="s">
        <v>109</v>
      </c>
      <c r="F109" t="str">
        <f>VLOOKUP(G109,PC!B:D,2,FALSE)</f>
        <v>EMPRESTIMO</v>
      </c>
      <c r="G109" t="s">
        <v>71</v>
      </c>
      <c r="H109" s="1">
        <v>20</v>
      </c>
    </row>
    <row r="110" spans="2:9" x14ac:dyDescent="0.2">
      <c r="B110" t="str">
        <f>VLOOKUP(G110,PC!B:D,3,FALSE)</f>
        <v>RECEITA</v>
      </c>
      <c r="C110" s="22">
        <v>2023</v>
      </c>
      <c r="D110" t="s">
        <v>109</v>
      </c>
      <c r="F110" t="str">
        <f>VLOOKUP(G110,PC!B:D,2,FALSE)</f>
        <v>RECEITA</v>
      </c>
      <c r="G110" t="s">
        <v>54</v>
      </c>
      <c r="H110" s="1">
        <v>120</v>
      </c>
    </row>
    <row r="111" spans="2:9" x14ac:dyDescent="0.2">
      <c r="B111" t="str">
        <f>VLOOKUP(G111,PC!B:D,3,FALSE)</f>
        <v>RECEITA</v>
      </c>
      <c r="C111" s="22">
        <v>2023</v>
      </c>
      <c r="D111" t="s">
        <v>109</v>
      </c>
      <c r="F111" t="str">
        <f>VLOOKUP(G111,PC!B:D,2,FALSE)</f>
        <v>RECEITA</v>
      </c>
      <c r="G111" t="s">
        <v>54</v>
      </c>
      <c r="H111" s="1">
        <v>1700</v>
      </c>
    </row>
    <row r="112" spans="2:9" x14ac:dyDescent="0.2">
      <c r="B112" t="str">
        <f>VLOOKUP(G112,PC!B:D,3,FALSE)</f>
        <v>RECEITA</v>
      </c>
      <c r="C112" s="22">
        <v>2023</v>
      </c>
      <c r="D112" t="s">
        <v>109</v>
      </c>
      <c r="F112" t="str">
        <f>VLOOKUP(G112,PC!B:D,2,FALSE)</f>
        <v>RECEITA</v>
      </c>
      <c r="G112" t="s">
        <v>54</v>
      </c>
      <c r="H112" s="1">
        <v>350</v>
      </c>
    </row>
    <row r="113" spans="2:9" x14ac:dyDescent="0.2">
      <c r="B113" t="str">
        <f>VLOOKUP(G113,PC!B:D,3,FALSE)</f>
        <v>RECEITAS NÃO OPERACIONAIS</v>
      </c>
      <c r="C113" s="22">
        <v>2023</v>
      </c>
      <c r="D113" t="s">
        <v>109</v>
      </c>
      <c r="F113" t="str">
        <f>VLOOKUP(G113,PC!B:D,2,FALSE)</f>
        <v>EMPRESTIMO</v>
      </c>
      <c r="G113" t="s">
        <v>71</v>
      </c>
      <c r="H113" s="1">
        <v>136</v>
      </c>
    </row>
    <row r="114" spans="2:9" x14ac:dyDescent="0.2">
      <c r="B114" t="str">
        <f>VLOOKUP(G114,PC!B:D,3,FALSE)</f>
        <v>RECEITA</v>
      </c>
      <c r="C114" s="22">
        <v>2023</v>
      </c>
      <c r="D114" t="s">
        <v>109</v>
      </c>
      <c r="F114" t="str">
        <f>VLOOKUP(G114,PC!B:D,2,FALSE)</f>
        <v>RECEITA</v>
      </c>
      <c r="G114" t="s">
        <v>54</v>
      </c>
      <c r="H114" s="1">
        <v>450</v>
      </c>
    </row>
    <row r="115" spans="2:9" x14ac:dyDescent="0.2">
      <c r="B115" t="str">
        <f>VLOOKUP(G115,PC!B:D,3,FALSE)</f>
        <v>RECEITA</v>
      </c>
      <c r="C115" s="22">
        <v>2023</v>
      </c>
      <c r="D115" t="s">
        <v>109</v>
      </c>
      <c r="F115" t="str">
        <f>VLOOKUP(G115,PC!B:D,2,FALSE)</f>
        <v>RECEITA</v>
      </c>
      <c r="G115" t="s">
        <v>54</v>
      </c>
      <c r="H115" s="1">
        <v>450</v>
      </c>
    </row>
    <row r="116" spans="2:9" x14ac:dyDescent="0.2">
      <c r="B116" t="str">
        <f>VLOOKUP(G116,PC!B:D,3,FALSE)</f>
        <v>CPV</v>
      </c>
      <c r="C116" s="22">
        <v>2023</v>
      </c>
      <c r="D116" t="s">
        <v>109</v>
      </c>
      <c r="F116" t="str">
        <f>VLOOKUP(G116,PC!B:D,2,FALSE)</f>
        <v>LIMPEZA</v>
      </c>
      <c r="G116" t="s">
        <v>43</v>
      </c>
      <c r="H116" s="1">
        <v>30</v>
      </c>
    </row>
    <row r="117" spans="2:9" x14ac:dyDescent="0.2">
      <c r="B117" t="str">
        <f>VLOOKUP(G117,PC!B:D,3,FALSE)</f>
        <v>CPV</v>
      </c>
      <c r="C117" s="22">
        <v>2023</v>
      </c>
      <c r="D117" t="s">
        <v>109</v>
      </c>
      <c r="E117" t="s">
        <v>129</v>
      </c>
      <c r="F117" t="str">
        <f>VLOOKUP(G117,PC!B:D,2,FALSE)</f>
        <v>COMIDA</v>
      </c>
      <c r="G117" t="s">
        <v>18</v>
      </c>
      <c r="H117" s="1">
        <v>44</v>
      </c>
    </row>
    <row r="118" spans="2:9" x14ac:dyDescent="0.2">
      <c r="B118" t="str">
        <f>VLOOKUP(G118,PC!B:D,3,FALSE)</f>
        <v>RECEITA</v>
      </c>
      <c r="C118" s="22">
        <v>2023</v>
      </c>
      <c r="D118" t="s">
        <v>109</v>
      </c>
      <c r="F118" t="str">
        <f>VLOOKUP(G118,PC!B:D,2,FALSE)</f>
        <v>RECEITA</v>
      </c>
      <c r="G118" t="s">
        <v>54</v>
      </c>
      <c r="H118" s="1">
        <v>2500</v>
      </c>
    </row>
    <row r="119" spans="2:9" x14ac:dyDescent="0.2">
      <c r="B119" t="str">
        <f>VLOOKUP(G119,PC!B:D,3,FALSE)</f>
        <v>CPV</v>
      </c>
      <c r="C119" s="22">
        <v>2023</v>
      </c>
      <c r="D119" t="s">
        <v>109</v>
      </c>
      <c r="E119" t="s">
        <v>153</v>
      </c>
      <c r="F119" t="str">
        <f>VLOOKUP(G119,PC!B:D,2,FALSE)</f>
        <v>BEBIDAS</v>
      </c>
      <c r="G119" t="s">
        <v>39</v>
      </c>
      <c r="H119" s="1">
        <v>204</v>
      </c>
    </row>
    <row r="120" spans="2:9" x14ac:dyDescent="0.2">
      <c r="B120" t="str">
        <f>VLOOKUP(G120,PC!B:D,3,FALSE)</f>
        <v>RECEITA</v>
      </c>
      <c r="C120" s="22">
        <v>2023</v>
      </c>
      <c r="D120" t="s">
        <v>109</v>
      </c>
      <c r="F120" t="str">
        <f>VLOOKUP(G120,PC!B:D,2,FALSE)</f>
        <v>RECEITA</v>
      </c>
      <c r="G120" t="s">
        <v>54</v>
      </c>
      <c r="H120" s="1">
        <v>1850</v>
      </c>
    </row>
    <row r="121" spans="2:9" x14ac:dyDescent="0.2">
      <c r="B121" t="str">
        <f>VLOOKUP(G121,PC!B:D,3,FALSE)</f>
        <v>CPV</v>
      </c>
      <c r="C121" s="22">
        <v>2023</v>
      </c>
      <c r="D121" t="s">
        <v>109</v>
      </c>
      <c r="E121" t="s">
        <v>153</v>
      </c>
      <c r="F121" t="str">
        <f>VLOOKUP(G121,PC!B:D,2,FALSE)</f>
        <v>COMIDA</v>
      </c>
      <c r="G121" t="s">
        <v>12</v>
      </c>
      <c r="H121" s="1">
        <v>139</v>
      </c>
    </row>
    <row r="122" spans="2:9" x14ac:dyDescent="0.2">
      <c r="B122" t="str">
        <f>VLOOKUP(G122,PC!B:D,3,FALSE)</f>
        <v>CPV</v>
      </c>
      <c r="C122" s="22">
        <v>2023</v>
      </c>
      <c r="D122" t="s">
        <v>109</v>
      </c>
      <c r="F122" t="str">
        <f>VLOOKUP(G122,PC!B:D,2,FALSE)</f>
        <v>COMIDA</v>
      </c>
      <c r="G122" t="s">
        <v>152</v>
      </c>
      <c r="H122" s="1">
        <v>54</v>
      </c>
    </row>
    <row r="123" spans="2:9" x14ac:dyDescent="0.2">
      <c r="B123" t="str">
        <f>VLOOKUP(G123,PC!B:D,3,FALSE)</f>
        <v>CPV</v>
      </c>
      <c r="C123" s="22">
        <v>2023</v>
      </c>
      <c r="D123" t="s">
        <v>109</v>
      </c>
      <c r="E123" t="s">
        <v>153</v>
      </c>
      <c r="F123" t="str">
        <f>VLOOKUP(G123,PC!B:D,2,FALSE)</f>
        <v>BEBIDAS</v>
      </c>
      <c r="G123" t="s">
        <v>51</v>
      </c>
      <c r="H123" s="1">
        <v>100</v>
      </c>
    </row>
    <row r="124" spans="2:9" x14ac:dyDescent="0.2">
      <c r="B124" t="str">
        <f>VLOOKUP(G124,PC!B:D,3,FALSE)</f>
        <v>DESPESA PESSOAL</v>
      </c>
      <c r="C124" s="22">
        <v>2023</v>
      </c>
      <c r="D124" t="s">
        <v>109</v>
      </c>
      <c r="F124" t="str">
        <f>VLOOKUP(G124,PC!B:D,2,FALSE)</f>
        <v>DESPESA PESSOAL</v>
      </c>
      <c r="G124" t="s">
        <v>56</v>
      </c>
      <c r="H124" s="1">
        <v>900</v>
      </c>
    </row>
    <row r="125" spans="2:9" x14ac:dyDescent="0.2">
      <c r="B125" t="str">
        <f>VLOOKUP(G125,PC!B:D,3,FALSE)</f>
        <v>RECEITA</v>
      </c>
      <c r="C125" s="22">
        <v>2023</v>
      </c>
      <c r="D125" t="s">
        <v>109</v>
      </c>
      <c r="F125" t="str">
        <f>VLOOKUP(G125,PC!B:D,2,FALSE)</f>
        <v>RECEITA</v>
      </c>
      <c r="G125" t="s">
        <v>54</v>
      </c>
      <c r="H125" s="1">
        <v>1100</v>
      </c>
    </row>
    <row r="126" spans="2:9" x14ac:dyDescent="0.2">
      <c r="B126" t="str">
        <f>VLOOKUP(G126,PC!B:D,3,FALSE)</f>
        <v>DESPESA PESSOAL</v>
      </c>
      <c r="C126" s="22">
        <v>2023</v>
      </c>
      <c r="D126" t="s">
        <v>109</v>
      </c>
      <c r="F126" t="str">
        <f>VLOOKUP(G126,PC!B:D,2,FALSE)</f>
        <v>DESPESA PESSOAL</v>
      </c>
      <c r="G126" t="s">
        <v>56</v>
      </c>
      <c r="H126" s="1">
        <v>40</v>
      </c>
    </row>
    <row r="127" spans="2:9" x14ac:dyDescent="0.2">
      <c r="B127" t="str">
        <f>VLOOKUP(G127,PC!B:D,3,FALSE)</f>
        <v>RECEITA</v>
      </c>
      <c r="C127" s="22">
        <v>2023</v>
      </c>
      <c r="D127" t="s">
        <v>109</v>
      </c>
      <c r="F127" t="str">
        <f>VLOOKUP(G127,PC!B:D,2,FALSE)</f>
        <v>RECEITA</v>
      </c>
      <c r="G127" t="s">
        <v>54</v>
      </c>
      <c r="H127" s="1">
        <v>750</v>
      </c>
      <c r="I127" s="46">
        <v>44212</v>
      </c>
    </row>
    <row r="128" spans="2:9" x14ac:dyDescent="0.2">
      <c r="B128" t="str">
        <f>VLOOKUP(G128,PC!B:D,3,FALSE)</f>
        <v>CPV</v>
      </c>
      <c r="C128" s="22">
        <v>2023</v>
      </c>
      <c r="D128" t="s">
        <v>109</v>
      </c>
      <c r="E128" t="s">
        <v>77</v>
      </c>
      <c r="F128" t="str">
        <f>VLOOKUP(G128,PC!B:D,2,FALSE)</f>
        <v>OUTROS</v>
      </c>
      <c r="G128" t="s">
        <v>37</v>
      </c>
      <c r="H128" s="1">
        <v>734.65</v>
      </c>
    </row>
    <row r="129" spans="2:9" x14ac:dyDescent="0.2">
      <c r="B129" t="str">
        <f>VLOOKUP(G129,PC!B:D,3,FALSE)</f>
        <v>CPV</v>
      </c>
      <c r="C129" s="22">
        <v>2023</v>
      </c>
      <c r="D129" t="s">
        <v>109</v>
      </c>
      <c r="F129" t="str">
        <f>VLOOKUP(G129,PC!B:D,2,FALSE)</f>
        <v>COMIDA</v>
      </c>
      <c r="G129" t="s">
        <v>33</v>
      </c>
      <c r="H129" s="1">
        <v>275</v>
      </c>
      <c r="I129" s="7" t="s">
        <v>154</v>
      </c>
    </row>
    <row r="130" spans="2:9" x14ac:dyDescent="0.2">
      <c r="B130" t="str">
        <f>VLOOKUP(G130,PC!B:D,3,FALSE)</f>
        <v>CPV</v>
      </c>
      <c r="C130" s="22">
        <v>2023</v>
      </c>
      <c r="D130" t="s">
        <v>109</v>
      </c>
      <c r="E130" t="s">
        <v>89</v>
      </c>
      <c r="F130" t="str">
        <f>VLOOKUP(G130,PC!B:D,2,FALSE)</f>
        <v>OUTROS</v>
      </c>
      <c r="G130" t="s">
        <v>37</v>
      </c>
      <c r="H130" s="1">
        <v>332.44</v>
      </c>
    </row>
    <row r="131" spans="2:9" x14ac:dyDescent="0.2">
      <c r="B131" t="str">
        <f>VLOOKUP(G131,PC!B:D,3,FALSE)</f>
        <v>CPV</v>
      </c>
      <c r="C131" s="22">
        <v>2023</v>
      </c>
      <c r="D131" t="s">
        <v>109</v>
      </c>
      <c r="E131" t="s">
        <v>89</v>
      </c>
      <c r="F131" t="str">
        <f>VLOOKUP(G131,PC!B:D,2,FALSE)</f>
        <v>OUTROS</v>
      </c>
      <c r="G131" t="s">
        <v>37</v>
      </c>
      <c r="H131" s="1">
        <v>145.41</v>
      </c>
    </row>
    <row r="132" spans="2:9" x14ac:dyDescent="0.2">
      <c r="B132" t="str">
        <f>VLOOKUP(G132,PC!B:D,3,FALSE)</f>
        <v>CPV</v>
      </c>
      <c r="C132" s="22">
        <v>2023</v>
      </c>
      <c r="D132" t="s">
        <v>109</v>
      </c>
      <c r="E132" t="s">
        <v>129</v>
      </c>
      <c r="F132" t="str">
        <f>VLOOKUP(G132,PC!B:D,2,FALSE)</f>
        <v>COMIDA</v>
      </c>
      <c r="G132" t="s">
        <v>12</v>
      </c>
      <c r="H132" s="1">
        <v>110</v>
      </c>
    </row>
    <row r="133" spans="2:9" x14ac:dyDescent="0.2">
      <c r="B133" t="str">
        <f>VLOOKUP(G133,PC!B:D,3,FALSE)</f>
        <v>CPV</v>
      </c>
      <c r="C133" s="22">
        <v>2023</v>
      </c>
      <c r="D133" t="s">
        <v>109</v>
      </c>
      <c r="E133" t="s">
        <v>129</v>
      </c>
      <c r="F133" t="str">
        <f>VLOOKUP(G133,PC!B:D,2,FALSE)</f>
        <v>COMIDA</v>
      </c>
      <c r="G133" t="s">
        <v>155</v>
      </c>
      <c r="H133" s="1">
        <v>376</v>
      </c>
    </row>
    <row r="134" spans="2:9" x14ac:dyDescent="0.2">
      <c r="B134" t="str">
        <f>VLOOKUP(G134,PC!B:D,3,FALSE)</f>
        <v>CPV</v>
      </c>
      <c r="C134" s="22">
        <v>2023</v>
      </c>
      <c r="D134" t="s">
        <v>109</v>
      </c>
      <c r="E134" t="s">
        <v>129</v>
      </c>
      <c r="F134" t="str">
        <f>VLOOKUP(G134,PC!B:D,2,FALSE)</f>
        <v>SOBREMESA</v>
      </c>
      <c r="G134" t="s">
        <v>7</v>
      </c>
      <c r="H134" s="1">
        <v>68</v>
      </c>
    </row>
    <row r="135" spans="2:9" x14ac:dyDescent="0.2">
      <c r="B135" t="str">
        <f>VLOOKUP(G135,PC!B:D,3,FALSE)</f>
        <v>CPV</v>
      </c>
      <c r="C135" s="22">
        <v>2023</v>
      </c>
      <c r="D135" t="s">
        <v>109</v>
      </c>
      <c r="E135" t="s">
        <v>129</v>
      </c>
      <c r="F135" t="str">
        <f>VLOOKUP(G135,PC!B:D,2,FALSE)</f>
        <v>COMIDA</v>
      </c>
      <c r="G135" t="s">
        <v>22</v>
      </c>
      <c r="H135" s="1">
        <v>87.8</v>
      </c>
    </row>
    <row r="136" spans="2:9" x14ac:dyDescent="0.2">
      <c r="B136" t="str">
        <f>VLOOKUP(G136,PC!B:D,3,FALSE)</f>
        <v>CPV</v>
      </c>
      <c r="C136" s="22">
        <v>2023</v>
      </c>
      <c r="D136" t="s">
        <v>109</v>
      </c>
      <c r="E136" t="s">
        <v>129</v>
      </c>
      <c r="F136" t="str">
        <f>VLOOKUP(G136,PC!B:D,2,FALSE)</f>
        <v>BEBIDAS</v>
      </c>
      <c r="G136" t="s">
        <v>48</v>
      </c>
      <c r="H136" s="1">
        <v>184.8</v>
      </c>
    </row>
    <row r="137" spans="2:9" x14ac:dyDescent="0.2">
      <c r="B137" t="str">
        <f>VLOOKUP(G137,PC!B:D,3,FALSE)</f>
        <v>CPV</v>
      </c>
      <c r="C137" s="22">
        <v>2023</v>
      </c>
      <c r="D137" t="s">
        <v>109</v>
      </c>
      <c r="E137" t="s">
        <v>129</v>
      </c>
      <c r="F137" t="str">
        <f>VLOOKUP(G137,PC!B:D,2,FALSE)</f>
        <v>OUTROS</v>
      </c>
      <c r="G137" t="s">
        <v>37</v>
      </c>
      <c r="H137" s="1">
        <v>90</v>
      </c>
    </row>
    <row r="138" spans="2:9" x14ac:dyDescent="0.2">
      <c r="B138" t="str">
        <f>VLOOKUP(G138,PC!B:D,3,FALSE)</f>
        <v>CPV</v>
      </c>
      <c r="C138" s="22">
        <v>2023</v>
      </c>
      <c r="D138" t="s">
        <v>109</v>
      </c>
      <c r="E138" t="s">
        <v>129</v>
      </c>
      <c r="F138" t="str">
        <f>VLOOKUP(G138,PC!B:D,2,FALSE)</f>
        <v>COMIDA</v>
      </c>
      <c r="G138" t="s">
        <v>12</v>
      </c>
      <c r="H138" s="1">
        <v>151</v>
      </c>
    </row>
    <row r="139" spans="2:9" x14ac:dyDescent="0.2">
      <c r="B139" t="str">
        <f>VLOOKUP(G139,PC!B:D,3,FALSE)</f>
        <v>DESPESA OPERACIONAL</v>
      </c>
      <c r="C139" s="22">
        <v>2023</v>
      </c>
      <c r="D139" t="s">
        <v>109</v>
      </c>
      <c r="F139" t="str">
        <f>VLOOKUP(G139,PC!B:D,2,FALSE)</f>
        <v>DESPESA OPERACIONAL</v>
      </c>
      <c r="G139" t="s">
        <v>73</v>
      </c>
      <c r="H139" s="1">
        <f>1591.89+1488.28</f>
        <v>3080.17</v>
      </c>
    </row>
    <row r="140" spans="2:9" x14ac:dyDescent="0.2">
      <c r="B140" t="str">
        <f>VLOOKUP(G140,PC!B:D,3,FALSE)</f>
        <v>CPV</v>
      </c>
      <c r="C140" s="22">
        <v>2023</v>
      </c>
      <c r="D140" t="s">
        <v>109</v>
      </c>
      <c r="F140" t="str">
        <f>VLOOKUP(G140,PC!B:D,2,FALSE)</f>
        <v>COMIDA</v>
      </c>
      <c r="G140" t="s">
        <v>145</v>
      </c>
      <c r="H140" s="1">
        <v>51.3</v>
      </c>
    </row>
    <row r="141" spans="2:9" x14ac:dyDescent="0.2">
      <c r="B141" t="str">
        <f>VLOOKUP(G141,PC!B:D,3,FALSE)</f>
        <v>CPV</v>
      </c>
      <c r="C141" s="22">
        <v>2023</v>
      </c>
      <c r="D141" t="s">
        <v>109</v>
      </c>
      <c r="F141" t="str">
        <f>VLOOKUP(G141,PC!B:D,2,FALSE)</f>
        <v>COMIDA</v>
      </c>
      <c r="G141" t="s">
        <v>12</v>
      </c>
      <c r="H141" s="1">
        <v>277</v>
      </c>
    </row>
    <row r="142" spans="2:9" x14ac:dyDescent="0.2">
      <c r="B142" t="str">
        <f>VLOOKUP(G142,PC!B:D,3,FALSE)</f>
        <v>RECEITA</v>
      </c>
      <c r="C142" s="22">
        <v>2023</v>
      </c>
      <c r="D142" t="s">
        <v>109</v>
      </c>
      <c r="F142" t="str">
        <f>VLOOKUP(G142,PC!B:D,2,FALSE)</f>
        <v>RECEITA</v>
      </c>
      <c r="G142" t="s">
        <v>64</v>
      </c>
      <c r="H142" s="1">
        <f>36.61+34.22</f>
        <v>70.83</v>
      </c>
    </row>
    <row r="143" spans="2:9" x14ac:dyDescent="0.2">
      <c r="B143" t="str">
        <f>VLOOKUP(G143,PC!B:D,3,FALSE)</f>
        <v>CPV</v>
      </c>
      <c r="C143" s="22">
        <v>2023</v>
      </c>
      <c r="D143" t="s">
        <v>109</v>
      </c>
      <c r="E143" t="s">
        <v>40</v>
      </c>
      <c r="F143" t="str">
        <f>VLOOKUP(G143,PC!B:D,2,FALSE)</f>
        <v>BEBIDAS</v>
      </c>
      <c r="G143" t="s">
        <v>26</v>
      </c>
      <c r="H143" s="1">
        <v>1531.84</v>
      </c>
    </row>
    <row r="144" spans="2:9" x14ac:dyDescent="0.2">
      <c r="B144" t="str">
        <f>VLOOKUP(G144,PC!B:D,3,FALSE)</f>
        <v>CPV</v>
      </c>
      <c r="C144" s="22">
        <v>2023</v>
      </c>
      <c r="D144" t="s">
        <v>109</v>
      </c>
      <c r="E144" t="s">
        <v>14</v>
      </c>
      <c r="F144" t="str">
        <f>VLOOKUP(G144,PC!B:D,2,FALSE)</f>
        <v>BEBIDAS</v>
      </c>
      <c r="G144" t="s">
        <v>26</v>
      </c>
      <c r="H144" s="1">
        <v>466.16</v>
      </c>
    </row>
    <row r="145" spans="2:9" x14ac:dyDescent="0.2">
      <c r="B145" t="str">
        <f>VLOOKUP(G145,PC!B:D,3,FALSE)</f>
        <v>CPV</v>
      </c>
      <c r="C145" s="22">
        <v>2023</v>
      </c>
      <c r="D145" t="s">
        <v>109</v>
      </c>
      <c r="E145" t="s">
        <v>14</v>
      </c>
      <c r="F145" t="str">
        <f>VLOOKUP(G145,PC!B:D,2,FALSE)</f>
        <v>BEBIDAS</v>
      </c>
      <c r="G145" t="s">
        <v>25</v>
      </c>
      <c r="H145" s="1">
        <v>318.2</v>
      </c>
    </row>
    <row r="146" spans="2:9" x14ac:dyDescent="0.2">
      <c r="B146" t="str">
        <f>VLOOKUP(G146,PC!B:D,3,FALSE)</f>
        <v>CPV</v>
      </c>
      <c r="C146" s="22">
        <v>2023</v>
      </c>
      <c r="D146" t="s">
        <v>109</v>
      </c>
      <c r="E146" t="s">
        <v>14</v>
      </c>
      <c r="F146" t="str">
        <f>VLOOKUP(G146,PC!B:D,2,FALSE)</f>
        <v>BEBIDAS</v>
      </c>
      <c r="G146" t="s">
        <v>26</v>
      </c>
      <c r="H146" s="1">
        <v>1239.8599999999999</v>
      </c>
    </row>
    <row r="147" spans="2:9" x14ac:dyDescent="0.2">
      <c r="B147" t="str">
        <f>VLOOKUP(G147,PC!B:D,3,FALSE)</f>
        <v>CPV</v>
      </c>
      <c r="C147" s="22">
        <v>2023</v>
      </c>
      <c r="D147" t="s">
        <v>109</v>
      </c>
      <c r="E147" t="s">
        <v>28</v>
      </c>
      <c r="F147" t="str">
        <f>VLOOKUP(G147,PC!B:D,2,FALSE)</f>
        <v>BEBIDAS</v>
      </c>
      <c r="G147" t="s">
        <v>26</v>
      </c>
      <c r="H147" s="1">
        <v>619</v>
      </c>
    </row>
    <row r="148" spans="2:9" x14ac:dyDescent="0.2">
      <c r="B148" t="str">
        <f>VLOOKUP(G148,PC!B:D,3,FALSE)</f>
        <v>CPV</v>
      </c>
      <c r="C148" s="22">
        <v>2023</v>
      </c>
      <c r="D148" t="s">
        <v>109</v>
      </c>
      <c r="E148" t="s">
        <v>14</v>
      </c>
      <c r="F148" t="str">
        <f>VLOOKUP(G148,PC!B:D,2,FALSE)</f>
        <v>BEBIDAS</v>
      </c>
      <c r="G148" t="s">
        <v>41</v>
      </c>
      <c r="H148" s="1">
        <f>71.92+74.42+21.13+35.96</f>
        <v>203.43</v>
      </c>
    </row>
    <row r="149" spans="2:9" x14ac:dyDescent="0.2">
      <c r="B149" t="str">
        <f>VLOOKUP(G149,PC!B:D,3,FALSE)</f>
        <v>CPV</v>
      </c>
      <c r="C149" s="22">
        <v>2023</v>
      </c>
      <c r="D149" t="s">
        <v>109</v>
      </c>
      <c r="E149" t="s">
        <v>14</v>
      </c>
      <c r="F149" t="str">
        <f>VLOOKUP(G149,PC!B:D,2,FALSE)</f>
        <v>BEBIDAS</v>
      </c>
      <c r="G149" t="s">
        <v>46</v>
      </c>
      <c r="H149" s="1">
        <v>59.57</v>
      </c>
    </row>
    <row r="150" spans="2:9" x14ac:dyDescent="0.2">
      <c r="B150" t="str">
        <f>VLOOKUP(G150,PC!B:D,3,FALSE)</f>
        <v>CPV</v>
      </c>
      <c r="C150" s="22">
        <v>2023</v>
      </c>
      <c r="D150" t="s">
        <v>109</v>
      </c>
      <c r="E150" t="s">
        <v>14</v>
      </c>
      <c r="F150" t="str">
        <f>VLOOKUP(G150,PC!B:D,2,FALSE)</f>
        <v>BEBIDAS</v>
      </c>
      <c r="G150" t="s">
        <v>25</v>
      </c>
      <c r="H150" s="1">
        <f>1013.66-H149-H148</f>
        <v>750.65999999999985</v>
      </c>
    </row>
    <row r="151" spans="2:9" x14ac:dyDescent="0.2">
      <c r="B151" t="str">
        <f>VLOOKUP(G151,PC!B:D,3,FALSE)</f>
        <v>CPV</v>
      </c>
      <c r="C151" s="22">
        <v>2023</v>
      </c>
      <c r="D151" t="s">
        <v>109</v>
      </c>
      <c r="E151" t="s">
        <v>28</v>
      </c>
      <c r="F151" t="str">
        <f>VLOOKUP(G151,PC!B:D,2,FALSE)</f>
        <v>BEBIDAS</v>
      </c>
      <c r="G151" t="s">
        <v>26</v>
      </c>
      <c r="H151" s="1">
        <v>1382.76</v>
      </c>
    </row>
    <row r="152" spans="2:9" x14ac:dyDescent="0.2">
      <c r="B152" t="str">
        <f>VLOOKUP(G152,PC!B:D,3,FALSE)</f>
        <v>CPV</v>
      </c>
      <c r="C152" s="22">
        <v>2023</v>
      </c>
      <c r="D152" t="s">
        <v>109</v>
      </c>
      <c r="E152" t="s">
        <v>156</v>
      </c>
      <c r="F152" t="str">
        <f>VLOOKUP(G152,PC!B:D,2,FALSE)</f>
        <v>BEBIDAS</v>
      </c>
      <c r="G152" t="s">
        <v>26</v>
      </c>
      <c r="H152" s="1">
        <v>76.56</v>
      </c>
    </row>
    <row r="153" spans="2:9" x14ac:dyDescent="0.2">
      <c r="B153" t="str">
        <f>VLOOKUP(G153,PC!B:D,3,FALSE)</f>
        <v>CPV</v>
      </c>
      <c r="C153" s="22">
        <v>2023</v>
      </c>
      <c r="D153" t="s">
        <v>109</v>
      </c>
      <c r="E153" t="s">
        <v>20</v>
      </c>
      <c r="F153" t="str">
        <f>VLOOKUP(G153,PC!B:D,2,FALSE)</f>
        <v>COMIDA</v>
      </c>
      <c r="G153" t="s">
        <v>29</v>
      </c>
      <c r="H153" s="1">
        <v>58.66</v>
      </c>
    </row>
    <row r="154" spans="2:9" x14ac:dyDescent="0.2">
      <c r="B154" t="str">
        <f>VLOOKUP(G154,PC!B:D,3,FALSE)</f>
        <v>CPV</v>
      </c>
      <c r="C154" s="22">
        <v>2023</v>
      </c>
      <c r="D154" t="s">
        <v>109</v>
      </c>
      <c r="E154" t="s">
        <v>40</v>
      </c>
      <c r="F154" t="str">
        <f>VLOOKUP(G154,PC!B:D,2,FALSE)</f>
        <v>BEBIDAS</v>
      </c>
      <c r="G154" t="s">
        <v>26</v>
      </c>
      <c r="H154" s="1">
        <v>115</v>
      </c>
    </row>
    <row r="155" spans="2:9" x14ac:dyDescent="0.2">
      <c r="B155" t="str">
        <f>VLOOKUP(G155,PC!B:D,3,FALSE)</f>
        <v>CPV</v>
      </c>
      <c r="C155" s="22">
        <v>2023</v>
      </c>
      <c r="D155" t="s">
        <v>109</v>
      </c>
      <c r="E155" t="s">
        <v>28</v>
      </c>
      <c r="F155" t="str">
        <f>VLOOKUP(G155,PC!B:D,2,FALSE)</f>
        <v>BEBIDAS</v>
      </c>
      <c r="G155" t="s">
        <v>26</v>
      </c>
      <c r="H155" s="1">
        <v>2322</v>
      </c>
    </row>
    <row r="156" spans="2:9" x14ac:dyDescent="0.2">
      <c r="B156" t="str">
        <f>VLOOKUP(G156,PC!B:D,3,FALSE)</f>
        <v>CPV</v>
      </c>
      <c r="C156" s="22">
        <v>2023</v>
      </c>
      <c r="D156" t="s">
        <v>109</v>
      </c>
      <c r="E156" t="s">
        <v>27</v>
      </c>
      <c r="F156" t="str">
        <f>VLOOKUP(G156,PC!B:D,2,FALSE)</f>
        <v>COMIDA</v>
      </c>
      <c r="G156" t="s">
        <v>12</v>
      </c>
      <c r="H156" s="1">
        <v>123.36</v>
      </c>
    </row>
    <row r="157" spans="2:9" x14ac:dyDescent="0.2">
      <c r="B157" t="str">
        <f>VLOOKUP(G157,PC!B:D,3,FALSE)</f>
        <v>CPV</v>
      </c>
      <c r="C157" s="22">
        <v>2023</v>
      </c>
      <c r="D157" t="s">
        <v>109</v>
      </c>
      <c r="E157" t="s">
        <v>16</v>
      </c>
      <c r="F157" t="str">
        <f>VLOOKUP(G157,PC!B:D,2,FALSE)</f>
        <v>COMIDA</v>
      </c>
      <c r="G157" t="s">
        <v>12</v>
      </c>
      <c r="H157" s="1">
        <v>244.36</v>
      </c>
      <c r="I157" s="18"/>
    </row>
    <row r="158" spans="2:9" x14ac:dyDescent="0.2">
      <c r="B158" t="str">
        <f>VLOOKUP(G158,PC!B:D,3,FALSE)</f>
        <v>CPV</v>
      </c>
      <c r="C158" s="22">
        <v>2023</v>
      </c>
      <c r="D158" t="s">
        <v>109</v>
      </c>
      <c r="E158" t="s">
        <v>14</v>
      </c>
      <c r="F158" t="str">
        <f>VLOOKUP(G158,PC!B:D,2,FALSE)</f>
        <v>BEBIDAS</v>
      </c>
      <c r="G158" t="s">
        <v>26</v>
      </c>
      <c r="H158" s="1">
        <v>688.34</v>
      </c>
    </row>
    <row r="159" spans="2:9" x14ac:dyDescent="0.2">
      <c r="B159" t="str">
        <f>VLOOKUP(G159,PC!B:D,3,FALSE)</f>
        <v>CPV</v>
      </c>
      <c r="C159" s="22">
        <v>2023</v>
      </c>
      <c r="D159" t="s">
        <v>109</v>
      </c>
      <c r="E159" t="s">
        <v>24</v>
      </c>
      <c r="F159" t="str">
        <f>VLOOKUP(G159,PC!B:D,2,FALSE)</f>
        <v>COMIDA</v>
      </c>
      <c r="G159" t="s">
        <v>33</v>
      </c>
      <c r="H159" s="1">
        <v>339.33</v>
      </c>
    </row>
    <row r="160" spans="2:9" x14ac:dyDescent="0.2">
      <c r="B160" t="str">
        <f>VLOOKUP(G160,PC!B:D,3,FALSE)</f>
        <v>CPV</v>
      </c>
      <c r="C160" s="22">
        <v>2023</v>
      </c>
      <c r="D160" t="s">
        <v>109</v>
      </c>
      <c r="E160" t="s">
        <v>28</v>
      </c>
      <c r="F160" t="str">
        <f>VLOOKUP(G160,PC!B:D,2,FALSE)</f>
        <v>BEBIDAS</v>
      </c>
      <c r="G160" t="s">
        <v>26</v>
      </c>
      <c r="H160" s="1">
        <v>1420</v>
      </c>
    </row>
    <row r="161" spans="2:8" x14ac:dyDescent="0.2">
      <c r="B161" t="str">
        <f>VLOOKUP(G161,PC!B:D,3,FALSE)</f>
        <v>CPV</v>
      </c>
      <c r="C161" s="22">
        <v>2023</v>
      </c>
      <c r="D161" t="s">
        <v>109</v>
      </c>
      <c r="E161" t="s">
        <v>5</v>
      </c>
      <c r="F161" t="str">
        <f>VLOOKUP(G161,PC!B:D,2,FALSE)</f>
        <v>COMIDA</v>
      </c>
      <c r="G161" t="s">
        <v>18</v>
      </c>
      <c r="H161" s="1">
        <v>163.49</v>
      </c>
    </row>
    <row r="162" spans="2:8" x14ac:dyDescent="0.2">
      <c r="B162" t="str">
        <f>VLOOKUP(G162,PC!B:D,3,FALSE)</f>
        <v>CPV</v>
      </c>
      <c r="C162" s="22">
        <v>2023</v>
      </c>
      <c r="D162" t="s">
        <v>109</v>
      </c>
      <c r="E162" t="s">
        <v>28</v>
      </c>
      <c r="F162" t="str">
        <f>VLOOKUP(G162,PC!B:D,2,FALSE)</f>
        <v>BEBIDAS</v>
      </c>
      <c r="G162" t="s">
        <v>26</v>
      </c>
      <c r="H162" s="1">
        <f>1759.8-H163</f>
        <v>1459.8</v>
      </c>
    </row>
    <row r="163" spans="2:8" x14ac:dyDescent="0.2">
      <c r="B163" t="str">
        <f>VLOOKUP(G163,PC!B:D,3,FALSE)</f>
        <v>CPV</v>
      </c>
      <c r="C163" s="22">
        <v>2023</v>
      </c>
      <c r="D163" t="s">
        <v>109</v>
      </c>
      <c r="E163" t="s">
        <v>28</v>
      </c>
      <c r="F163" t="str">
        <f>VLOOKUP(G163,PC!B:D,2,FALSE)</f>
        <v>BEBIDAS</v>
      </c>
      <c r="G163" t="s">
        <v>25</v>
      </c>
      <c r="H163" s="1">
        <v>300</v>
      </c>
    </row>
    <row r="164" spans="2:8" x14ac:dyDescent="0.2">
      <c r="B164" t="str">
        <f>VLOOKUP(G164,PC!B:D,3,FALSE)</f>
        <v>CPV</v>
      </c>
      <c r="C164" s="22">
        <v>2023</v>
      </c>
      <c r="D164" t="s">
        <v>109</v>
      </c>
      <c r="E164" t="s">
        <v>14</v>
      </c>
      <c r="F164" t="str">
        <f>VLOOKUP(G164,PC!B:D,2,FALSE)</f>
        <v>BEBIDAS</v>
      </c>
      <c r="G164" t="s">
        <v>46</v>
      </c>
      <c r="H164" s="1">
        <f>16.83+29.79+29.79+29.79+29.79</f>
        <v>135.98999999999998</v>
      </c>
    </row>
    <row r="165" spans="2:8" x14ac:dyDescent="0.2">
      <c r="B165" t="str">
        <f>VLOOKUP(G165,PC!B:D,3,FALSE)</f>
        <v>CPV</v>
      </c>
      <c r="C165" s="22">
        <v>2023</v>
      </c>
      <c r="D165" t="s">
        <v>109</v>
      </c>
      <c r="E165" t="s">
        <v>14</v>
      </c>
      <c r="F165" t="str">
        <f>VLOOKUP(G165,PC!B:D,2,FALSE)</f>
        <v>BEBIDAS</v>
      </c>
      <c r="G165" t="s">
        <v>25</v>
      </c>
      <c r="H165" s="1">
        <f>421.41</f>
        <v>421.41</v>
      </c>
    </row>
    <row r="166" spans="2:8" x14ac:dyDescent="0.2">
      <c r="B166" t="str">
        <f>VLOOKUP(G166,PC!B:D,3,FALSE)</f>
        <v>CPV</v>
      </c>
      <c r="C166" s="22">
        <v>2023</v>
      </c>
      <c r="D166" t="s">
        <v>109</v>
      </c>
      <c r="E166" t="s">
        <v>14</v>
      </c>
      <c r="F166" t="str">
        <f>VLOOKUP(G166,PC!B:D,2,FALSE)</f>
        <v>BEBIDAS</v>
      </c>
      <c r="G166" t="s">
        <v>25</v>
      </c>
      <c r="H166" s="1">
        <f>681.78-H164</f>
        <v>545.79</v>
      </c>
    </row>
    <row r="167" spans="2:8" x14ac:dyDescent="0.2">
      <c r="B167" t="str">
        <f>VLOOKUP(G167,PC!B:D,3,FALSE)</f>
        <v>CPV</v>
      </c>
      <c r="C167" s="22">
        <v>2023</v>
      </c>
      <c r="D167" t="s">
        <v>109</v>
      </c>
      <c r="E167" t="s">
        <v>14</v>
      </c>
      <c r="F167" t="str">
        <f>VLOOKUP(G167,PC!B:D,2,FALSE)</f>
        <v>BEBIDAS</v>
      </c>
      <c r="G167" t="s">
        <v>46</v>
      </c>
      <c r="H167" s="1">
        <f>14.77+13.98+13.98</f>
        <v>42.730000000000004</v>
      </c>
    </row>
    <row r="168" spans="2:8" x14ac:dyDescent="0.2">
      <c r="B168" t="str">
        <f>VLOOKUP(G168,PC!B:D,3,FALSE)</f>
        <v>CPV</v>
      </c>
      <c r="C168" s="22">
        <v>2023</v>
      </c>
      <c r="D168" t="s">
        <v>109</v>
      </c>
      <c r="E168" t="s">
        <v>14</v>
      </c>
      <c r="F168" t="str">
        <f>VLOOKUP(G168,PC!B:D,2,FALSE)</f>
        <v>BEBIDAS</v>
      </c>
      <c r="G168" t="s">
        <v>46</v>
      </c>
      <c r="H168" s="1">
        <f>290.59</f>
        <v>290.58999999999997</v>
      </c>
    </row>
    <row r="169" spans="2:8" x14ac:dyDescent="0.2">
      <c r="B169" t="str">
        <f>VLOOKUP(G169,PC!B:D,3,FALSE)</f>
        <v>CPV</v>
      </c>
      <c r="C169" s="22">
        <v>2023</v>
      </c>
      <c r="D169" t="s">
        <v>109</v>
      </c>
      <c r="E169" t="s">
        <v>6</v>
      </c>
      <c r="F169" t="str">
        <f>VLOOKUP(G169,PC!B:D,2,FALSE)</f>
        <v>COMIDA</v>
      </c>
      <c r="G169" t="s">
        <v>145</v>
      </c>
      <c r="H169" s="1">
        <v>72.63</v>
      </c>
    </row>
    <row r="170" spans="2:8" x14ac:dyDescent="0.2">
      <c r="B170" t="str">
        <f>VLOOKUP(G170,PC!B:D,3,FALSE)</f>
        <v>CPV</v>
      </c>
      <c r="C170" s="22">
        <v>2023</v>
      </c>
      <c r="D170" t="s">
        <v>109</v>
      </c>
      <c r="E170" t="s">
        <v>129</v>
      </c>
      <c r="F170" t="str">
        <f>VLOOKUP(G170,PC!B:D,2,FALSE)</f>
        <v>COMIDA</v>
      </c>
      <c r="G170" t="s">
        <v>155</v>
      </c>
      <c r="H170" s="1">
        <v>380</v>
      </c>
    </row>
    <row r="171" spans="2:8" x14ac:dyDescent="0.2">
      <c r="B171" t="str">
        <f>VLOOKUP(G171,PC!B:D,3,FALSE)</f>
        <v>CPV</v>
      </c>
      <c r="C171" s="22">
        <v>2023</v>
      </c>
      <c r="D171" t="s">
        <v>109</v>
      </c>
      <c r="E171" t="s">
        <v>129</v>
      </c>
      <c r="F171" t="str">
        <f>VLOOKUP(G171,PC!B:D,2,FALSE)</f>
        <v>BEBIDAS</v>
      </c>
      <c r="G171" t="s">
        <v>48</v>
      </c>
      <c r="H171" s="1">
        <v>300</v>
      </c>
    </row>
    <row r="172" spans="2:8" x14ac:dyDescent="0.2">
      <c r="B172" t="str">
        <f>VLOOKUP(G172,PC!B:D,3,FALSE)</f>
        <v>DESPESA OPERACIONAL</v>
      </c>
      <c r="C172" s="22">
        <v>2023</v>
      </c>
      <c r="D172" t="s">
        <v>109</v>
      </c>
      <c r="F172" t="str">
        <f>VLOOKUP(G172,PC!B:D,2,FALSE)</f>
        <v>DESPESA OPERACIONAL</v>
      </c>
      <c r="G172" t="s">
        <v>73</v>
      </c>
      <c r="H172" s="1">
        <f>1048.9+1540.08</f>
        <v>2588.98</v>
      </c>
    </row>
    <row r="173" spans="2:8" x14ac:dyDescent="0.2">
      <c r="B173" t="str">
        <f>VLOOKUP(G173,PC!B:D,3,FALSE)</f>
        <v>RECEITA</v>
      </c>
      <c r="C173" s="22">
        <v>2023</v>
      </c>
      <c r="D173" t="s">
        <v>109</v>
      </c>
      <c r="F173" t="str">
        <f>VLOOKUP(G173,PC!B:D,2,FALSE)</f>
        <v>RECEITA</v>
      </c>
      <c r="G173" t="s">
        <v>64</v>
      </c>
      <c r="H173" s="1">
        <f>22.5</f>
        <v>22.5</v>
      </c>
    </row>
    <row r="174" spans="2:8" x14ac:dyDescent="0.2">
      <c r="B174" t="str">
        <f>VLOOKUP(G174,PC!B:D,3,FALSE)</f>
        <v>CPV</v>
      </c>
      <c r="C174" s="22">
        <v>2023</v>
      </c>
      <c r="D174" t="s">
        <v>109</v>
      </c>
      <c r="E174" t="s">
        <v>77</v>
      </c>
      <c r="F174" t="str">
        <f>VLOOKUP(G174,PC!B:D,2,FALSE)</f>
        <v>OUTROS</v>
      </c>
      <c r="G174" t="s">
        <v>37</v>
      </c>
      <c r="H174" s="1">
        <v>243.77</v>
      </c>
    </row>
    <row r="175" spans="2:8" x14ac:dyDescent="0.2">
      <c r="B175" t="str">
        <f>VLOOKUP(G175,PC!B:D,3,FALSE)</f>
        <v>CPV</v>
      </c>
      <c r="C175" s="22">
        <v>2023</v>
      </c>
      <c r="D175" t="s">
        <v>109</v>
      </c>
      <c r="E175" t="s">
        <v>89</v>
      </c>
      <c r="F175" t="str">
        <f>VLOOKUP(G175,PC!B:D,2,FALSE)</f>
        <v>OUTROS</v>
      </c>
      <c r="G175" s="4" t="s">
        <v>37</v>
      </c>
      <c r="H175" s="1">
        <v>440.59</v>
      </c>
    </row>
    <row r="176" spans="2:8" x14ac:dyDescent="0.2">
      <c r="B176" t="str">
        <f>VLOOKUP(G176,PC!B:D,3,FALSE)</f>
        <v>CPV</v>
      </c>
      <c r="C176" s="22">
        <v>2023</v>
      </c>
      <c r="D176" t="s">
        <v>109</v>
      </c>
      <c r="E176" t="s">
        <v>129</v>
      </c>
      <c r="F176" t="str">
        <f>VLOOKUP(G176,PC!B:D,2,FALSE)</f>
        <v>COMIDA</v>
      </c>
      <c r="G176" s="4" t="s">
        <v>12</v>
      </c>
      <c r="H176" s="1">
        <v>154</v>
      </c>
    </row>
    <row r="177" spans="2:9" x14ac:dyDescent="0.2">
      <c r="B177" t="str">
        <f>VLOOKUP(G177,PC!B:D,3,FALSE)</f>
        <v>CPV</v>
      </c>
      <c r="C177" s="22">
        <v>2023</v>
      </c>
      <c r="D177" t="s">
        <v>109</v>
      </c>
      <c r="E177" t="s">
        <v>129</v>
      </c>
      <c r="F177" t="str">
        <f>VLOOKUP(G177,PC!B:D,2,FALSE)</f>
        <v>COMIDA</v>
      </c>
      <c r="G177" s="4" t="s">
        <v>12</v>
      </c>
      <c r="H177" s="1">
        <v>68.400000000000006</v>
      </c>
    </row>
    <row r="178" spans="2:9" x14ac:dyDescent="0.2">
      <c r="B178" t="str">
        <f>VLOOKUP(G178,PC!B:D,3,FALSE)</f>
        <v>CPV</v>
      </c>
      <c r="C178" s="22">
        <v>2023</v>
      </c>
      <c r="D178" t="s">
        <v>109</v>
      </c>
      <c r="E178" t="s">
        <v>129</v>
      </c>
      <c r="F178" t="str">
        <f>VLOOKUP(G178,PC!B:D,2,FALSE)</f>
        <v>LIMPEZA</v>
      </c>
      <c r="G178" s="4" t="s">
        <v>43</v>
      </c>
      <c r="H178" s="1">
        <v>144.80000000000001</v>
      </c>
    </row>
    <row r="179" spans="2:9" x14ac:dyDescent="0.2">
      <c r="B179" t="str">
        <f>VLOOKUP(G179,PC!B:D,3,FALSE)</f>
        <v>CPV</v>
      </c>
      <c r="C179" s="22">
        <v>2023</v>
      </c>
      <c r="D179" t="s">
        <v>109</v>
      </c>
      <c r="E179" t="s">
        <v>129</v>
      </c>
      <c r="F179" t="str">
        <f>VLOOKUP(G179,PC!B:D,2,FALSE)</f>
        <v>BEBIDAS</v>
      </c>
      <c r="G179" s="4" t="s">
        <v>48</v>
      </c>
      <c r="H179" s="1">
        <f>325.3-H178</f>
        <v>180.5</v>
      </c>
    </row>
    <row r="180" spans="2:9" x14ac:dyDescent="0.2">
      <c r="B180" t="str">
        <f>VLOOKUP(G180,PC!B:D,3,FALSE)</f>
        <v>DESPESA PESSOAL</v>
      </c>
      <c r="C180" s="22">
        <v>2023</v>
      </c>
      <c r="D180" t="s">
        <v>109</v>
      </c>
      <c r="F180" t="str">
        <f>VLOOKUP(G180,PC!B:D,2,FALSE)</f>
        <v>DESPESA PESSOAL</v>
      </c>
      <c r="G180" s="4" t="s">
        <v>68</v>
      </c>
      <c r="H180" s="1">
        <v>601.45000000000005</v>
      </c>
      <c r="I180" s="7" t="s">
        <v>157</v>
      </c>
    </row>
    <row r="181" spans="2:9" x14ac:dyDescent="0.2">
      <c r="B181" t="str">
        <f>VLOOKUP(G181,PC!B:D,3,FALSE)</f>
        <v>SERV.TERCEIROS</v>
      </c>
      <c r="C181" s="22">
        <v>2023</v>
      </c>
      <c r="D181" t="s">
        <v>109</v>
      </c>
      <c r="F181" t="str">
        <f>VLOOKUP(G181,PC!B:D,2,FALSE)</f>
        <v>SERV.TERCEIROS</v>
      </c>
      <c r="G181" s="4" t="s">
        <v>60</v>
      </c>
      <c r="H181" s="1">
        <v>380</v>
      </c>
    </row>
    <row r="182" spans="2:9" x14ac:dyDescent="0.2">
      <c r="B182" t="str">
        <f>VLOOKUP(G182,PC!B:D,3,FALSE)</f>
        <v>DESPESA FINANCEIRA</v>
      </c>
      <c r="C182" s="22">
        <v>2023</v>
      </c>
      <c r="D182" t="s">
        <v>109</v>
      </c>
      <c r="F182" t="str">
        <f>VLOOKUP(G182,PC!B:D,2,FALSE)</f>
        <v>DESPESA FINANCEIRA</v>
      </c>
      <c r="G182" s="4" t="s">
        <v>90</v>
      </c>
      <c r="H182" s="1">
        <v>620.30999999999995</v>
      </c>
    </row>
    <row r="183" spans="2:9" x14ac:dyDescent="0.2">
      <c r="B183" t="str">
        <f>VLOOKUP(G183,PC!B:D,3,FALSE)</f>
        <v>DESCONTO DE FATURAMENTO</v>
      </c>
      <c r="C183" s="22">
        <v>2023</v>
      </c>
      <c r="D183" t="s">
        <v>109</v>
      </c>
      <c r="F183" t="str">
        <f>VLOOKUP(G183,PC!B:D,2,FALSE)</f>
        <v>IMPOSTO</v>
      </c>
      <c r="G183" s="4" t="s">
        <v>158</v>
      </c>
      <c r="H183" s="1">
        <v>410.18</v>
      </c>
    </row>
    <row r="184" spans="2:9" x14ac:dyDescent="0.2">
      <c r="B184" t="str">
        <f>VLOOKUP(G184,PC!B:D,3,FALSE)</f>
        <v>DESCONTO DE FATURAMENTO</v>
      </c>
      <c r="C184" s="22">
        <v>2023</v>
      </c>
      <c r="D184" t="s">
        <v>109</v>
      </c>
      <c r="F184" t="str">
        <f>VLOOKUP(G184,PC!B:D,2,FALSE)</f>
        <v>IMPOSTO</v>
      </c>
      <c r="G184" s="4" t="s">
        <v>88</v>
      </c>
      <c r="H184" s="1">
        <v>4675.0200000000004</v>
      </c>
    </row>
    <row r="185" spans="2:9" x14ac:dyDescent="0.2">
      <c r="B185" t="str">
        <f>VLOOKUP(G185,PC!B:D,3,FALSE)</f>
        <v>CPV</v>
      </c>
      <c r="C185" s="22">
        <v>2023</v>
      </c>
      <c r="D185" t="s">
        <v>109</v>
      </c>
      <c r="E185" t="s">
        <v>129</v>
      </c>
      <c r="F185" t="str">
        <f>VLOOKUP(G185,PC!B:D,2,FALSE)</f>
        <v>SOBREMESA</v>
      </c>
      <c r="G185" s="4" t="s">
        <v>75</v>
      </c>
      <c r="H185" s="1">
        <v>766.99</v>
      </c>
    </row>
    <row r="186" spans="2:9" x14ac:dyDescent="0.2">
      <c r="B186" t="str">
        <f>VLOOKUP(G186,PC!B:D,3,FALSE)</f>
        <v>SERV. PUBLICOS</v>
      </c>
      <c r="C186" s="22">
        <v>2023</v>
      </c>
      <c r="D186" t="s">
        <v>109</v>
      </c>
      <c r="F186" t="str">
        <f>VLOOKUP(G186,PC!B:D,2,FALSE)</f>
        <v>SERV. PUBLICOS</v>
      </c>
      <c r="G186" s="4" t="s">
        <v>91</v>
      </c>
      <c r="H186" s="1">
        <f>1936.91+36.83</f>
        <v>1973.74</v>
      </c>
    </row>
    <row r="187" spans="2:9" x14ac:dyDescent="0.2">
      <c r="B187" t="str">
        <f>VLOOKUP(G187,PC!B:D,3,FALSE)</f>
        <v>CPV</v>
      </c>
      <c r="C187" s="22">
        <v>2023</v>
      </c>
      <c r="D187" t="s">
        <v>109</v>
      </c>
      <c r="E187" t="s">
        <v>21</v>
      </c>
      <c r="F187" t="str">
        <f>VLOOKUP(G187,PC!B:D,2,FALSE)</f>
        <v>COMIDA</v>
      </c>
      <c r="G187" s="4" t="s">
        <v>18</v>
      </c>
      <c r="H187" s="1">
        <v>191.49</v>
      </c>
    </row>
    <row r="188" spans="2:9" x14ac:dyDescent="0.2">
      <c r="B188" t="str">
        <f>VLOOKUP(G188,PC!B:D,3,FALSE)</f>
        <v>CPV</v>
      </c>
      <c r="C188" s="22">
        <v>2023</v>
      </c>
      <c r="D188" t="s">
        <v>109</v>
      </c>
      <c r="E188" t="s">
        <v>35</v>
      </c>
      <c r="F188" t="str">
        <f>VLOOKUP(G188,PC!B:D,2,FALSE)</f>
        <v>HIGIENE</v>
      </c>
      <c r="G188" s="4" t="s">
        <v>36</v>
      </c>
      <c r="H188" s="1">
        <f>218.7</f>
        <v>218.7</v>
      </c>
    </row>
    <row r="189" spans="2:9" x14ac:dyDescent="0.2">
      <c r="B189" t="str">
        <f>VLOOKUP(G189,PC!B:D,3,FALSE)</f>
        <v>CPV</v>
      </c>
      <c r="C189" s="22">
        <v>2023</v>
      </c>
      <c r="D189" t="s">
        <v>109</v>
      </c>
      <c r="E189" t="s">
        <v>35</v>
      </c>
      <c r="F189" t="str">
        <f>VLOOKUP(G189,PC!B:D,2,FALSE)</f>
        <v>LIMPEZA</v>
      </c>
      <c r="G189" s="4" t="s">
        <v>43</v>
      </c>
      <c r="H189" s="1">
        <f>80.15+100.9+39.7+44.34</f>
        <v>265.09000000000003</v>
      </c>
    </row>
    <row r="190" spans="2:9" x14ac:dyDescent="0.2">
      <c r="B190" t="str">
        <f>VLOOKUP(G190,PC!B:D,3,FALSE)</f>
        <v>CPV</v>
      </c>
      <c r="C190" s="22">
        <v>2023</v>
      </c>
      <c r="D190" t="s">
        <v>109</v>
      </c>
      <c r="E190" t="s">
        <v>35</v>
      </c>
      <c r="F190" t="str">
        <f>VLOOKUP(G190,PC!B:D,2,FALSE)</f>
        <v>COMIDA</v>
      </c>
      <c r="G190" s="4" t="s">
        <v>38</v>
      </c>
      <c r="H190" s="1">
        <f>129.74+54+57.87+227.27+28.07+199</f>
        <v>695.95</v>
      </c>
    </row>
    <row r="191" spans="2:9" x14ac:dyDescent="0.2">
      <c r="B191" t="str">
        <f>VLOOKUP(G191,PC!B:D,3,FALSE)</f>
        <v>CPV</v>
      </c>
      <c r="C191" s="22">
        <v>2023</v>
      </c>
      <c r="D191" t="s">
        <v>109</v>
      </c>
      <c r="E191" t="s">
        <v>159</v>
      </c>
      <c r="F191" t="str">
        <f>VLOOKUP(G191,PC!B:D,2,FALSE)</f>
        <v>BEBIDAS</v>
      </c>
      <c r="G191" s="4" t="s">
        <v>46</v>
      </c>
      <c r="H191" s="1">
        <f>48.96</f>
        <v>48.96</v>
      </c>
    </row>
    <row r="192" spans="2:9" x14ac:dyDescent="0.2">
      <c r="B192" t="str">
        <f>VLOOKUP(G192,PC!B:D,3,FALSE)</f>
        <v>CPV</v>
      </c>
      <c r="C192" s="22">
        <v>2023</v>
      </c>
      <c r="D192" t="s">
        <v>109</v>
      </c>
      <c r="E192" t="s">
        <v>159</v>
      </c>
      <c r="F192" t="str">
        <f>VLOOKUP(G192,PC!B:D,2,FALSE)</f>
        <v>COMIDA</v>
      </c>
      <c r="G192" s="4" t="s">
        <v>145</v>
      </c>
      <c r="H192" s="1">
        <v>275.89999999999998</v>
      </c>
    </row>
    <row r="193" spans="2:8" x14ac:dyDescent="0.2">
      <c r="B193" t="str">
        <f>VLOOKUP(G193,PC!B:D,3,FALSE)</f>
        <v>CPV</v>
      </c>
      <c r="C193" s="22">
        <v>2023</v>
      </c>
      <c r="D193" t="s">
        <v>109</v>
      </c>
      <c r="E193" t="s">
        <v>159</v>
      </c>
      <c r="F193" t="str">
        <f>VLOOKUP(G193,PC!B:D,2,FALSE)</f>
        <v>OUTROS</v>
      </c>
      <c r="G193" s="4" t="s">
        <v>37</v>
      </c>
      <c r="H193" s="1">
        <f>439.67-H192</f>
        <v>163.77000000000004</v>
      </c>
    </row>
    <row r="194" spans="2:8" x14ac:dyDescent="0.2">
      <c r="B194" t="str">
        <f>VLOOKUP(G194,PC!B:D,3,FALSE)</f>
        <v>CPV</v>
      </c>
      <c r="C194" s="22">
        <v>2023</v>
      </c>
      <c r="D194" t="s">
        <v>109</v>
      </c>
      <c r="E194" t="s">
        <v>159</v>
      </c>
      <c r="F194" t="str">
        <f>VLOOKUP(G194,PC!B:D,2,FALSE)</f>
        <v>COMIDA</v>
      </c>
      <c r="G194" s="3" t="s">
        <v>34</v>
      </c>
      <c r="H194" s="1">
        <v>135</v>
      </c>
    </row>
    <row r="195" spans="2:8" x14ac:dyDescent="0.2">
      <c r="B195" t="str">
        <f>VLOOKUP(G195,PC!B:D,3,FALSE)</f>
        <v>CPV</v>
      </c>
      <c r="C195" s="22">
        <v>2023</v>
      </c>
      <c r="D195" t="s">
        <v>109</v>
      </c>
      <c r="E195" t="s">
        <v>28</v>
      </c>
      <c r="F195" t="str">
        <f>VLOOKUP(G195,PC!B:D,2,FALSE)</f>
        <v>BEBIDAS</v>
      </c>
      <c r="G195" s="3" t="s">
        <v>26</v>
      </c>
      <c r="H195" s="1">
        <v>150</v>
      </c>
    </row>
    <row r="196" spans="2:8" x14ac:dyDescent="0.2">
      <c r="B196" t="str">
        <f>VLOOKUP(G196,PC!B:D,3,FALSE)</f>
        <v>CPV</v>
      </c>
      <c r="C196" s="22">
        <v>2023</v>
      </c>
      <c r="D196" t="s">
        <v>109</v>
      </c>
      <c r="E196" t="s">
        <v>28</v>
      </c>
      <c r="F196" t="str">
        <f>VLOOKUP(G196,PC!B:D,2,FALSE)</f>
        <v>BEBIDAS</v>
      </c>
      <c r="G196" s="4" t="s">
        <v>25</v>
      </c>
      <c r="H196" s="1">
        <f>150</f>
        <v>150</v>
      </c>
    </row>
    <row r="197" spans="2:8" x14ac:dyDescent="0.2">
      <c r="B197" t="str">
        <f>VLOOKUP(G197,PC!B:D,3,FALSE)</f>
        <v>CPV</v>
      </c>
      <c r="C197" s="22">
        <v>2023</v>
      </c>
      <c r="D197" t="s">
        <v>109</v>
      </c>
      <c r="E197" t="s">
        <v>28</v>
      </c>
      <c r="F197" t="str">
        <f>VLOOKUP(G197,PC!B:D,2,FALSE)</f>
        <v>BEBIDAS</v>
      </c>
      <c r="G197" s="4" t="s">
        <v>41</v>
      </c>
      <c r="H197" s="1">
        <f>88.95</f>
        <v>88.95</v>
      </c>
    </row>
    <row r="198" spans="2:8" x14ac:dyDescent="0.2">
      <c r="B198" t="str">
        <f>VLOOKUP(G198,PC!B:D,3,FALSE)</f>
        <v>CPV</v>
      </c>
      <c r="C198" s="22">
        <v>2023</v>
      </c>
      <c r="D198" t="s">
        <v>109</v>
      </c>
      <c r="E198" t="s">
        <v>28</v>
      </c>
      <c r="F198" t="str">
        <f>VLOOKUP(G198,PC!B:D,2,FALSE)</f>
        <v>BEBIDAS</v>
      </c>
      <c r="G198" s="4" t="s">
        <v>26</v>
      </c>
      <c r="H198" s="1">
        <v>1662.98</v>
      </c>
    </row>
    <row r="199" spans="2:8" x14ac:dyDescent="0.2">
      <c r="B199" t="str">
        <f>VLOOKUP(G199,PC!B:D,3,FALSE)</f>
        <v>CPV</v>
      </c>
      <c r="C199" s="22">
        <v>2023</v>
      </c>
      <c r="D199" t="s">
        <v>109</v>
      </c>
      <c r="E199" t="s">
        <v>24</v>
      </c>
      <c r="F199" t="str">
        <f>VLOOKUP(G199,PC!B:D,2,FALSE)</f>
        <v>COMIDA</v>
      </c>
      <c r="G199" s="4" t="s">
        <v>33</v>
      </c>
      <c r="H199" s="1">
        <v>514.55999999999995</v>
      </c>
    </row>
    <row r="200" spans="2:8" x14ac:dyDescent="0.2">
      <c r="B200" t="str">
        <f>VLOOKUP(G200,PC!B:D,3,FALSE)</f>
        <v>CPV</v>
      </c>
      <c r="C200" s="22">
        <v>2023</v>
      </c>
      <c r="D200" t="s">
        <v>109</v>
      </c>
      <c r="E200" t="s">
        <v>10</v>
      </c>
      <c r="F200" t="str">
        <f>VLOOKUP(G200,PC!B:D,2,FALSE)</f>
        <v>COMIDA</v>
      </c>
      <c r="G200" s="4" t="s">
        <v>12</v>
      </c>
      <c r="H200" s="1">
        <f>137+69</f>
        <v>206</v>
      </c>
    </row>
    <row r="201" spans="2:8" x14ac:dyDescent="0.2">
      <c r="B201" t="str">
        <f>VLOOKUP(G201,PC!B:D,3,FALSE)</f>
        <v>CPV</v>
      </c>
      <c r="C201" s="22">
        <v>2023</v>
      </c>
      <c r="D201" t="s">
        <v>109</v>
      </c>
      <c r="E201" t="s">
        <v>10</v>
      </c>
      <c r="F201" t="str">
        <f>VLOOKUP(G201,PC!B:D,2,FALSE)</f>
        <v>COMIDA</v>
      </c>
      <c r="G201" s="4" t="s">
        <v>33</v>
      </c>
      <c r="H201" s="1">
        <f>577.37-H200</f>
        <v>371.37</v>
      </c>
    </row>
    <row r="202" spans="2:8" x14ac:dyDescent="0.2">
      <c r="B202" t="str">
        <f>VLOOKUP(G202,PC!B:D,3,FALSE)</f>
        <v>CPV</v>
      </c>
      <c r="C202" s="22">
        <v>2023</v>
      </c>
      <c r="D202" t="s">
        <v>109</v>
      </c>
      <c r="E202" t="s">
        <v>129</v>
      </c>
      <c r="F202" t="str">
        <f>VLOOKUP(G202,PC!B:D,2,FALSE)</f>
        <v>COMIDA</v>
      </c>
      <c r="G202" s="4" t="s">
        <v>145</v>
      </c>
      <c r="H202" s="1">
        <v>51.3</v>
      </c>
    </row>
    <row r="203" spans="2:8" x14ac:dyDescent="0.2">
      <c r="B203" t="str">
        <f>VLOOKUP(G203,PC!B:D,3,FALSE)</f>
        <v>CPV</v>
      </c>
      <c r="C203" s="22">
        <v>2023</v>
      </c>
      <c r="D203" t="s">
        <v>109</v>
      </c>
      <c r="E203" t="s">
        <v>129</v>
      </c>
      <c r="F203" t="str">
        <f>VLOOKUP(G203,PC!B:D,2,FALSE)</f>
        <v>COMIDA</v>
      </c>
      <c r="G203" s="4" t="s">
        <v>12</v>
      </c>
      <c r="H203" s="1">
        <v>139</v>
      </c>
    </row>
    <row r="204" spans="2:8" x14ac:dyDescent="0.2">
      <c r="B204" t="str">
        <f>VLOOKUP(G204,PC!B:D,3,FALSE)</f>
        <v>CPV</v>
      </c>
      <c r="C204" s="22">
        <v>2023</v>
      </c>
      <c r="D204" t="s">
        <v>109</v>
      </c>
      <c r="E204" t="s">
        <v>156</v>
      </c>
      <c r="F204" t="str">
        <f>VLOOKUP(G204,PC!B:D,2,FALSE)</f>
        <v>BEBIDAS</v>
      </c>
      <c r="G204" s="4" t="s">
        <v>26</v>
      </c>
      <c r="H204" s="1">
        <v>100.8</v>
      </c>
    </row>
    <row r="205" spans="2:8" x14ac:dyDescent="0.2">
      <c r="B205" t="str">
        <f>VLOOKUP(G205,PC!B:D,3,FALSE)</f>
        <v>CPV</v>
      </c>
      <c r="C205" s="22">
        <v>2023</v>
      </c>
      <c r="D205" t="s">
        <v>109</v>
      </c>
      <c r="E205" t="s">
        <v>14</v>
      </c>
      <c r="F205" t="str">
        <f>VLOOKUP(G205,PC!B:D,2,FALSE)</f>
        <v>BEBIDAS</v>
      </c>
      <c r="G205" s="4" t="s">
        <v>25</v>
      </c>
      <c r="H205" s="1">
        <v>1124.8800000000001</v>
      </c>
    </row>
    <row r="206" spans="2:8" x14ac:dyDescent="0.2">
      <c r="B206" t="str">
        <f>VLOOKUP(G206,PC!B:D,3,FALSE)</f>
        <v>CPV</v>
      </c>
      <c r="C206" s="22">
        <v>2023</v>
      </c>
      <c r="D206" t="s">
        <v>109</v>
      </c>
      <c r="E206" t="s">
        <v>14</v>
      </c>
      <c r="F206" t="str">
        <f>VLOOKUP(G206,PC!B:D,2,FALSE)</f>
        <v>BEBIDAS</v>
      </c>
      <c r="G206" s="4" t="s">
        <v>46</v>
      </c>
      <c r="H206" s="1">
        <v>16</v>
      </c>
    </row>
    <row r="207" spans="2:8" x14ac:dyDescent="0.2">
      <c r="B207" t="str">
        <f>VLOOKUP(G207,PC!B:D,3,FALSE)</f>
        <v>CPV</v>
      </c>
      <c r="C207" s="22">
        <v>2023</v>
      </c>
      <c r="D207" t="s">
        <v>109</v>
      </c>
      <c r="E207" t="s">
        <v>14</v>
      </c>
      <c r="F207" t="str">
        <f>VLOOKUP(G207,PC!B:D,2,FALSE)</f>
        <v>BEBIDAS</v>
      </c>
      <c r="G207" s="4" t="s">
        <v>25</v>
      </c>
      <c r="H207" s="1">
        <v>1014</v>
      </c>
    </row>
    <row r="208" spans="2:8" x14ac:dyDescent="0.2">
      <c r="B208" t="str">
        <f>VLOOKUP(G208,PC!B:D,3,FALSE)</f>
        <v>CPV</v>
      </c>
      <c r="C208" s="22">
        <v>2023</v>
      </c>
      <c r="D208" t="s">
        <v>109</v>
      </c>
      <c r="E208" t="s">
        <v>49</v>
      </c>
      <c r="F208" t="str">
        <f>VLOOKUP(G208,PC!B:D,2,FALSE)</f>
        <v>CIGARRO</v>
      </c>
      <c r="G208" s="4" t="s">
        <v>52</v>
      </c>
      <c r="H208" s="1">
        <v>6128.43</v>
      </c>
    </row>
    <row r="209" spans="2:8" x14ac:dyDescent="0.2">
      <c r="B209" t="str">
        <f>VLOOKUP(G209,PC!B:D,3,FALSE)</f>
        <v>CPV</v>
      </c>
      <c r="C209" s="22">
        <v>2023</v>
      </c>
      <c r="D209" t="s">
        <v>109</v>
      </c>
      <c r="E209" t="s">
        <v>97</v>
      </c>
      <c r="F209" t="str">
        <f>VLOOKUP(G209,PC!B:D,2,FALSE)</f>
        <v>OUTROS</v>
      </c>
      <c r="G209" s="4" t="s">
        <v>133</v>
      </c>
      <c r="H209" s="1">
        <f>152.45+24.78+63.31+32</f>
        <v>272.53999999999996</v>
      </c>
    </row>
    <row r="210" spans="2:8" x14ac:dyDescent="0.2">
      <c r="B210" t="str">
        <f>VLOOKUP(G210,PC!B:D,3,FALSE)</f>
        <v>CPV</v>
      </c>
      <c r="C210" s="22">
        <v>2023</v>
      </c>
      <c r="D210" t="s">
        <v>109</v>
      </c>
      <c r="E210" t="s">
        <v>97</v>
      </c>
      <c r="F210" t="str">
        <f>VLOOKUP(G210,PC!B:D,2,FALSE)</f>
        <v>COMIDA</v>
      </c>
      <c r="G210" s="4" t="s">
        <v>33</v>
      </c>
      <c r="H210" s="1">
        <v>230</v>
      </c>
    </row>
    <row r="211" spans="2:8" x14ac:dyDescent="0.2">
      <c r="B211" t="str">
        <f>VLOOKUP(G211,PC!B:D,3,FALSE)</f>
        <v>CPV</v>
      </c>
      <c r="C211" s="22">
        <v>2023</v>
      </c>
      <c r="D211" t="s">
        <v>109</v>
      </c>
      <c r="E211" t="s">
        <v>97</v>
      </c>
      <c r="F211" t="str">
        <f>VLOOKUP(G211,PC!B:D,2,FALSE)</f>
        <v>OUTROS</v>
      </c>
      <c r="G211" s="4" t="s">
        <v>37</v>
      </c>
      <c r="H211" s="1">
        <f>1118.48+70.42+43.65-H209</f>
        <v>960.01000000000022</v>
      </c>
    </row>
    <row r="212" spans="2:8" x14ac:dyDescent="0.2">
      <c r="B212" t="str">
        <f>VLOOKUP(G212,PC!B:D,3,FALSE)</f>
        <v>CPV</v>
      </c>
      <c r="C212" s="22">
        <v>2023</v>
      </c>
      <c r="D212" t="s">
        <v>109</v>
      </c>
      <c r="E212" t="s">
        <v>129</v>
      </c>
      <c r="F212" t="str">
        <f>VLOOKUP(G212,PC!B:D,2,FALSE)</f>
        <v>OUTROS</v>
      </c>
      <c r="G212" s="4" t="s">
        <v>58</v>
      </c>
      <c r="H212" s="1">
        <v>118</v>
      </c>
    </row>
    <row r="213" spans="2:8" x14ac:dyDescent="0.2">
      <c r="B213" t="str">
        <f>VLOOKUP(G213,PC!B:D,3,FALSE)</f>
        <v>CPV</v>
      </c>
      <c r="C213" s="22">
        <v>2023</v>
      </c>
      <c r="D213" t="s">
        <v>109</v>
      </c>
      <c r="E213" t="s">
        <v>5</v>
      </c>
      <c r="F213" t="str">
        <f>VLOOKUP(G213,PC!B:D,2,FALSE)</f>
        <v>COMIDA</v>
      </c>
      <c r="G213" s="4" t="s">
        <v>18</v>
      </c>
      <c r="H213" s="1">
        <v>180.82</v>
      </c>
    </row>
    <row r="214" spans="2:8" x14ac:dyDescent="0.2">
      <c r="B214" t="str">
        <f>VLOOKUP(G214,PC!B:D,3,FALSE)</f>
        <v>CPV</v>
      </c>
      <c r="C214" s="22">
        <v>2023</v>
      </c>
      <c r="D214" t="s">
        <v>109</v>
      </c>
      <c r="E214" t="s">
        <v>21</v>
      </c>
      <c r="F214" t="str">
        <f>VLOOKUP(G214,PC!B:D,2,FALSE)</f>
        <v>SOBREMESA</v>
      </c>
      <c r="G214" s="4" t="s">
        <v>23</v>
      </c>
      <c r="H214" s="1">
        <v>141.16999999999999</v>
      </c>
    </row>
    <row r="215" spans="2:8" x14ac:dyDescent="0.2">
      <c r="B215" t="str">
        <f>VLOOKUP(G215,PC!B:D,3,FALSE)</f>
        <v>CPV</v>
      </c>
      <c r="C215" s="22">
        <v>2023</v>
      </c>
      <c r="D215" t="s">
        <v>109</v>
      </c>
      <c r="E215" t="s">
        <v>160</v>
      </c>
      <c r="F215" t="str">
        <f>VLOOKUP(G215,PC!B:D,2,FALSE)</f>
        <v>COMIDA</v>
      </c>
      <c r="G215" s="4" t="s">
        <v>22</v>
      </c>
      <c r="H215" s="1">
        <v>264.60000000000002</v>
      </c>
    </row>
    <row r="216" spans="2:8" x14ac:dyDescent="0.2">
      <c r="B216" t="str">
        <f>VLOOKUP(G216,PC!B:D,3,FALSE)</f>
        <v>CPV</v>
      </c>
      <c r="C216" s="22">
        <v>2023</v>
      </c>
      <c r="D216" t="s">
        <v>109</v>
      </c>
      <c r="E216" t="s">
        <v>28</v>
      </c>
      <c r="F216" t="str">
        <f>VLOOKUP(G216,PC!B:D,2,FALSE)</f>
        <v>BEBIDAS</v>
      </c>
      <c r="G216" s="4" t="s">
        <v>26</v>
      </c>
      <c r="H216" s="1">
        <v>742.8</v>
      </c>
    </row>
    <row r="217" spans="2:8" x14ac:dyDescent="0.2">
      <c r="B217" t="str">
        <f>VLOOKUP(G217,PC!B:D,3,FALSE)</f>
        <v>CPV</v>
      </c>
      <c r="C217" s="22">
        <v>2023</v>
      </c>
      <c r="D217" t="s">
        <v>109</v>
      </c>
      <c r="E217" t="s">
        <v>28</v>
      </c>
      <c r="F217" t="str">
        <f>VLOOKUP(G217,PC!B:D,2,FALSE)</f>
        <v>BEBIDAS</v>
      </c>
      <c r="G217" s="4" t="s">
        <v>26</v>
      </c>
      <c r="H217" s="1">
        <v>1740.23</v>
      </c>
    </row>
    <row r="218" spans="2:8" x14ac:dyDescent="0.2">
      <c r="B218" t="str">
        <f>VLOOKUP(G218,PC!B:D,3,FALSE)</f>
        <v>CPV</v>
      </c>
      <c r="C218" s="22">
        <v>2023</v>
      </c>
      <c r="D218" t="s">
        <v>109</v>
      </c>
      <c r="E218" t="s">
        <v>129</v>
      </c>
      <c r="F218" t="str">
        <f>VLOOKUP(G218,PC!B:D,2,FALSE)</f>
        <v>OUTROS</v>
      </c>
      <c r="G218" s="4" t="s">
        <v>149</v>
      </c>
      <c r="H218" s="1">
        <v>222.5</v>
      </c>
    </row>
    <row r="219" spans="2:8" x14ac:dyDescent="0.2">
      <c r="B219" t="str">
        <f>VLOOKUP(G219,PC!B:D,3,FALSE)</f>
        <v>CPV</v>
      </c>
      <c r="C219" s="22">
        <v>2023</v>
      </c>
      <c r="D219" t="s">
        <v>109</v>
      </c>
      <c r="E219" t="s">
        <v>40</v>
      </c>
      <c r="F219" t="str">
        <f>VLOOKUP(G219,PC!B:D,2,FALSE)</f>
        <v>BEBIDAS</v>
      </c>
      <c r="G219" s="4" t="s">
        <v>26</v>
      </c>
      <c r="H219" s="1">
        <v>104.1</v>
      </c>
    </row>
    <row r="220" spans="2:8" x14ac:dyDescent="0.2">
      <c r="B220" t="str">
        <f>VLOOKUP(G220,PC!B:D,3,FALSE)</f>
        <v>CPV</v>
      </c>
      <c r="C220" s="22">
        <v>2023</v>
      </c>
      <c r="D220" t="s">
        <v>109</v>
      </c>
      <c r="E220" t="s">
        <v>14</v>
      </c>
      <c r="F220" t="str">
        <f>VLOOKUP(G220,PC!B:D,2,FALSE)</f>
        <v>BEBIDAS</v>
      </c>
      <c r="G220" s="4" t="s">
        <v>25</v>
      </c>
      <c r="H220" s="1">
        <v>238.64</v>
      </c>
    </row>
    <row r="221" spans="2:8" x14ac:dyDescent="0.2">
      <c r="B221" t="str">
        <f>VLOOKUP(G221,PC!B:D,3,FALSE)</f>
        <v>CPV</v>
      </c>
      <c r="C221" s="22">
        <v>2023</v>
      </c>
      <c r="D221" t="s">
        <v>109</v>
      </c>
      <c r="E221" t="s">
        <v>28</v>
      </c>
      <c r="F221" t="str">
        <f>VLOOKUP(G221,PC!B:D,2,FALSE)</f>
        <v>BEBIDAS</v>
      </c>
      <c r="G221" s="4" t="s">
        <v>51</v>
      </c>
      <c r="H221" s="1">
        <v>196.15</v>
      </c>
    </row>
    <row r="222" spans="2:8" x14ac:dyDescent="0.2">
      <c r="B222" t="str">
        <f>VLOOKUP(G222,PC!B:D,3,FALSE)</f>
        <v>CPV</v>
      </c>
      <c r="C222" s="22">
        <v>2023</v>
      </c>
      <c r="D222" t="s">
        <v>109</v>
      </c>
      <c r="E222" t="s">
        <v>28</v>
      </c>
      <c r="F222" t="str">
        <f>VLOOKUP(G222,PC!B:D,2,FALSE)</f>
        <v>BEBIDAS</v>
      </c>
      <c r="G222" s="4" t="s">
        <v>26</v>
      </c>
      <c r="H222" s="1">
        <v>332.8</v>
      </c>
    </row>
    <row r="223" spans="2:8" x14ac:dyDescent="0.2">
      <c r="B223" t="str">
        <f>VLOOKUP(G223,PC!B:D,3,FALSE)</f>
        <v>CPV</v>
      </c>
      <c r="C223" s="22">
        <v>2023</v>
      </c>
      <c r="D223" t="s">
        <v>109</v>
      </c>
      <c r="E223" t="s">
        <v>28</v>
      </c>
      <c r="F223" t="str">
        <f>VLOOKUP(G223,PC!B:D,2,FALSE)</f>
        <v>BEBIDAS</v>
      </c>
      <c r="G223" s="4" t="s">
        <v>26</v>
      </c>
      <c r="H223" s="1">
        <v>2338.5</v>
      </c>
    </row>
    <row r="224" spans="2:8" x14ac:dyDescent="0.2">
      <c r="B224" t="str">
        <f>VLOOKUP(G224,PC!B:D,3,FALSE)</f>
        <v>CPV</v>
      </c>
      <c r="C224" s="22">
        <v>2023</v>
      </c>
      <c r="D224" t="s">
        <v>109</v>
      </c>
      <c r="E224" t="s">
        <v>24</v>
      </c>
      <c r="F224" t="str">
        <f>VLOOKUP(G224,PC!B:D,2,FALSE)</f>
        <v>COMIDA</v>
      </c>
      <c r="G224" s="4" t="s">
        <v>33</v>
      </c>
      <c r="H224" s="1">
        <v>220.95</v>
      </c>
    </row>
    <row r="225" spans="2:8" x14ac:dyDescent="0.2">
      <c r="B225" t="str">
        <f>VLOOKUP(G225,PC!B:D,3,FALSE)</f>
        <v>RECEITA</v>
      </c>
      <c r="C225" s="22">
        <v>2023</v>
      </c>
      <c r="D225" t="s">
        <v>109</v>
      </c>
      <c r="F225" t="str">
        <f>VLOOKUP(G225,PC!B:D,2,FALSE)</f>
        <v>RECEITA</v>
      </c>
      <c r="G225" s="4" t="s">
        <v>54</v>
      </c>
      <c r="H225" s="1">
        <v>2200</v>
      </c>
    </row>
    <row r="226" spans="2:8" x14ac:dyDescent="0.2">
      <c r="B226" t="str">
        <f>VLOOKUP(G226,PC!B:D,3,FALSE)</f>
        <v>DESPESA PESSOAL</v>
      </c>
      <c r="C226" s="22">
        <v>2023</v>
      </c>
      <c r="D226" t="s">
        <v>109</v>
      </c>
      <c r="F226" t="str">
        <f>VLOOKUP(G226,PC!B:D,2,FALSE)</f>
        <v>DESPESA PESSOAL</v>
      </c>
      <c r="G226" s="4" t="s">
        <v>56</v>
      </c>
      <c r="H226" s="1">
        <v>350</v>
      </c>
    </row>
    <row r="227" spans="2:8" x14ac:dyDescent="0.2">
      <c r="B227" t="str">
        <f>VLOOKUP(G227,PC!B:D,3,FALSE)</f>
        <v>DESPESA PESSOAL</v>
      </c>
      <c r="C227" s="22">
        <v>2023</v>
      </c>
      <c r="D227" t="s">
        <v>109</v>
      </c>
      <c r="F227" t="str">
        <f>VLOOKUP(G227,PC!B:D,2,FALSE)</f>
        <v>DESPESA PESSOAL</v>
      </c>
      <c r="G227" s="45" t="s">
        <v>124</v>
      </c>
      <c r="H227" s="1">
        <v>600</v>
      </c>
    </row>
    <row r="228" spans="2:8" x14ac:dyDescent="0.2">
      <c r="B228" t="str">
        <f>VLOOKUP(G228,PC!B:D,3,FALSE)</f>
        <v>RECEITA</v>
      </c>
      <c r="C228" s="22">
        <v>2023</v>
      </c>
      <c r="D228" t="s">
        <v>109</v>
      </c>
      <c r="F228" t="str">
        <f>VLOOKUP(G228,PC!B:D,2,FALSE)</f>
        <v>RECEITA</v>
      </c>
      <c r="G228" s="4" t="s">
        <v>54</v>
      </c>
      <c r="H228" s="1">
        <v>1050</v>
      </c>
    </row>
    <row r="229" spans="2:8" x14ac:dyDescent="0.2">
      <c r="B229" t="str">
        <f>VLOOKUP(G229,PC!B:D,3,FALSE)</f>
        <v>RECEITA</v>
      </c>
      <c r="C229" s="22">
        <v>2023</v>
      </c>
      <c r="D229" t="s">
        <v>109</v>
      </c>
      <c r="F229" t="str">
        <f>VLOOKUP(G229,PC!B:D,2,FALSE)</f>
        <v>RECEITA</v>
      </c>
      <c r="G229" s="4" t="s">
        <v>54</v>
      </c>
      <c r="H229" s="1">
        <v>310</v>
      </c>
    </row>
    <row r="230" spans="2:8" x14ac:dyDescent="0.2">
      <c r="B230" t="str">
        <f>VLOOKUP(G230,PC!B:D,3,FALSE)</f>
        <v>RECEITA</v>
      </c>
      <c r="C230" s="22">
        <v>2023</v>
      </c>
      <c r="D230" t="s">
        <v>109</v>
      </c>
      <c r="F230" t="str">
        <f>VLOOKUP(G230,PC!B:D,2,FALSE)</f>
        <v>RECEITA</v>
      </c>
      <c r="G230" s="4" t="s">
        <v>54</v>
      </c>
      <c r="H230" s="1">
        <v>1950</v>
      </c>
    </row>
    <row r="231" spans="2:8" x14ac:dyDescent="0.2">
      <c r="B231" t="str">
        <f>VLOOKUP(G231,PC!B:D,3,FALSE)</f>
        <v>CPV</v>
      </c>
      <c r="C231" s="22">
        <v>2023</v>
      </c>
      <c r="D231" t="s">
        <v>109</v>
      </c>
      <c r="E231" t="s">
        <v>129</v>
      </c>
      <c r="F231" t="str">
        <f>VLOOKUP(G231,PC!B:D,2,FALSE)</f>
        <v>COMIDA</v>
      </c>
      <c r="G231" s="4" t="s">
        <v>18</v>
      </c>
      <c r="H231" s="1">
        <v>35</v>
      </c>
    </row>
    <row r="232" spans="2:8" x14ac:dyDescent="0.2">
      <c r="B232" t="str">
        <f>VLOOKUP(G232,PC!B:D,3,FALSE)</f>
        <v>RECEITA</v>
      </c>
      <c r="C232" s="22">
        <v>2023</v>
      </c>
      <c r="D232" t="s">
        <v>109</v>
      </c>
      <c r="F232" t="str">
        <f>VLOOKUP(G232,PC!B:D,2,FALSE)</f>
        <v>RECEITA</v>
      </c>
      <c r="G232" s="4" t="s">
        <v>54</v>
      </c>
      <c r="H232" s="1">
        <v>700</v>
      </c>
    </row>
    <row r="233" spans="2:8" x14ac:dyDescent="0.2">
      <c r="B233" t="str">
        <f>VLOOKUP(G233,PC!B:D,3,FALSE)</f>
        <v>RECEITA</v>
      </c>
      <c r="C233" s="22">
        <v>2023</v>
      </c>
      <c r="D233" t="s">
        <v>109</v>
      </c>
      <c r="F233" t="str">
        <f>VLOOKUP(G233,PC!B:D,2,FALSE)</f>
        <v>RECEITA</v>
      </c>
      <c r="G233" s="4" t="s">
        <v>54</v>
      </c>
      <c r="H233" s="1">
        <v>1250</v>
      </c>
    </row>
    <row r="234" spans="2:8" x14ac:dyDescent="0.2">
      <c r="B234" t="str">
        <f>VLOOKUP(G234,PC!B:D,3,FALSE)</f>
        <v>RECEITAS NÃO OPERACIONAIS</v>
      </c>
      <c r="C234" s="22">
        <v>2023</v>
      </c>
      <c r="D234" t="s">
        <v>109</v>
      </c>
      <c r="F234" t="str">
        <f>VLOOKUP(G234,PC!B:D,2,FALSE)</f>
        <v>EMPRESTIMO</v>
      </c>
      <c r="G234" s="4" t="s">
        <v>71</v>
      </c>
      <c r="H234" s="1">
        <v>30</v>
      </c>
    </row>
    <row r="235" spans="2:8" x14ac:dyDescent="0.2">
      <c r="B235" t="str">
        <f>VLOOKUP(G235,PC!B:D,3,FALSE)</f>
        <v>RECEITA</v>
      </c>
      <c r="C235" s="22">
        <v>2023</v>
      </c>
      <c r="D235" t="s">
        <v>109</v>
      </c>
      <c r="F235" t="str">
        <f>VLOOKUP(G235,PC!B:D,2,FALSE)</f>
        <v>RECEITA</v>
      </c>
      <c r="G235" s="4" t="s">
        <v>54</v>
      </c>
      <c r="H235" s="1">
        <v>1300</v>
      </c>
    </row>
    <row r="236" spans="2:8" x14ac:dyDescent="0.2">
      <c r="B236" t="str">
        <f>VLOOKUP(G236,PC!B:D,3,FALSE)</f>
        <v>DESPESA OPERACIONAL</v>
      </c>
      <c r="C236" s="22">
        <v>2023</v>
      </c>
      <c r="D236" t="s">
        <v>109</v>
      </c>
      <c r="F236" t="str">
        <f>VLOOKUP(G236,PC!B:D,2,FALSE)</f>
        <v>DESPESA OPERACIONAL</v>
      </c>
      <c r="G236" s="4" t="s">
        <v>70</v>
      </c>
      <c r="H236" s="1">
        <v>76</v>
      </c>
    </row>
    <row r="237" spans="2:8" x14ac:dyDescent="0.2">
      <c r="B237" t="str">
        <f>VLOOKUP(G237,PC!B:D,3,FALSE)</f>
        <v>CPV</v>
      </c>
      <c r="C237" s="22">
        <v>2023</v>
      </c>
      <c r="D237" t="s">
        <v>109</v>
      </c>
      <c r="E237" t="s">
        <v>129</v>
      </c>
      <c r="F237" t="str">
        <f>VLOOKUP(G237,PC!B:D,2,FALSE)</f>
        <v>SOBREMESA</v>
      </c>
      <c r="G237" s="4" t="s">
        <v>7</v>
      </c>
      <c r="H237" s="1">
        <v>18</v>
      </c>
    </row>
    <row r="238" spans="2:8" x14ac:dyDescent="0.2">
      <c r="B238" t="str">
        <f>VLOOKUP(G238,PC!B:D,3,FALSE)</f>
        <v>CPV</v>
      </c>
      <c r="C238" s="22">
        <v>2023</v>
      </c>
      <c r="D238" t="s">
        <v>109</v>
      </c>
      <c r="E238" t="s">
        <v>129</v>
      </c>
      <c r="F238" t="str">
        <f>VLOOKUP(G238,PC!B:D,2,FALSE)</f>
        <v>COMIDA</v>
      </c>
      <c r="G238" s="4" t="s">
        <v>33</v>
      </c>
      <c r="H238" s="1">
        <v>80</v>
      </c>
    </row>
    <row r="239" spans="2:8" x14ac:dyDescent="0.2">
      <c r="B239" t="str">
        <f>VLOOKUP(G239,PC!B:D,3,FALSE)</f>
        <v>RECEITA</v>
      </c>
      <c r="C239" s="22">
        <v>2023</v>
      </c>
      <c r="D239" t="s">
        <v>109</v>
      </c>
      <c r="F239" t="str">
        <f>VLOOKUP(G239,PC!B:D,2,FALSE)</f>
        <v>RECEITA</v>
      </c>
      <c r="G239" s="4" t="s">
        <v>54</v>
      </c>
      <c r="H239" s="1">
        <v>750</v>
      </c>
    </row>
    <row r="240" spans="2:8" x14ac:dyDescent="0.2">
      <c r="B240" t="str">
        <f>VLOOKUP(G240,PC!B:D,3,FALSE)</f>
        <v>RECEITA</v>
      </c>
      <c r="C240" s="22">
        <v>2023</v>
      </c>
      <c r="D240" t="s">
        <v>109</v>
      </c>
      <c r="F240" t="str">
        <f>VLOOKUP(G240,PC!B:D,2,FALSE)</f>
        <v>RECEITA</v>
      </c>
      <c r="G240" s="4" t="s">
        <v>54</v>
      </c>
      <c r="H240" s="1">
        <v>1250</v>
      </c>
    </row>
    <row r="241" spans="2:8" x14ac:dyDescent="0.2">
      <c r="B241" t="str">
        <f>VLOOKUP(G241,PC!B:D,3,FALSE)</f>
        <v>RECEITA</v>
      </c>
      <c r="C241" s="22">
        <v>2023</v>
      </c>
      <c r="D241" t="s">
        <v>109</v>
      </c>
      <c r="F241" t="str">
        <f>VLOOKUP(G241,PC!B:D,2,FALSE)</f>
        <v>RECEITA</v>
      </c>
      <c r="G241" s="4" t="s">
        <v>54</v>
      </c>
      <c r="H241" s="1">
        <v>500</v>
      </c>
    </row>
    <row r="242" spans="2:8" x14ac:dyDescent="0.2">
      <c r="B242" t="str">
        <f>VLOOKUP(G242,PC!B:D,3,FALSE)</f>
        <v>RECEITA</v>
      </c>
      <c r="C242" s="22">
        <v>2023</v>
      </c>
      <c r="D242" t="s">
        <v>109</v>
      </c>
      <c r="F242" t="str">
        <f>VLOOKUP(G242,PC!B:D,2,FALSE)</f>
        <v>RECEITA</v>
      </c>
      <c r="G242" s="4" t="s">
        <v>54</v>
      </c>
      <c r="H242" s="1">
        <v>500</v>
      </c>
    </row>
    <row r="243" spans="2:8" x14ac:dyDescent="0.2">
      <c r="B243" t="str">
        <f>VLOOKUP(G243,PC!B:D,3,FALSE)</f>
        <v>CPV</v>
      </c>
      <c r="C243" s="22">
        <v>2023</v>
      </c>
      <c r="D243" t="s">
        <v>109</v>
      </c>
      <c r="E243" t="s">
        <v>129</v>
      </c>
      <c r="F243" t="str">
        <f>VLOOKUP(G243,PC!B:D,2,FALSE)</f>
        <v>COMIDA</v>
      </c>
      <c r="G243" s="4" t="s">
        <v>12</v>
      </c>
      <c r="H243" s="1">
        <v>58</v>
      </c>
    </row>
    <row r="244" spans="2:8" x14ac:dyDescent="0.2">
      <c r="B244" t="str">
        <f>VLOOKUP(G244,PC!B:D,3,FALSE)</f>
        <v>DESPESA PESSOAL</v>
      </c>
      <c r="C244" s="22">
        <v>2023</v>
      </c>
      <c r="D244" t="s">
        <v>109</v>
      </c>
      <c r="F244" t="str">
        <f>VLOOKUP(G244,PC!B:D,2,FALSE)</f>
        <v>DESPESA PESSOAL</v>
      </c>
      <c r="G244" s="4" t="s">
        <v>68</v>
      </c>
      <c r="H244" s="1">
        <v>38</v>
      </c>
    </row>
    <row r="245" spans="2:8" x14ac:dyDescent="0.2">
      <c r="B245" t="str">
        <f>VLOOKUP(G245,PC!B:D,3,FALSE)</f>
        <v>RECEITAS NÃO OPERACIONAIS</v>
      </c>
      <c r="C245" s="22">
        <v>2023</v>
      </c>
      <c r="D245" t="s">
        <v>109</v>
      </c>
      <c r="F245" t="str">
        <f>VLOOKUP(G245,PC!B:D,2,FALSE)</f>
        <v>EMPRESTIMO</v>
      </c>
      <c r="G245" s="4" t="s">
        <v>71</v>
      </c>
      <c r="H245" s="1">
        <v>26</v>
      </c>
    </row>
    <row r="246" spans="2:8" x14ac:dyDescent="0.2">
      <c r="B246" t="str">
        <f>VLOOKUP(G246,PC!B:D,3,FALSE)</f>
        <v>CPV</v>
      </c>
      <c r="C246" s="22">
        <v>2023</v>
      </c>
      <c r="D246" t="s">
        <v>109</v>
      </c>
      <c r="E246" t="s">
        <v>129</v>
      </c>
      <c r="F246" t="str">
        <f>VLOOKUP(G246,PC!B:D,2,FALSE)</f>
        <v>COMIDA</v>
      </c>
      <c r="G246" s="4" t="s">
        <v>18</v>
      </c>
      <c r="H246" s="1">
        <v>53</v>
      </c>
    </row>
    <row r="247" spans="2:8" x14ac:dyDescent="0.2">
      <c r="B247" t="str">
        <f>VLOOKUP(G247,PC!B:D,3,FALSE)</f>
        <v>CPV</v>
      </c>
      <c r="C247" s="22">
        <v>2023</v>
      </c>
      <c r="D247" t="s">
        <v>109</v>
      </c>
      <c r="F247" t="str">
        <f>VLOOKUP(G247,PC!B:D,2,FALSE)</f>
        <v>CIGARRO</v>
      </c>
      <c r="G247" s="4" t="s">
        <v>55</v>
      </c>
      <c r="H247" s="1">
        <v>440</v>
      </c>
    </row>
    <row r="248" spans="2:8" x14ac:dyDescent="0.2">
      <c r="B248" t="str">
        <f>VLOOKUP(G248,PC!B:D,3,FALSE)</f>
        <v>RECEITA</v>
      </c>
      <c r="C248" s="22">
        <v>2023</v>
      </c>
      <c r="D248" t="s">
        <v>109</v>
      </c>
      <c r="F248" t="str">
        <f>VLOOKUP(G248,PC!B:D,2,FALSE)</f>
        <v>RECEITA</v>
      </c>
      <c r="G248" s="4" t="s">
        <v>54</v>
      </c>
      <c r="H248" s="1">
        <v>430</v>
      </c>
    </row>
    <row r="249" spans="2:8" x14ac:dyDescent="0.2">
      <c r="B249" t="str">
        <f>VLOOKUP(G249,PC!B:D,3,FALSE)</f>
        <v>RECEITA</v>
      </c>
      <c r="C249" s="22">
        <v>2023</v>
      </c>
      <c r="D249" t="s">
        <v>109</v>
      </c>
      <c r="F249" t="str">
        <f>VLOOKUP(G249,PC!B:D,2,FALSE)</f>
        <v>RECEITA</v>
      </c>
      <c r="G249" s="4" t="s">
        <v>54</v>
      </c>
      <c r="H249" s="1">
        <v>1000</v>
      </c>
    </row>
    <row r="250" spans="2:8" x14ac:dyDescent="0.2">
      <c r="B250" t="str">
        <f>VLOOKUP(G250,PC!B:D,3,FALSE)</f>
        <v>CPV</v>
      </c>
      <c r="C250" s="22">
        <v>2023</v>
      </c>
      <c r="D250" t="s">
        <v>109</v>
      </c>
      <c r="F250" t="str">
        <f>VLOOKUP(G250,PC!B:D,2,FALSE)</f>
        <v>COMIDA</v>
      </c>
      <c r="G250" s="4" t="s">
        <v>12</v>
      </c>
      <c r="H250" s="1">
        <v>350</v>
      </c>
    </row>
    <row r="251" spans="2:8" x14ac:dyDescent="0.2">
      <c r="B251" t="str">
        <f>VLOOKUP(G251,PC!B:D,3,FALSE)</f>
        <v>RECEITA</v>
      </c>
      <c r="C251" s="22">
        <v>2023</v>
      </c>
      <c r="D251" t="s">
        <v>109</v>
      </c>
      <c r="F251" t="str">
        <f>VLOOKUP(G251,PC!B:D,2,FALSE)</f>
        <v>RECEITA</v>
      </c>
      <c r="G251" s="4" t="s">
        <v>54</v>
      </c>
      <c r="H251" s="1">
        <v>1200</v>
      </c>
    </row>
    <row r="252" spans="2:8" x14ac:dyDescent="0.2">
      <c r="B252" t="str">
        <f>VLOOKUP(G252,PC!B:D,3,FALSE)</f>
        <v>RECEITAS NÃO OPERACIONAIS</v>
      </c>
      <c r="C252" s="22">
        <v>2023</v>
      </c>
      <c r="D252" t="s">
        <v>109</v>
      </c>
      <c r="F252" t="str">
        <f>VLOOKUP(G252,PC!B:D,2,FALSE)</f>
        <v>EMPRESTIMO</v>
      </c>
      <c r="G252" s="4" t="s">
        <v>71</v>
      </c>
      <c r="H252" s="1">
        <v>70</v>
      </c>
    </row>
    <row r="253" spans="2:8" x14ac:dyDescent="0.2">
      <c r="B253" t="str">
        <f>VLOOKUP(G253,PC!B:D,3,FALSE)</f>
        <v>CPV</v>
      </c>
      <c r="C253" s="22">
        <v>2023</v>
      </c>
      <c r="D253" t="s">
        <v>109</v>
      </c>
      <c r="E253" t="s">
        <v>129</v>
      </c>
      <c r="F253" t="str">
        <f>VLOOKUP(G253,PC!B:D,2,FALSE)</f>
        <v>CIGARRO</v>
      </c>
      <c r="G253" s="4" t="s">
        <v>55</v>
      </c>
      <c r="H253" s="1">
        <v>120</v>
      </c>
    </row>
    <row r="254" spans="2:8" x14ac:dyDescent="0.2">
      <c r="B254" t="str">
        <f>VLOOKUP(G254,PC!B:D,3,FALSE)</f>
        <v>RECEITA</v>
      </c>
      <c r="C254" s="22">
        <v>2023</v>
      </c>
      <c r="D254" t="s">
        <v>109</v>
      </c>
      <c r="F254" t="str">
        <f>VLOOKUP(G254,PC!B:D,2,FALSE)</f>
        <v>RECEITA</v>
      </c>
      <c r="G254" s="4" t="s">
        <v>54</v>
      </c>
      <c r="H254" s="1">
        <v>850</v>
      </c>
    </row>
    <row r="255" spans="2:8" x14ac:dyDescent="0.2">
      <c r="B255" t="str">
        <f>VLOOKUP(G255,PC!B:D,3,FALSE)</f>
        <v>CPV</v>
      </c>
      <c r="C255" s="22">
        <v>2023</v>
      </c>
      <c r="D255" t="s">
        <v>109</v>
      </c>
      <c r="E255" t="s">
        <v>129</v>
      </c>
      <c r="F255" t="str">
        <f>VLOOKUP(G255,PC!B:D,2,FALSE)</f>
        <v>COMIDA</v>
      </c>
      <c r="G255" s="4" t="s">
        <v>18</v>
      </c>
      <c r="H255" s="1">
        <v>44</v>
      </c>
    </row>
    <row r="256" spans="2:8" x14ac:dyDescent="0.2">
      <c r="B256" t="str">
        <f>VLOOKUP(G256,PC!B:D,3,FALSE)</f>
        <v>RECEITAS NÃO OPERACIONAIS</v>
      </c>
      <c r="C256" s="22">
        <v>2023</v>
      </c>
      <c r="D256" t="s">
        <v>109</v>
      </c>
      <c r="F256" t="str">
        <f>VLOOKUP(G256,PC!B:D,2,FALSE)</f>
        <v>EMPRESTIMO</v>
      </c>
      <c r="G256" s="4" t="s">
        <v>71</v>
      </c>
      <c r="H256" s="1">
        <v>25</v>
      </c>
    </row>
    <row r="257" spans="2:9" x14ac:dyDescent="0.2">
      <c r="B257" t="str">
        <f>VLOOKUP(G257,PC!B:D,3,FALSE)</f>
        <v>RECEITA</v>
      </c>
      <c r="C257" s="22">
        <v>2023</v>
      </c>
      <c r="D257" t="s">
        <v>109</v>
      </c>
      <c r="F257" t="str">
        <f>VLOOKUP(G257,PC!B:D,2,FALSE)</f>
        <v>RECEITA</v>
      </c>
      <c r="G257" s="4" t="s">
        <v>54</v>
      </c>
      <c r="H257" s="1">
        <v>1600</v>
      </c>
    </row>
    <row r="258" spans="2:9" x14ac:dyDescent="0.2">
      <c r="B258" t="str">
        <f>VLOOKUP(G258,PC!B:D,3,FALSE)</f>
        <v>RECEITA</v>
      </c>
      <c r="C258" s="22">
        <v>2023</v>
      </c>
      <c r="D258" t="s">
        <v>109</v>
      </c>
      <c r="F258" t="str">
        <f>VLOOKUP(G258,PC!B:D,2,FALSE)</f>
        <v>RECEITA</v>
      </c>
      <c r="G258" s="4" t="s">
        <v>54</v>
      </c>
      <c r="H258" s="1">
        <v>1500</v>
      </c>
    </row>
    <row r="259" spans="2:9" x14ac:dyDescent="0.2">
      <c r="B259" t="str">
        <f>VLOOKUP(G259,PC!B:D,3,FALSE)</f>
        <v>RECEITA</v>
      </c>
      <c r="C259" s="22">
        <v>2023</v>
      </c>
      <c r="D259" t="s">
        <v>109</v>
      </c>
      <c r="F259" t="str">
        <f>VLOOKUP(G259,PC!B:D,2,FALSE)</f>
        <v>RECEITA</v>
      </c>
      <c r="G259" s="4" t="s">
        <v>54</v>
      </c>
      <c r="H259" s="1">
        <v>1550</v>
      </c>
    </row>
    <row r="260" spans="2:9" x14ac:dyDescent="0.2">
      <c r="B260" t="str">
        <f>VLOOKUP(G260,PC!B:D,3,FALSE)</f>
        <v>RECEITA</v>
      </c>
      <c r="C260" s="22">
        <v>2023</v>
      </c>
      <c r="D260" t="s">
        <v>109</v>
      </c>
      <c r="F260" t="str">
        <f>VLOOKUP(G260,PC!B:D,2,FALSE)</f>
        <v>RECEITA</v>
      </c>
      <c r="G260" s="4" t="s">
        <v>59</v>
      </c>
      <c r="H260" s="1">
        <v>418</v>
      </c>
    </row>
    <row r="261" spans="2:9" x14ac:dyDescent="0.2">
      <c r="B261" t="str">
        <f>VLOOKUP(G261,PC!B:D,3,FALSE)</f>
        <v>CPV</v>
      </c>
      <c r="C261" s="22">
        <v>2023</v>
      </c>
      <c r="D261" t="s">
        <v>109</v>
      </c>
      <c r="F261" t="str">
        <f>VLOOKUP(G261,PC!B:D,2,FALSE)</f>
        <v>OUTROS</v>
      </c>
      <c r="G261" s="4" t="s">
        <v>37</v>
      </c>
      <c r="H261" s="1">
        <v>72</v>
      </c>
    </row>
    <row r="262" spans="2:9" x14ac:dyDescent="0.2">
      <c r="B262" t="str">
        <f>VLOOKUP(G262,PC!B:D,3,FALSE)</f>
        <v>RECEITA</v>
      </c>
      <c r="C262" s="22">
        <v>2023</v>
      </c>
      <c r="D262" t="s">
        <v>109</v>
      </c>
      <c r="F262" t="str">
        <f>VLOOKUP(G262,PC!B:D,2,FALSE)</f>
        <v>RECEITA</v>
      </c>
      <c r="G262" s="4" t="s">
        <v>54</v>
      </c>
      <c r="H262" s="1">
        <v>650</v>
      </c>
    </row>
    <row r="263" spans="2:9" x14ac:dyDescent="0.2">
      <c r="B263" t="str">
        <f>VLOOKUP(G263,PC!B:D,3,FALSE)</f>
        <v>RECEITA</v>
      </c>
      <c r="C263" s="22">
        <v>2023</v>
      </c>
      <c r="D263" t="s">
        <v>109</v>
      </c>
      <c r="F263" t="str">
        <f>VLOOKUP(G263,PC!B:D,2,FALSE)</f>
        <v>RECEITA</v>
      </c>
      <c r="G263" s="4" t="s">
        <v>54</v>
      </c>
      <c r="H263" s="1">
        <v>1650</v>
      </c>
    </row>
    <row r="264" spans="2:9" x14ac:dyDescent="0.2">
      <c r="B264" t="str">
        <f>VLOOKUP(G264,PC!B:D,3,FALSE)</f>
        <v>DESPESA FINANCEIRA</v>
      </c>
      <c r="C264" s="22">
        <v>2023</v>
      </c>
      <c r="D264" t="s">
        <v>109</v>
      </c>
      <c r="F264" t="str">
        <f>VLOOKUP(G264,PC!B:D,2,FALSE)</f>
        <v>DESPESA FINANCEIRA</v>
      </c>
      <c r="G264" s="4" t="s">
        <v>125</v>
      </c>
      <c r="H264" s="1">
        <v>90</v>
      </c>
    </row>
    <row r="265" spans="2:9" x14ac:dyDescent="0.2">
      <c r="B265" t="str">
        <f>VLOOKUP(G265,PC!B:D,3,FALSE)</f>
        <v>DESPESA OPERACIONAL</v>
      </c>
      <c r="C265" s="22">
        <v>2023</v>
      </c>
      <c r="D265" t="s">
        <v>109</v>
      </c>
      <c r="F265" t="str">
        <f>VLOOKUP(G265,PC!B:D,2,FALSE)</f>
        <v>DESPESA OPERACIONAL</v>
      </c>
      <c r="G265" s="4" t="s">
        <v>122</v>
      </c>
      <c r="H265" s="1">
        <v>90</v>
      </c>
      <c r="I265" s="7" t="s">
        <v>162</v>
      </c>
    </row>
    <row r="266" spans="2:9" x14ac:dyDescent="0.2">
      <c r="B266" t="str">
        <f>VLOOKUP(G266,PC!B:D,3,FALSE)</f>
        <v>DESPESA PESSOAL</v>
      </c>
      <c r="C266" s="22">
        <v>2023</v>
      </c>
      <c r="D266" t="s">
        <v>109</v>
      </c>
      <c r="F266" t="str">
        <f>VLOOKUP(G266,PC!B:D,2,FALSE)</f>
        <v>DESPESA PESSOAL</v>
      </c>
      <c r="G266" s="4" t="s">
        <v>56</v>
      </c>
      <c r="H266" s="1">
        <v>40</v>
      </c>
    </row>
    <row r="267" spans="2:9" x14ac:dyDescent="0.2">
      <c r="B267" t="str">
        <f>VLOOKUP(G267,PC!B:D,3,FALSE)</f>
        <v>DESPESA PESSOAL</v>
      </c>
      <c r="C267" s="22">
        <v>2023</v>
      </c>
      <c r="D267" t="s">
        <v>109</v>
      </c>
      <c r="F267" t="str">
        <f>VLOOKUP(G267,PC!B:D,2,FALSE)</f>
        <v>DESPESA PESSOAL</v>
      </c>
      <c r="G267" s="4" t="s">
        <v>56</v>
      </c>
      <c r="H267" s="1">
        <v>350</v>
      </c>
    </row>
    <row r="268" spans="2:9" x14ac:dyDescent="0.2">
      <c r="B268" t="str">
        <f>VLOOKUP(G268,PC!B:D,3,FALSE)</f>
        <v>RECEITA</v>
      </c>
      <c r="C268" s="22">
        <v>2023</v>
      </c>
      <c r="D268" t="s">
        <v>109</v>
      </c>
      <c r="F268" t="str">
        <f>VLOOKUP(G268,PC!B:D,2,FALSE)</f>
        <v>RECEITA</v>
      </c>
      <c r="G268" s="4" t="s">
        <v>54</v>
      </c>
      <c r="H268" s="1">
        <v>2150</v>
      </c>
    </row>
    <row r="269" spans="2:9" x14ac:dyDescent="0.2">
      <c r="B269" t="str">
        <f>VLOOKUP(G269,PC!B:D,3,FALSE)</f>
        <v>RECEITA</v>
      </c>
      <c r="C269" s="22">
        <v>2023</v>
      </c>
      <c r="D269" t="s">
        <v>109</v>
      </c>
      <c r="F269" t="str">
        <f>VLOOKUP(G269,PC!B:D,2,FALSE)</f>
        <v>RECEITA</v>
      </c>
      <c r="G269" s="4" t="s">
        <v>54</v>
      </c>
      <c r="H269" s="1">
        <v>1350</v>
      </c>
    </row>
    <row r="270" spans="2:9" x14ac:dyDescent="0.2">
      <c r="B270" t="str">
        <f>VLOOKUP(G270,PC!B:D,3,FALSE)</f>
        <v>RECEITA</v>
      </c>
      <c r="C270" s="22">
        <v>2023</v>
      </c>
      <c r="D270" t="s">
        <v>109</v>
      </c>
      <c r="F270" t="str">
        <f>VLOOKUP(G270,PC!B:D,2,FALSE)</f>
        <v>RECEITA</v>
      </c>
      <c r="G270" s="4" t="s">
        <v>54</v>
      </c>
      <c r="H270" s="1">
        <v>1600</v>
      </c>
    </row>
    <row r="271" spans="2:9" x14ac:dyDescent="0.2">
      <c r="B271" t="str">
        <f>VLOOKUP(G271,PC!B:D,3,FALSE)</f>
        <v>RECEITA</v>
      </c>
      <c r="C271" s="22">
        <v>2023</v>
      </c>
      <c r="D271" t="s">
        <v>109</v>
      </c>
      <c r="F271" t="str">
        <f>VLOOKUP(G271,PC!B:D,2,FALSE)</f>
        <v>RECEITA</v>
      </c>
      <c r="G271" s="4" t="s">
        <v>54</v>
      </c>
      <c r="H271" s="1">
        <v>300</v>
      </c>
    </row>
    <row r="272" spans="2:9" x14ac:dyDescent="0.2">
      <c r="B272" t="str">
        <f>VLOOKUP(G272,PC!B:D,3,FALSE)</f>
        <v>RECEITA</v>
      </c>
      <c r="C272" s="22">
        <v>2023</v>
      </c>
      <c r="D272" t="s">
        <v>109</v>
      </c>
      <c r="F272" t="str">
        <f>VLOOKUP(G272,PC!B:D,2,FALSE)</f>
        <v>RECEITA</v>
      </c>
      <c r="G272" s="4" t="s">
        <v>54</v>
      </c>
      <c r="H272" s="1">
        <v>750</v>
      </c>
    </row>
    <row r="273" spans="2:8" x14ac:dyDescent="0.2">
      <c r="B273" t="str">
        <f>VLOOKUP(G273,PC!B:D,3,FALSE)</f>
        <v>RECEITA</v>
      </c>
      <c r="C273" s="22">
        <v>2023</v>
      </c>
      <c r="D273" t="s">
        <v>109</v>
      </c>
      <c r="F273" t="str">
        <f>VLOOKUP(G273,PC!B:D,2,FALSE)</f>
        <v>RECEITA</v>
      </c>
      <c r="G273" s="4" t="s">
        <v>54</v>
      </c>
      <c r="H273" s="1">
        <v>450</v>
      </c>
    </row>
    <row r="274" spans="2:8" x14ac:dyDescent="0.2">
      <c r="B274" t="str">
        <f>VLOOKUP(G274,PC!B:D,3,FALSE)</f>
        <v>CPV</v>
      </c>
      <c r="C274" s="22">
        <v>2023</v>
      </c>
      <c r="D274" t="s">
        <v>109</v>
      </c>
      <c r="E274" t="s">
        <v>129</v>
      </c>
      <c r="F274" t="str">
        <f>VLOOKUP(G274,PC!B:D,2,FALSE)</f>
        <v>COMIDA</v>
      </c>
      <c r="G274" s="4" t="s">
        <v>12</v>
      </c>
      <c r="H274" s="1">
        <v>27</v>
      </c>
    </row>
    <row r="275" spans="2:8" x14ac:dyDescent="0.2">
      <c r="B275" t="str">
        <f>VLOOKUP(G275,PC!B:D,3,FALSE)</f>
        <v>RECEITA</v>
      </c>
      <c r="C275" s="22">
        <v>2023</v>
      </c>
      <c r="D275" t="s">
        <v>109</v>
      </c>
      <c r="F275" t="str">
        <f>VLOOKUP(G275,PC!B:D,2,FALSE)</f>
        <v>RECEITA</v>
      </c>
      <c r="G275" s="4" t="s">
        <v>54</v>
      </c>
      <c r="H275" s="1">
        <v>1150</v>
      </c>
    </row>
    <row r="276" spans="2:8" x14ac:dyDescent="0.2">
      <c r="B276" t="str">
        <f>VLOOKUP(G276,PC!B:D,3,FALSE)</f>
        <v>CPV</v>
      </c>
      <c r="C276" s="22">
        <v>2023</v>
      </c>
      <c r="D276" t="s">
        <v>109</v>
      </c>
      <c r="E276" t="s">
        <v>129</v>
      </c>
      <c r="F276" t="str">
        <f>VLOOKUP(G276,PC!B:D,2,FALSE)</f>
        <v>SOBREMESA</v>
      </c>
      <c r="G276" s="4" t="s">
        <v>7</v>
      </c>
      <c r="H276" s="1">
        <v>102</v>
      </c>
    </row>
    <row r="277" spans="2:8" x14ac:dyDescent="0.2">
      <c r="B277" t="str">
        <f>VLOOKUP(G277,PC!B:D,3,FALSE)</f>
        <v>DESPESA OPERACIONAL</v>
      </c>
      <c r="C277" s="22">
        <v>2023</v>
      </c>
      <c r="D277" t="s">
        <v>109</v>
      </c>
      <c r="E277" t="s">
        <v>129</v>
      </c>
      <c r="F277" t="str">
        <f>VLOOKUP(G277,PC!B:D,2,FALSE)</f>
        <v>DESPESA OPERACIONAL</v>
      </c>
      <c r="G277" s="4" t="s">
        <v>70</v>
      </c>
      <c r="H277" s="1">
        <v>76</v>
      </c>
    </row>
    <row r="278" spans="2:8" x14ac:dyDescent="0.2">
      <c r="B278" t="str">
        <f>VLOOKUP(G278,PC!B:D,3,FALSE)</f>
        <v>RECEITA</v>
      </c>
      <c r="C278" s="22">
        <v>2023</v>
      </c>
      <c r="D278" t="s">
        <v>109</v>
      </c>
      <c r="F278" t="str">
        <f>VLOOKUP(G278,PC!B:D,2,FALSE)</f>
        <v>RECEITA</v>
      </c>
      <c r="G278" s="4" t="s">
        <v>54</v>
      </c>
      <c r="H278" s="1">
        <v>350</v>
      </c>
    </row>
    <row r="279" spans="2:8" x14ac:dyDescent="0.2">
      <c r="B279" t="str">
        <f>VLOOKUP(G279,PC!B:D,3,FALSE)</f>
        <v>CPV</v>
      </c>
      <c r="C279" s="22">
        <v>2023</v>
      </c>
      <c r="D279" t="s">
        <v>109</v>
      </c>
      <c r="E279" t="s">
        <v>129</v>
      </c>
      <c r="F279" t="str">
        <f>VLOOKUP(G279,PC!B:D,2,FALSE)</f>
        <v>SOBREMESA</v>
      </c>
      <c r="G279" s="4" t="s">
        <v>7</v>
      </c>
      <c r="H279" s="1">
        <v>66</v>
      </c>
    </row>
    <row r="280" spans="2:8" x14ac:dyDescent="0.2">
      <c r="B280" t="str">
        <f>VLOOKUP(G280,PC!B:D,3,FALSE)</f>
        <v>RECEITA</v>
      </c>
      <c r="C280" s="22">
        <v>2023</v>
      </c>
      <c r="D280" t="s">
        <v>109</v>
      </c>
      <c r="F280" t="str">
        <f>VLOOKUP(G280,PC!B:D,2,FALSE)</f>
        <v>RECEITA</v>
      </c>
      <c r="G280" s="4" t="s">
        <v>54</v>
      </c>
      <c r="H280" s="1">
        <v>700</v>
      </c>
    </row>
    <row r="281" spans="2:8" x14ac:dyDescent="0.2">
      <c r="B281" t="str">
        <f>VLOOKUP(G281,PC!B:D,3,FALSE)</f>
        <v>RECEITA</v>
      </c>
      <c r="C281" s="22">
        <v>2023</v>
      </c>
      <c r="D281" t="s">
        <v>109</v>
      </c>
      <c r="F281" t="str">
        <f>VLOOKUP(G281,PC!B:D,2,FALSE)</f>
        <v>RECEITA</v>
      </c>
      <c r="G281" s="4" t="s">
        <v>54</v>
      </c>
      <c r="H281" s="1">
        <v>700</v>
      </c>
    </row>
    <row r="282" spans="2:8" x14ac:dyDescent="0.2">
      <c r="B282" t="str">
        <f>VLOOKUP(G282,PC!B:D,3,FALSE)</f>
        <v>RECEITA</v>
      </c>
      <c r="C282" s="22">
        <v>2023</v>
      </c>
      <c r="D282" t="s">
        <v>109</v>
      </c>
      <c r="F282" t="str">
        <f>VLOOKUP(G282,PC!B:D,2,FALSE)</f>
        <v>RECEITA</v>
      </c>
      <c r="G282" s="4" t="s">
        <v>54</v>
      </c>
      <c r="H282" s="1">
        <v>400</v>
      </c>
    </row>
    <row r="283" spans="2:8" x14ac:dyDescent="0.2">
      <c r="B283" t="str">
        <f>VLOOKUP(G283,PC!B:D,3,FALSE)</f>
        <v>CPV</v>
      </c>
      <c r="C283" s="22">
        <v>2023</v>
      </c>
      <c r="D283" t="s">
        <v>109</v>
      </c>
      <c r="F283" t="str">
        <f>VLOOKUP(G283,PC!B:D,2,FALSE)</f>
        <v>COMIDA</v>
      </c>
      <c r="G283" s="4" t="s">
        <v>12</v>
      </c>
      <c r="H283" s="1">
        <v>35</v>
      </c>
    </row>
    <row r="284" spans="2:8" x14ac:dyDescent="0.2">
      <c r="B284" t="str">
        <f>VLOOKUP(G284,PC!B:D,3,FALSE)</f>
        <v>RECEITA</v>
      </c>
      <c r="C284" s="22">
        <v>2023</v>
      </c>
      <c r="D284" t="s">
        <v>109</v>
      </c>
      <c r="F284" t="str">
        <f>VLOOKUP(G284,PC!B:D,2,FALSE)</f>
        <v>RECEITA</v>
      </c>
      <c r="G284" s="4" t="s">
        <v>54</v>
      </c>
      <c r="H284" s="1">
        <v>360</v>
      </c>
    </row>
    <row r="285" spans="2:8" x14ac:dyDescent="0.2">
      <c r="B285" t="str">
        <f>VLOOKUP(G285,PC!B:D,3,FALSE)</f>
        <v>CPV</v>
      </c>
      <c r="C285" s="22">
        <v>2023</v>
      </c>
      <c r="D285" t="s">
        <v>109</v>
      </c>
      <c r="E285" t="s">
        <v>129</v>
      </c>
      <c r="F285" t="str">
        <f>VLOOKUP(G285,PC!B:D,2,FALSE)</f>
        <v>COMIDA</v>
      </c>
      <c r="G285" s="4" t="s">
        <v>146</v>
      </c>
      <c r="H285" s="1">
        <v>90</v>
      </c>
    </row>
    <row r="286" spans="2:8" x14ac:dyDescent="0.2">
      <c r="B286" t="str">
        <f>VLOOKUP(G286,PC!B:D,3,FALSE)</f>
        <v>CPV</v>
      </c>
      <c r="C286" s="22">
        <v>2023</v>
      </c>
      <c r="D286" t="s">
        <v>109</v>
      </c>
      <c r="E286" t="s">
        <v>129</v>
      </c>
      <c r="F286" t="str">
        <f>VLOOKUP(G286,PC!B:D,2,FALSE)</f>
        <v>COMIDA</v>
      </c>
      <c r="G286" s="4" t="s">
        <v>12</v>
      </c>
      <c r="H286" s="1">
        <v>130</v>
      </c>
    </row>
    <row r="287" spans="2:8" x14ac:dyDescent="0.2">
      <c r="B287" t="str">
        <f>VLOOKUP(G287,PC!B:D,3,FALSE)</f>
        <v>CPV</v>
      </c>
      <c r="C287" s="22">
        <v>2023</v>
      </c>
      <c r="D287" t="s">
        <v>109</v>
      </c>
      <c r="E287" t="s">
        <v>129</v>
      </c>
      <c r="F287" t="str">
        <f>VLOOKUP(G287,PC!B:D,2,FALSE)</f>
        <v>COMIDA</v>
      </c>
      <c r="G287" s="4" t="s">
        <v>18</v>
      </c>
      <c r="H287" s="1">
        <v>57.2</v>
      </c>
    </row>
    <row r="288" spans="2:8" x14ac:dyDescent="0.2">
      <c r="B288" t="str">
        <f>VLOOKUP(G288,PC!B:D,3,FALSE)</f>
        <v>RECEITA</v>
      </c>
      <c r="C288" s="22">
        <v>2023</v>
      </c>
      <c r="D288" t="s">
        <v>109</v>
      </c>
      <c r="F288" t="str">
        <f>VLOOKUP(G288,PC!B:D,2,FALSE)</f>
        <v>RECEITA</v>
      </c>
      <c r="G288" s="4" t="s">
        <v>54</v>
      </c>
      <c r="H288" s="1">
        <v>350</v>
      </c>
    </row>
    <row r="289" spans="2:9" x14ac:dyDescent="0.2">
      <c r="B289" t="str">
        <f>VLOOKUP(G289,PC!B:D,3,FALSE)</f>
        <v>CPV</v>
      </c>
      <c r="C289" s="22">
        <v>2023</v>
      </c>
      <c r="D289" t="s">
        <v>109</v>
      </c>
      <c r="E289" t="s">
        <v>129</v>
      </c>
      <c r="F289" t="str">
        <f>VLOOKUP(G289,PC!B:D,2,FALSE)</f>
        <v>SOBREMESA</v>
      </c>
      <c r="G289" s="4" t="s">
        <v>7</v>
      </c>
      <c r="H289" s="1">
        <v>18</v>
      </c>
    </row>
    <row r="290" spans="2:9" x14ac:dyDescent="0.2">
      <c r="B290" t="str">
        <f>VLOOKUP(G290,PC!B:D,3,FALSE)</f>
        <v>RECEITA</v>
      </c>
      <c r="C290" s="22">
        <v>2023</v>
      </c>
      <c r="D290" t="s">
        <v>109</v>
      </c>
      <c r="F290" t="str">
        <f>VLOOKUP(G290,PC!B:D,2,FALSE)</f>
        <v>RECEITA</v>
      </c>
      <c r="G290" s="4" t="s">
        <v>54</v>
      </c>
      <c r="H290" s="1">
        <v>1750</v>
      </c>
    </row>
    <row r="291" spans="2:9" x14ac:dyDescent="0.2">
      <c r="B291" t="str">
        <f>VLOOKUP(G291,PC!B:D,3,FALSE)</f>
        <v>RECEITA</v>
      </c>
      <c r="C291" s="22">
        <v>2023</v>
      </c>
      <c r="D291" t="s">
        <v>109</v>
      </c>
      <c r="F291" t="str">
        <f>VLOOKUP(G291,PC!B:D,2,FALSE)</f>
        <v>RECEITA</v>
      </c>
      <c r="G291" s="4" t="s">
        <v>54</v>
      </c>
      <c r="H291" s="1">
        <v>500</v>
      </c>
    </row>
    <row r="292" spans="2:9" x14ac:dyDescent="0.2">
      <c r="B292" t="str">
        <f>VLOOKUP(G292,PC!B:D,3,FALSE)</f>
        <v>CPV</v>
      </c>
      <c r="C292" s="22">
        <v>2023</v>
      </c>
      <c r="D292" t="s">
        <v>109</v>
      </c>
      <c r="E292" t="s">
        <v>129</v>
      </c>
      <c r="F292" t="str">
        <f>VLOOKUP(G292,PC!B:D,2,FALSE)</f>
        <v>OUTROS</v>
      </c>
      <c r="G292" s="4" t="s">
        <v>37</v>
      </c>
      <c r="H292" s="1">
        <v>10</v>
      </c>
    </row>
    <row r="293" spans="2:9" x14ac:dyDescent="0.2">
      <c r="B293" t="str">
        <f>VLOOKUP(G293,PC!B:D,3,FALSE)</f>
        <v>RECEITA</v>
      </c>
      <c r="C293" s="22">
        <v>2023</v>
      </c>
      <c r="D293" t="s">
        <v>109</v>
      </c>
      <c r="F293" t="str">
        <f>VLOOKUP(G293,PC!B:D,2,FALSE)</f>
        <v>RECEITA</v>
      </c>
      <c r="G293" s="4" t="s">
        <v>54</v>
      </c>
      <c r="H293" s="1">
        <f>1100+700+250</f>
        <v>2050</v>
      </c>
    </row>
    <row r="294" spans="2:9" x14ac:dyDescent="0.2">
      <c r="B294" t="str">
        <f>VLOOKUP(G294,PC!B:D,3,FALSE)</f>
        <v>RECEITA</v>
      </c>
      <c r="C294" s="22">
        <v>2023</v>
      </c>
      <c r="D294" t="s">
        <v>109</v>
      </c>
      <c r="F294" t="str">
        <f>VLOOKUP(G294,PC!B:D,2,FALSE)</f>
        <v>RECEITA</v>
      </c>
      <c r="G294" s="4" t="s">
        <v>54</v>
      </c>
      <c r="H294" s="1">
        <v>2350</v>
      </c>
    </row>
    <row r="295" spans="2:9" x14ac:dyDescent="0.2">
      <c r="B295" t="str">
        <f>VLOOKUP(G295,PC!B:D,3,FALSE)</f>
        <v>RECEITA</v>
      </c>
      <c r="C295" s="22">
        <v>2023</v>
      </c>
      <c r="D295" t="s">
        <v>109</v>
      </c>
      <c r="F295" t="str">
        <f>VLOOKUP(G295,PC!B:D,2,FALSE)</f>
        <v>RECEITA</v>
      </c>
      <c r="G295" s="4" t="s">
        <v>54</v>
      </c>
      <c r="H295" s="1">
        <v>950</v>
      </c>
    </row>
    <row r="296" spans="2:9" x14ac:dyDescent="0.2">
      <c r="B296" t="str">
        <f>VLOOKUP(G296,PC!B:D,3,FALSE)</f>
        <v>RECEITA</v>
      </c>
      <c r="C296" s="22">
        <v>2023</v>
      </c>
      <c r="D296" t="s">
        <v>109</v>
      </c>
      <c r="F296" t="str">
        <f>VLOOKUP(G296,PC!B:D,2,FALSE)</f>
        <v>RECEITA</v>
      </c>
      <c r="G296" s="4" t="s">
        <v>54</v>
      </c>
      <c r="H296" s="1">
        <v>250</v>
      </c>
    </row>
    <row r="297" spans="2:9" x14ac:dyDescent="0.2">
      <c r="B297" t="str">
        <f>VLOOKUP(G297,PC!B:D,3,FALSE)</f>
        <v>CPV</v>
      </c>
      <c r="C297" s="22">
        <v>2023</v>
      </c>
      <c r="D297" t="s">
        <v>109</v>
      </c>
      <c r="E297" t="s">
        <v>129</v>
      </c>
      <c r="F297" t="str">
        <f>VLOOKUP(G297,PC!B:D,2,FALSE)</f>
        <v>COMIDA</v>
      </c>
      <c r="G297" s="4" t="s">
        <v>33</v>
      </c>
      <c r="H297" s="1">
        <v>100</v>
      </c>
    </row>
    <row r="298" spans="2:9" x14ac:dyDescent="0.2">
      <c r="B298" t="str">
        <f>VLOOKUP(G298,PC!B:D,3,FALSE)</f>
        <v>CPV</v>
      </c>
      <c r="C298" s="22">
        <v>2023</v>
      </c>
      <c r="D298" t="s">
        <v>109</v>
      </c>
      <c r="E298" t="s">
        <v>129</v>
      </c>
      <c r="F298" t="str">
        <f>VLOOKUP(G298,PC!B:D,2,FALSE)</f>
        <v>OUTROS</v>
      </c>
      <c r="G298" s="4" t="s">
        <v>37</v>
      </c>
      <c r="H298" s="1">
        <v>81</v>
      </c>
    </row>
    <row r="299" spans="2:9" x14ac:dyDescent="0.2">
      <c r="B299" t="str">
        <f>VLOOKUP(G299,PC!B:D,3,FALSE)</f>
        <v>CPV</v>
      </c>
      <c r="C299" s="22">
        <v>2023</v>
      </c>
      <c r="D299" t="s">
        <v>109</v>
      </c>
      <c r="E299" t="s">
        <v>129</v>
      </c>
      <c r="F299" t="str">
        <f>VLOOKUP(G299,PC!B:D,2,FALSE)</f>
        <v>OUTROS</v>
      </c>
      <c r="G299" s="4" t="s">
        <v>37</v>
      </c>
      <c r="H299" s="1">
        <v>36</v>
      </c>
      <c r="I299" s="7" t="s">
        <v>161</v>
      </c>
    </row>
    <row r="300" spans="2:9" x14ac:dyDescent="0.2">
      <c r="B300" t="str">
        <f>VLOOKUP(G300,PC!B:D,3,FALSE)</f>
        <v>RECEITA</v>
      </c>
      <c r="C300" s="22">
        <v>2023</v>
      </c>
      <c r="D300" t="s">
        <v>109</v>
      </c>
      <c r="F300" t="str">
        <f>VLOOKUP(G300,PC!B:D,2,FALSE)</f>
        <v>RECEITA</v>
      </c>
      <c r="G300" s="4" t="s">
        <v>54</v>
      </c>
      <c r="H300" s="1">
        <v>550</v>
      </c>
    </row>
    <row r="301" spans="2:9" x14ac:dyDescent="0.2">
      <c r="B301" t="str">
        <f>VLOOKUP(G301,PC!B:D,3,FALSE)</f>
        <v>RECEITA</v>
      </c>
      <c r="C301" s="22">
        <v>2023</v>
      </c>
      <c r="D301" t="s">
        <v>109</v>
      </c>
      <c r="F301" t="str">
        <f>VLOOKUP(G301,PC!B:D,2,FALSE)</f>
        <v>RECEITA</v>
      </c>
      <c r="G301" s="4" t="s">
        <v>54</v>
      </c>
      <c r="H301" s="1">
        <v>1300</v>
      </c>
    </row>
    <row r="302" spans="2:9" x14ac:dyDescent="0.2">
      <c r="B302" t="str">
        <f>VLOOKUP(G302,PC!B:D,3,FALSE)</f>
        <v>RECEITA</v>
      </c>
      <c r="C302" s="22">
        <v>2023</v>
      </c>
      <c r="D302" t="s">
        <v>109</v>
      </c>
      <c r="F302" t="str">
        <f>VLOOKUP(G302,PC!B:D,2,FALSE)</f>
        <v>RECEITA</v>
      </c>
      <c r="G302" s="4" t="s">
        <v>54</v>
      </c>
      <c r="H302" s="1">
        <v>600</v>
      </c>
    </row>
    <row r="303" spans="2:9" x14ac:dyDescent="0.2">
      <c r="B303" t="str">
        <f>VLOOKUP(G303,PC!B:D,3,FALSE)</f>
        <v>DESPESA PESSOAL</v>
      </c>
      <c r="C303" s="22">
        <v>2023</v>
      </c>
      <c r="D303" t="s">
        <v>109</v>
      </c>
      <c r="F303" t="str">
        <f>VLOOKUP(G303,PC!B:D,2,FALSE)</f>
        <v>DESPESA PESSOAL</v>
      </c>
      <c r="G303" s="4" t="s">
        <v>56</v>
      </c>
      <c r="H303" s="1">
        <v>600</v>
      </c>
      <c r="I303" s="4"/>
    </row>
    <row r="304" spans="2:9" x14ac:dyDescent="0.2">
      <c r="B304" t="str">
        <f>VLOOKUP(G304,PC!B:D,3,FALSE)</f>
        <v>DESPESA PESSOAL</v>
      </c>
      <c r="C304" s="22">
        <v>2023</v>
      </c>
      <c r="D304" t="s">
        <v>109</v>
      </c>
      <c r="F304" t="str">
        <f>VLOOKUP(G304,PC!B:D,2,FALSE)</f>
        <v>DESPESA PESSOAL</v>
      </c>
      <c r="G304" s="4" t="s">
        <v>56</v>
      </c>
      <c r="H304" s="1">
        <v>350</v>
      </c>
    </row>
    <row r="305" spans="2:8" x14ac:dyDescent="0.2">
      <c r="B305" t="str">
        <f>VLOOKUP(G305,PC!B:D,3,FALSE)</f>
        <v>DESPESA OPERACIONAL</v>
      </c>
      <c r="C305" s="22">
        <v>2023</v>
      </c>
      <c r="D305" t="s">
        <v>109</v>
      </c>
      <c r="F305" t="str">
        <f>VLOOKUP(G305,PC!B:D,2,FALSE)</f>
        <v>DESPESA OPERACIONAL</v>
      </c>
      <c r="G305" s="4" t="s">
        <v>73</v>
      </c>
      <c r="H305" s="1">
        <f>1293.75+800.83+800.84+800.84</f>
        <v>3696.26</v>
      </c>
    </row>
    <row r="306" spans="2:8" x14ac:dyDescent="0.2">
      <c r="B306" t="str">
        <f>VLOOKUP(G306,PC!B:D,3,FALSE)</f>
        <v>RECEITA</v>
      </c>
      <c r="C306" s="22">
        <v>2023</v>
      </c>
      <c r="D306" t="s">
        <v>109</v>
      </c>
      <c r="F306" t="str">
        <f>VLOOKUP(G306,PC!B:D,2,FALSE)</f>
        <v>RECEITA</v>
      </c>
      <c r="G306" s="4" t="s">
        <v>64</v>
      </c>
      <c r="H306" s="1">
        <f>36.83+29.75</f>
        <v>66.58</v>
      </c>
    </row>
    <row r="307" spans="2:8" x14ac:dyDescent="0.2">
      <c r="B307" t="str">
        <f>VLOOKUP(G307,PC!B:D,3,FALSE)</f>
        <v>CPV</v>
      </c>
      <c r="C307" s="22">
        <v>2023</v>
      </c>
      <c r="D307" t="s">
        <v>109</v>
      </c>
      <c r="E307" t="s">
        <v>129</v>
      </c>
      <c r="F307" t="str">
        <f>VLOOKUP(G307,PC!B:D,2,FALSE)</f>
        <v>COMIDA</v>
      </c>
      <c r="G307" s="4" t="s">
        <v>145</v>
      </c>
      <c r="H307" s="1">
        <v>51.6</v>
      </c>
    </row>
    <row r="308" spans="2:8" x14ac:dyDescent="0.2">
      <c r="B308" t="str">
        <f>VLOOKUP(G308,PC!B:D,3,FALSE)</f>
        <v>CPV</v>
      </c>
      <c r="C308" s="22">
        <v>2023</v>
      </c>
      <c r="D308" t="s">
        <v>109</v>
      </c>
      <c r="E308" t="s">
        <v>129</v>
      </c>
      <c r="F308" t="str">
        <f>VLOOKUP(G308,PC!B:D,2,FALSE)</f>
        <v>COMIDA</v>
      </c>
      <c r="G308" s="4" t="s">
        <v>155</v>
      </c>
      <c r="H308" s="1">
        <v>310</v>
      </c>
    </row>
    <row r="309" spans="2:8" x14ac:dyDescent="0.2">
      <c r="B309" t="str">
        <f>VLOOKUP(G309,PC!B:D,3,FALSE)</f>
        <v>CPV</v>
      </c>
      <c r="C309" s="22">
        <v>2023</v>
      </c>
      <c r="D309" t="s">
        <v>109</v>
      </c>
      <c r="E309" t="s">
        <v>129</v>
      </c>
      <c r="F309" t="str">
        <f>VLOOKUP(G309,PC!B:D,2,FALSE)</f>
        <v>CIGARRO</v>
      </c>
      <c r="G309" s="4" t="s">
        <v>57</v>
      </c>
      <c r="H309" s="1">
        <f>704+256+116</f>
        <v>1076</v>
      </c>
    </row>
    <row r="310" spans="2:8" x14ac:dyDescent="0.2">
      <c r="B310" t="str">
        <f>VLOOKUP(G310,PC!B:D,3,FALSE)</f>
        <v>CPV</v>
      </c>
      <c r="C310" s="22">
        <v>2023</v>
      </c>
      <c r="D310" t="s">
        <v>109</v>
      </c>
      <c r="E310" t="s">
        <v>129</v>
      </c>
      <c r="F310" t="str">
        <f>VLOOKUP(G310,PC!B:D,2,FALSE)</f>
        <v>CIGARRO</v>
      </c>
      <c r="G310" s="4" t="s">
        <v>55</v>
      </c>
      <c r="H310" s="1">
        <f>45+70</f>
        <v>115</v>
      </c>
    </row>
    <row r="311" spans="2:8" x14ac:dyDescent="0.2">
      <c r="B311" t="str">
        <f>VLOOKUP(G311,PC!B:D,3,FALSE)</f>
        <v>CPV</v>
      </c>
      <c r="C311" s="22">
        <v>2023</v>
      </c>
      <c r="D311" t="s">
        <v>109</v>
      </c>
      <c r="E311" t="s">
        <v>129</v>
      </c>
      <c r="F311" t="str">
        <f>VLOOKUP(G311,PC!B:D,2,FALSE)</f>
        <v>BEBIDAS</v>
      </c>
      <c r="G311" s="4" t="s">
        <v>48</v>
      </c>
      <c r="H311" s="1">
        <v>277.2</v>
      </c>
    </row>
    <row r="312" spans="2:8" x14ac:dyDescent="0.2">
      <c r="B312" t="str">
        <f>VLOOKUP(G312,PC!B:D,3,FALSE)</f>
        <v>CPV</v>
      </c>
      <c r="C312" s="22">
        <v>2023</v>
      </c>
      <c r="D312" t="s">
        <v>109</v>
      </c>
      <c r="E312" t="s">
        <v>89</v>
      </c>
      <c r="F312" t="str">
        <f>VLOOKUP(G312,PC!B:D,2,FALSE)</f>
        <v>OUTROS</v>
      </c>
      <c r="G312" s="4" t="s">
        <v>37</v>
      </c>
      <c r="H312" s="1">
        <v>290.86</v>
      </c>
    </row>
    <row r="313" spans="2:8" x14ac:dyDescent="0.2">
      <c r="B313" t="str">
        <f>VLOOKUP(G313,PC!B:D,3,FALSE)</f>
        <v>CPV</v>
      </c>
      <c r="C313" s="22">
        <v>2023</v>
      </c>
      <c r="D313" t="s">
        <v>109</v>
      </c>
      <c r="E313" t="s">
        <v>77</v>
      </c>
      <c r="F313" t="str">
        <f>VLOOKUP(G313,PC!B:D,2,FALSE)</f>
        <v>OUTROS</v>
      </c>
      <c r="G313" s="4" t="s">
        <v>37</v>
      </c>
      <c r="H313" s="1">
        <v>363.36</v>
      </c>
    </row>
    <row r="314" spans="2:8" x14ac:dyDescent="0.2">
      <c r="B314" t="str">
        <f>VLOOKUP(G314,PC!B:D,3,FALSE)</f>
        <v>CPV</v>
      </c>
      <c r="C314" s="22">
        <v>2023</v>
      </c>
      <c r="D314" t="s">
        <v>109</v>
      </c>
      <c r="E314" t="s">
        <v>28</v>
      </c>
      <c r="F314" t="str">
        <f>VLOOKUP(G314,PC!B:D,2,FALSE)</f>
        <v>BEBIDAS</v>
      </c>
      <c r="G314" s="4" t="s">
        <v>26</v>
      </c>
      <c r="H314" s="1">
        <v>703.5</v>
      </c>
    </row>
    <row r="315" spans="2:8" x14ac:dyDescent="0.2">
      <c r="B315" t="str">
        <f>VLOOKUP(G315,PC!B:D,3,FALSE)</f>
        <v>CPV</v>
      </c>
      <c r="C315" s="22">
        <v>2023</v>
      </c>
      <c r="D315" t="s">
        <v>109</v>
      </c>
      <c r="E315" t="s">
        <v>28</v>
      </c>
      <c r="F315" t="str">
        <f>VLOOKUP(G315,PC!B:D,2,FALSE)</f>
        <v>BEBIDAS</v>
      </c>
      <c r="G315" s="4" t="s">
        <v>26</v>
      </c>
      <c r="H315" s="1">
        <v>2714.88</v>
      </c>
    </row>
    <row r="316" spans="2:8" x14ac:dyDescent="0.2">
      <c r="B316" t="str">
        <f>VLOOKUP(G316,PC!B:D,3,FALSE)</f>
        <v>CPV</v>
      </c>
      <c r="C316" s="22">
        <v>2023</v>
      </c>
      <c r="D316" t="s">
        <v>109</v>
      </c>
      <c r="E316" t="s">
        <v>159</v>
      </c>
      <c r="F316" t="str">
        <f>VLOOKUP(G316,PC!B:D,2,FALSE)</f>
        <v>COMIDA</v>
      </c>
      <c r="G316" s="4" t="s">
        <v>145</v>
      </c>
      <c r="H316" s="1">
        <v>71.5</v>
      </c>
    </row>
    <row r="317" spans="2:8" x14ac:dyDescent="0.2">
      <c r="B317" t="str">
        <f>VLOOKUP(G317,PC!B:D,3,FALSE)</f>
        <v>CPV</v>
      </c>
      <c r="C317" s="22">
        <v>2023</v>
      </c>
      <c r="D317" t="s">
        <v>109</v>
      </c>
      <c r="E317" t="s">
        <v>14</v>
      </c>
      <c r="F317" t="str">
        <f>VLOOKUP(G317,PC!B:D,2,FALSE)</f>
        <v>BEBIDAS</v>
      </c>
      <c r="G317" s="4" t="s">
        <v>26</v>
      </c>
      <c r="H317" s="1">
        <f>394.71+119.63</f>
        <v>514.33999999999992</v>
      </c>
    </row>
    <row r="318" spans="2:8" x14ac:dyDescent="0.2">
      <c r="B318" t="str">
        <f>VLOOKUP(G318,PC!B:D,3,FALSE)</f>
        <v>CPV</v>
      </c>
      <c r="C318" s="22">
        <v>2023</v>
      </c>
      <c r="D318" t="s">
        <v>109</v>
      </c>
      <c r="E318" t="s">
        <v>14</v>
      </c>
      <c r="F318" t="str">
        <f>VLOOKUP(G318,PC!B:D,2,FALSE)</f>
        <v>BEBIDAS</v>
      </c>
      <c r="G318" s="4" t="s">
        <v>25</v>
      </c>
      <c r="H318" s="1">
        <f>1003.25-H317</f>
        <v>488.91000000000008</v>
      </c>
    </row>
    <row r="319" spans="2:8" x14ac:dyDescent="0.2">
      <c r="B319" t="str">
        <f>VLOOKUP(G319,PC!B:D,3,FALSE)</f>
        <v>CPV</v>
      </c>
      <c r="C319" s="22">
        <v>2023</v>
      </c>
      <c r="D319" t="s">
        <v>109</v>
      </c>
      <c r="E319" t="s">
        <v>49</v>
      </c>
      <c r="F319" t="str">
        <f>VLOOKUP(G319,PC!B:D,2,FALSE)</f>
        <v>CIGARRO</v>
      </c>
      <c r="G319" s="4" t="s">
        <v>52</v>
      </c>
      <c r="H319" s="1">
        <v>6917.18</v>
      </c>
    </row>
    <row r="320" spans="2:8" x14ac:dyDescent="0.2">
      <c r="B320" t="str">
        <f>VLOOKUP(G320,PC!B:D,3,FALSE)</f>
        <v>CPV</v>
      </c>
      <c r="C320" s="22">
        <v>2023</v>
      </c>
      <c r="D320" t="s">
        <v>109</v>
      </c>
      <c r="E320" t="s">
        <v>163</v>
      </c>
      <c r="F320" t="str">
        <f>VLOOKUP(G320,PC!B:D,2,FALSE)</f>
        <v>OUTROS</v>
      </c>
      <c r="G320" s="4" t="s">
        <v>37</v>
      </c>
      <c r="H320" s="1">
        <v>1492.94</v>
      </c>
    </row>
    <row r="321" spans="2:8" x14ac:dyDescent="0.2">
      <c r="B321" t="str">
        <f>VLOOKUP(G321,PC!B:D,3,FALSE)</f>
        <v>RECEITA</v>
      </c>
      <c r="C321" s="22">
        <v>2023</v>
      </c>
      <c r="D321" t="s">
        <v>109</v>
      </c>
      <c r="E321" t="s">
        <v>156</v>
      </c>
      <c r="F321" t="str">
        <f>VLOOKUP(G321,PC!B:D,2,FALSE)</f>
        <v>RECEITA</v>
      </c>
      <c r="G321" s="4" t="s">
        <v>83</v>
      </c>
      <c r="H321" s="1">
        <v>43.06</v>
      </c>
    </row>
    <row r="322" spans="2:8" x14ac:dyDescent="0.2">
      <c r="B322" t="str">
        <f>VLOOKUP(G322,PC!B:D,3,FALSE)</f>
        <v>CPV</v>
      </c>
      <c r="C322" s="22">
        <v>2023</v>
      </c>
      <c r="D322" t="s">
        <v>109</v>
      </c>
      <c r="E322" t="s">
        <v>156</v>
      </c>
      <c r="F322" t="str">
        <f>VLOOKUP(G322,PC!B:D,2,FALSE)</f>
        <v>BEBIDAS</v>
      </c>
      <c r="G322" s="4" t="s">
        <v>26</v>
      </c>
      <c r="H322" s="1">
        <v>215.3</v>
      </c>
    </row>
    <row r="323" spans="2:8" x14ac:dyDescent="0.2">
      <c r="B323" t="str">
        <f>VLOOKUP(G323,PC!B:D,3,FALSE)</f>
        <v>CPV</v>
      </c>
      <c r="C323" s="22">
        <v>2023</v>
      </c>
      <c r="D323" t="s">
        <v>109</v>
      </c>
      <c r="E323" t="s">
        <v>100</v>
      </c>
      <c r="F323" t="str">
        <f>VLOOKUP(G323,PC!B:D,2,FALSE)</f>
        <v>SOBREMESA</v>
      </c>
      <c r="G323" s="4" t="s">
        <v>23</v>
      </c>
      <c r="H323" s="1">
        <v>37.78</v>
      </c>
    </row>
    <row r="324" spans="2:8" x14ac:dyDescent="0.2">
      <c r="B324" t="str">
        <f>VLOOKUP(G324,PC!B:D,3,FALSE)</f>
        <v>CPV</v>
      </c>
      <c r="C324" s="22">
        <v>2023</v>
      </c>
      <c r="D324" t="s">
        <v>109</v>
      </c>
      <c r="E324" t="s">
        <v>35</v>
      </c>
      <c r="F324" t="str">
        <f>VLOOKUP(G324,PC!B:D,2,FALSE)</f>
        <v>OUTROS</v>
      </c>
      <c r="G324" s="4" t="s">
        <v>37</v>
      </c>
      <c r="H324" s="1">
        <v>416.23</v>
      </c>
    </row>
    <row r="325" spans="2:8" x14ac:dyDescent="0.2">
      <c r="B325" t="str">
        <f>VLOOKUP(G325,PC!B:D,3,FALSE)</f>
        <v>CPV</v>
      </c>
      <c r="C325" s="22">
        <v>2023</v>
      </c>
      <c r="D325" t="s">
        <v>109</v>
      </c>
      <c r="E325" t="s">
        <v>35</v>
      </c>
      <c r="F325" t="str">
        <f>VLOOKUP(G325,PC!B:D,2,FALSE)</f>
        <v>BEBIDAS</v>
      </c>
      <c r="G325" s="4" t="s">
        <v>51</v>
      </c>
      <c r="H325" s="1">
        <v>332.91</v>
      </c>
    </row>
    <row r="326" spans="2:8" x14ac:dyDescent="0.2">
      <c r="B326" t="str">
        <f>VLOOKUP(G326,PC!B:D,3,FALSE)</f>
        <v>CPV</v>
      </c>
      <c r="C326" s="22">
        <v>2023</v>
      </c>
      <c r="D326" t="s">
        <v>109</v>
      </c>
      <c r="E326" t="s">
        <v>159</v>
      </c>
      <c r="F326" t="str">
        <f>VLOOKUP(G326,PC!B:D,2,FALSE)</f>
        <v>COMIDA</v>
      </c>
      <c r="G326" s="4" t="s">
        <v>34</v>
      </c>
      <c r="H326" s="1">
        <v>67.5</v>
      </c>
    </row>
    <row r="327" spans="2:8" x14ac:dyDescent="0.2">
      <c r="B327" t="str">
        <f>VLOOKUP(G327,PC!B:D,3,FALSE)</f>
        <v>CPV</v>
      </c>
      <c r="C327" s="22">
        <v>2023</v>
      </c>
      <c r="D327" t="s">
        <v>109</v>
      </c>
      <c r="E327" t="s">
        <v>28</v>
      </c>
      <c r="F327" t="str">
        <f>VLOOKUP(G327,PC!B:D,2,FALSE)</f>
        <v>BEBIDAS</v>
      </c>
      <c r="G327" s="4" t="s">
        <v>26</v>
      </c>
      <c r="H327" s="1">
        <v>3000</v>
      </c>
    </row>
    <row r="328" spans="2:8" x14ac:dyDescent="0.2">
      <c r="B328" t="str">
        <f>VLOOKUP(G328,PC!B:D,3,FALSE)</f>
        <v>CPV</v>
      </c>
      <c r="C328" s="22">
        <v>2023</v>
      </c>
      <c r="D328" t="s">
        <v>109</v>
      </c>
      <c r="E328" t="s">
        <v>28</v>
      </c>
      <c r="F328" t="str">
        <f>VLOOKUP(G328,PC!B:D,2,FALSE)</f>
        <v>BEBIDAS</v>
      </c>
      <c r="G328" s="4" t="s">
        <v>25</v>
      </c>
      <c r="H328" s="1">
        <f>3862.08-H327</f>
        <v>862.07999999999993</v>
      </c>
    </row>
    <row r="329" spans="2:8" x14ac:dyDescent="0.2">
      <c r="B329" t="str">
        <f>VLOOKUP(G329,PC!B:D,3,FALSE)</f>
        <v>CPV</v>
      </c>
      <c r="C329" s="22">
        <v>2023</v>
      </c>
      <c r="D329" t="s">
        <v>109</v>
      </c>
      <c r="E329" t="s">
        <v>14</v>
      </c>
      <c r="F329" t="str">
        <f>VLOOKUP(G329,PC!B:D,2,FALSE)</f>
        <v>BEBIDAS</v>
      </c>
      <c r="G329" s="4" t="s">
        <v>41</v>
      </c>
      <c r="H329" s="1">
        <v>35.96</v>
      </c>
    </row>
    <row r="330" spans="2:8" x14ac:dyDescent="0.2">
      <c r="B330" t="str">
        <f>VLOOKUP(G330,PC!B:D,3,FALSE)</f>
        <v>CPV</v>
      </c>
      <c r="C330" s="22">
        <v>2023</v>
      </c>
      <c r="D330" t="s">
        <v>109</v>
      </c>
      <c r="E330" t="s">
        <v>14</v>
      </c>
      <c r="F330" t="str">
        <f>VLOOKUP(G330,PC!B:D,2,FALSE)</f>
        <v>BEBIDAS</v>
      </c>
      <c r="G330" s="4" t="s">
        <v>25</v>
      </c>
      <c r="H330" s="1">
        <f>652.89-H329</f>
        <v>616.92999999999995</v>
      </c>
    </row>
    <row r="331" spans="2:8" x14ac:dyDescent="0.2">
      <c r="B331" t="str">
        <f>VLOOKUP(G331,PC!B:D,3,FALSE)</f>
        <v>CPV</v>
      </c>
      <c r="C331" s="22">
        <v>2023</v>
      </c>
      <c r="D331" t="s">
        <v>109</v>
      </c>
      <c r="E331" t="s">
        <v>16</v>
      </c>
      <c r="F331" t="str">
        <f>VLOOKUP(G331,PC!B:D,2,FALSE)</f>
        <v>COMIDA</v>
      </c>
      <c r="G331" s="4" t="s">
        <v>12</v>
      </c>
      <c r="H331" s="1">
        <v>453.78</v>
      </c>
    </row>
    <row r="332" spans="2:8" x14ac:dyDescent="0.2">
      <c r="B332" t="str">
        <f>VLOOKUP(G332,PC!B:D,3,FALSE)</f>
        <v>CPV</v>
      </c>
      <c r="C332" s="22">
        <v>2023</v>
      </c>
      <c r="D332" t="s">
        <v>109</v>
      </c>
      <c r="E332" t="s">
        <v>78</v>
      </c>
      <c r="F332" t="str">
        <f>VLOOKUP(G332,PC!B:D,2,FALSE)</f>
        <v>CIGARRO</v>
      </c>
      <c r="G332" s="4" t="s">
        <v>82</v>
      </c>
      <c r="H332" s="1">
        <f>1093.25</f>
        <v>1093.25</v>
      </c>
    </row>
    <row r="333" spans="2:8" x14ac:dyDescent="0.2">
      <c r="B333" t="str">
        <f>VLOOKUP(G333,PC!B:D,3,FALSE)</f>
        <v>RECEITA</v>
      </c>
      <c r="C333" s="22">
        <v>2023</v>
      </c>
      <c r="D333" t="s">
        <v>109</v>
      </c>
      <c r="E333" t="s">
        <v>78</v>
      </c>
      <c r="F333" t="str">
        <f>VLOOKUP(G333,PC!B:D,2,FALSE)</f>
        <v>RECEITA</v>
      </c>
      <c r="G333" s="4" t="s">
        <v>83</v>
      </c>
      <c r="H333" s="1">
        <f>33.31+33.31</f>
        <v>66.62</v>
      </c>
    </row>
    <row r="334" spans="2:8" x14ac:dyDescent="0.2">
      <c r="B334" t="str">
        <f>VLOOKUP(G334,PC!B:D,3,FALSE)</f>
        <v>CPV</v>
      </c>
      <c r="C334" s="22">
        <v>2023</v>
      </c>
      <c r="D334" t="s">
        <v>109</v>
      </c>
      <c r="E334" t="s">
        <v>40</v>
      </c>
      <c r="F334" t="str">
        <f>VLOOKUP(G334,PC!B:D,2,FALSE)</f>
        <v>BEBIDAS</v>
      </c>
      <c r="G334" s="4" t="s">
        <v>51</v>
      </c>
      <c r="H334" s="1">
        <v>17.05</v>
      </c>
    </row>
    <row r="335" spans="2:8" x14ac:dyDescent="0.2">
      <c r="B335" t="str">
        <f>VLOOKUP(G335,PC!B:D,3,FALSE)</f>
        <v>CPV</v>
      </c>
      <c r="C335" s="22">
        <v>2023</v>
      </c>
      <c r="D335" t="s">
        <v>109</v>
      </c>
      <c r="E335" t="s">
        <v>20</v>
      </c>
      <c r="F335" t="str">
        <f>VLOOKUP(G335,PC!B:D,2,FALSE)</f>
        <v>COMIDA</v>
      </c>
      <c r="G335" s="4" t="s">
        <v>29</v>
      </c>
      <c r="H335" s="1">
        <v>86.9</v>
      </c>
    </row>
    <row r="336" spans="2:8" x14ac:dyDescent="0.2">
      <c r="B336" t="str">
        <f>VLOOKUP(G336,PC!B:D,3,FALSE)</f>
        <v>CPV</v>
      </c>
      <c r="C336" s="22">
        <v>2023</v>
      </c>
      <c r="D336" t="s">
        <v>109</v>
      </c>
      <c r="E336" t="s">
        <v>129</v>
      </c>
      <c r="F336" t="str">
        <f>VLOOKUP(G336,PC!B:D,2,FALSE)</f>
        <v>BEBIDAS</v>
      </c>
      <c r="G336" s="4" t="s">
        <v>48</v>
      </c>
      <c r="H336" s="1">
        <v>160</v>
      </c>
    </row>
    <row r="337" spans="2:8" x14ac:dyDescent="0.2">
      <c r="B337" t="str">
        <f>VLOOKUP(G337,PC!B:D,3,FALSE)</f>
        <v>CPV</v>
      </c>
      <c r="C337" s="22">
        <v>2023</v>
      </c>
      <c r="D337" t="s">
        <v>109</v>
      </c>
      <c r="E337" t="s">
        <v>129</v>
      </c>
      <c r="F337" t="str">
        <f>VLOOKUP(G337,PC!B:D,2,FALSE)</f>
        <v>COMIDA</v>
      </c>
      <c r="G337" s="4" t="s">
        <v>12</v>
      </c>
      <c r="H337" s="1">
        <v>291</v>
      </c>
    </row>
    <row r="338" spans="2:8" x14ac:dyDescent="0.2">
      <c r="B338" t="str">
        <f>VLOOKUP(G338,PC!B:D,3,FALSE)</f>
        <v>CPV</v>
      </c>
      <c r="C338" s="22">
        <v>2023</v>
      </c>
      <c r="D338" t="s">
        <v>109</v>
      </c>
      <c r="E338" t="s">
        <v>45</v>
      </c>
      <c r="F338" t="str">
        <f>VLOOKUP(G338,PC!B:D,2,FALSE)</f>
        <v>OUTROS</v>
      </c>
      <c r="G338" s="4" t="s">
        <v>37</v>
      </c>
      <c r="H338" s="1">
        <v>355.16</v>
      </c>
    </row>
    <row r="339" spans="2:8" x14ac:dyDescent="0.2">
      <c r="B339" t="str">
        <f>VLOOKUP(G339,PC!B:D,3,FALSE)</f>
        <v>CPV</v>
      </c>
      <c r="C339" s="22">
        <v>2023</v>
      </c>
      <c r="D339" t="s">
        <v>109</v>
      </c>
      <c r="E339" t="s">
        <v>156</v>
      </c>
      <c r="F339" t="str">
        <f>VLOOKUP(G339,PC!B:D,2,FALSE)</f>
        <v>BEBIDAS</v>
      </c>
      <c r="G339" s="4" t="s">
        <v>26</v>
      </c>
      <c r="H339" s="1">
        <v>215.3</v>
      </c>
    </row>
    <row r="340" spans="2:8" x14ac:dyDescent="0.2">
      <c r="B340" t="str">
        <f>VLOOKUP(G340,PC!B:D,3,FALSE)</f>
        <v>RECEITA</v>
      </c>
      <c r="C340" s="22">
        <v>2023</v>
      </c>
      <c r="D340" t="s">
        <v>109</v>
      </c>
      <c r="E340" t="s">
        <v>156</v>
      </c>
      <c r="F340" t="str">
        <f>VLOOKUP(G340,PC!B:D,2,FALSE)</f>
        <v>RECEITA</v>
      </c>
      <c r="G340" s="4" t="s">
        <v>83</v>
      </c>
      <c r="H340" s="1">
        <v>43</v>
      </c>
    </row>
    <row r="341" spans="2:8" x14ac:dyDescent="0.2">
      <c r="B341" t="str">
        <f>VLOOKUP(G341,PC!B:D,3,FALSE)</f>
        <v>CPV</v>
      </c>
      <c r="C341" s="22">
        <v>2023</v>
      </c>
      <c r="D341" t="s">
        <v>109</v>
      </c>
      <c r="E341" t="s">
        <v>28</v>
      </c>
      <c r="F341" t="str">
        <f>VLOOKUP(G341,PC!B:D,2,FALSE)</f>
        <v>BEBIDAS</v>
      </c>
      <c r="G341" s="4" t="s">
        <v>26</v>
      </c>
      <c r="H341" s="1">
        <v>659</v>
      </c>
    </row>
    <row r="342" spans="2:8" x14ac:dyDescent="0.2">
      <c r="B342" t="str">
        <f>VLOOKUP(G342,PC!B:D,3,FALSE)</f>
        <v>CPV</v>
      </c>
      <c r="C342" s="22">
        <v>2023</v>
      </c>
      <c r="D342" t="s">
        <v>109</v>
      </c>
      <c r="E342" t="s">
        <v>164</v>
      </c>
      <c r="F342" t="str">
        <f>VLOOKUP(G342,PC!B:D,2,FALSE)</f>
        <v>COMIDA</v>
      </c>
      <c r="G342" s="4" t="s">
        <v>33</v>
      </c>
      <c r="H342" s="1">
        <v>148.19999999999999</v>
      </c>
    </row>
    <row r="343" spans="2:8" x14ac:dyDescent="0.2">
      <c r="B343" t="str">
        <f>VLOOKUP(G343,PC!B:D,3,FALSE)</f>
        <v>CPV</v>
      </c>
      <c r="C343" s="22">
        <v>2023</v>
      </c>
      <c r="D343" t="s">
        <v>109</v>
      </c>
      <c r="E343" t="s">
        <v>6</v>
      </c>
      <c r="F343" t="str">
        <f>VLOOKUP(G343,PC!B:D,2,FALSE)</f>
        <v>COMIDA</v>
      </c>
      <c r="G343" s="4" t="s">
        <v>145</v>
      </c>
      <c r="H343" s="1">
        <v>35.85</v>
      </c>
    </row>
    <row r="344" spans="2:8" x14ac:dyDescent="0.2">
      <c r="B344" t="str">
        <f>VLOOKUP(G344,PC!B:D,3,FALSE)</f>
        <v>CPV</v>
      </c>
      <c r="C344" s="22">
        <v>2023</v>
      </c>
      <c r="D344" t="s">
        <v>109</v>
      </c>
      <c r="E344" t="s">
        <v>24</v>
      </c>
      <c r="F344" t="str">
        <f>VLOOKUP(G344,PC!B:D,2,FALSE)</f>
        <v>COMIDA</v>
      </c>
      <c r="G344" s="4" t="s">
        <v>33</v>
      </c>
      <c r="H344" s="1">
        <v>1307.48</v>
      </c>
    </row>
    <row r="345" spans="2:8" x14ac:dyDescent="0.2">
      <c r="B345" t="str">
        <f>VLOOKUP(G345,PC!B:D,3,FALSE)</f>
        <v>RECEITA</v>
      </c>
      <c r="C345" s="22">
        <v>2023</v>
      </c>
      <c r="D345" t="s">
        <v>109</v>
      </c>
      <c r="F345" t="str">
        <f>VLOOKUP(G345,PC!B:D,2,FALSE)</f>
        <v>RECEITA</v>
      </c>
      <c r="G345" s="4" t="s">
        <v>136</v>
      </c>
      <c r="H345" s="1">
        <v>562.1</v>
      </c>
    </row>
    <row r="346" spans="2:8" x14ac:dyDescent="0.2">
      <c r="B346" t="str">
        <f>VLOOKUP(G346,PC!B:D,3,FALSE)</f>
        <v>RECEITA</v>
      </c>
      <c r="C346" s="22">
        <v>2023</v>
      </c>
      <c r="D346" t="s">
        <v>109</v>
      </c>
      <c r="F346" t="str">
        <f>VLOOKUP(G346,PC!B:D,2,FALSE)</f>
        <v>RECEITA</v>
      </c>
      <c r="G346" s="4" t="s">
        <v>137</v>
      </c>
      <c r="H346" s="1">
        <v>10429.530000000001</v>
      </c>
    </row>
    <row r="347" spans="2:8" x14ac:dyDescent="0.2">
      <c r="B347" t="str">
        <f>VLOOKUP(G347,PC!B:D,3,FALSE)</f>
        <v>DESCONTO DE FATURAMENTO</v>
      </c>
      <c r="C347" s="22">
        <v>2023</v>
      </c>
      <c r="D347" t="s">
        <v>109</v>
      </c>
      <c r="F347" t="str">
        <f>VLOOKUP(G347,PC!B:D,2,FALSE)</f>
        <v>OUTROS DESCONTOS</v>
      </c>
      <c r="G347" s="4" t="s">
        <v>63</v>
      </c>
      <c r="H347" s="1">
        <f>H346-10211.53</f>
        <v>218</v>
      </c>
    </row>
    <row r="348" spans="2:8" x14ac:dyDescent="0.2">
      <c r="B348" t="str">
        <f>VLOOKUP(G348,PC!B:D,3,FALSE)</f>
        <v>DESCONTO DE FATURAMENTO</v>
      </c>
      <c r="C348" s="22">
        <v>2023</v>
      </c>
      <c r="D348" t="s">
        <v>109</v>
      </c>
      <c r="F348" t="str">
        <f>VLOOKUP(G348,PC!B:D,2,FALSE)</f>
        <v>OUTROS DESCONTOS</v>
      </c>
      <c r="G348" s="4" t="s">
        <v>63</v>
      </c>
      <c r="H348" s="1">
        <f>H345-554.38</f>
        <v>7.7200000000000273</v>
      </c>
    </row>
    <row r="349" spans="2:8" x14ac:dyDescent="0.2">
      <c r="B349" t="str">
        <f>VLOOKUP(G349,PC!B:D,3,FALSE)</f>
        <v>RECEITA</v>
      </c>
      <c r="C349" s="22">
        <v>2023</v>
      </c>
      <c r="D349" t="s">
        <v>109</v>
      </c>
      <c r="F349" t="str">
        <f>VLOOKUP(G349,PC!B:D,2,FALSE)</f>
        <v>RECEITA</v>
      </c>
      <c r="G349" s="4" t="s">
        <v>136</v>
      </c>
      <c r="H349" s="1">
        <v>15991.2</v>
      </c>
    </row>
    <row r="350" spans="2:8" x14ac:dyDescent="0.2">
      <c r="B350" t="str">
        <f>VLOOKUP(G350,PC!B:D,3,FALSE)</f>
        <v>RECEITA</v>
      </c>
      <c r="C350" s="22">
        <v>2023</v>
      </c>
      <c r="D350" t="s">
        <v>109</v>
      </c>
      <c r="F350" t="str">
        <f>VLOOKUP(G350,PC!B:D,2,FALSE)</f>
        <v>RECEITA</v>
      </c>
      <c r="G350" s="4" t="s">
        <v>137</v>
      </c>
      <c r="H350" s="1">
        <v>2731.65</v>
      </c>
    </row>
    <row r="351" spans="2:8" x14ac:dyDescent="0.2">
      <c r="B351" t="str">
        <f>VLOOKUP(G351,PC!B:D,3,FALSE)</f>
        <v>RECEITA</v>
      </c>
      <c r="C351" s="22">
        <v>2023</v>
      </c>
      <c r="D351" t="s">
        <v>109</v>
      </c>
      <c r="F351" t="str">
        <f>VLOOKUP(G351,PC!B:D,2,FALSE)</f>
        <v>RECEITA</v>
      </c>
      <c r="G351" s="4" t="s">
        <v>54</v>
      </c>
      <c r="H351" s="1">
        <v>2550</v>
      </c>
    </row>
    <row r="352" spans="2:8" x14ac:dyDescent="0.2">
      <c r="B352" t="str">
        <f>VLOOKUP(G352,PC!B:D,3,FALSE)</f>
        <v>DESPESA PESSOAL</v>
      </c>
      <c r="C352" s="22">
        <v>2023</v>
      </c>
      <c r="D352" t="s">
        <v>109</v>
      </c>
      <c r="F352" t="str">
        <f>VLOOKUP(G352,PC!B:D,2,FALSE)</f>
        <v>DESPESA PESSOAL</v>
      </c>
      <c r="G352" s="4" t="s">
        <v>56</v>
      </c>
      <c r="H352" s="1">
        <v>688</v>
      </c>
    </row>
    <row r="353" spans="2:8" x14ac:dyDescent="0.2">
      <c r="B353" t="str">
        <f>VLOOKUP(G353,PC!B:D,3,FALSE)</f>
        <v>SERV.TERCEIROS</v>
      </c>
      <c r="C353" s="22">
        <v>2023</v>
      </c>
      <c r="D353" t="s">
        <v>109</v>
      </c>
      <c r="F353" t="str">
        <f>VLOOKUP(G353,PC!B:D,2,FALSE)</f>
        <v>SERV.TERCEIROS</v>
      </c>
      <c r="G353" s="4" t="s">
        <v>123</v>
      </c>
      <c r="H353" s="1">
        <v>160</v>
      </c>
    </row>
    <row r="354" spans="2:8" x14ac:dyDescent="0.2">
      <c r="B354" t="str">
        <f>VLOOKUP(G354,PC!B:D,3,FALSE)</f>
        <v>DESPESA PESSOAL</v>
      </c>
      <c r="C354" s="22">
        <v>2023</v>
      </c>
      <c r="D354" t="s">
        <v>109</v>
      </c>
      <c r="F354" t="str">
        <f>VLOOKUP(G354,PC!B:D,2,FALSE)</f>
        <v>DESPESA PESSOAL</v>
      </c>
      <c r="G354" s="4" t="s">
        <v>124</v>
      </c>
      <c r="H354" s="1">
        <v>1800</v>
      </c>
    </row>
    <row r="355" spans="2:8" x14ac:dyDescent="0.2">
      <c r="B355" t="str">
        <f>VLOOKUP(G355,PC!B:D,3,FALSE)</f>
        <v>DESPESA OPERACIONAL</v>
      </c>
      <c r="C355" s="22">
        <v>2023</v>
      </c>
      <c r="D355" t="s">
        <v>109</v>
      </c>
      <c r="F355" t="str">
        <f>VLOOKUP(G355,PC!B:D,2,FALSE)</f>
        <v>DESPESA OPERACIONAL</v>
      </c>
      <c r="G355" s="4" t="s">
        <v>65</v>
      </c>
      <c r="H355" s="1">
        <v>60</v>
      </c>
    </row>
    <row r="356" spans="2:8" x14ac:dyDescent="0.2">
      <c r="B356" t="str">
        <f>VLOOKUP(G356,PC!B:D,3,FALSE)</f>
        <v>CPV</v>
      </c>
      <c r="C356" s="22">
        <v>2023</v>
      </c>
      <c r="D356" t="s">
        <v>110</v>
      </c>
      <c r="E356" t="s">
        <v>77</v>
      </c>
      <c r="F356" t="str">
        <f>VLOOKUP(G356,PC!B:D,2,FALSE)</f>
        <v>OUTROS</v>
      </c>
      <c r="G356" s="4" t="s">
        <v>37</v>
      </c>
      <c r="H356" s="1">
        <v>1275.3900000000001</v>
      </c>
    </row>
    <row r="357" spans="2:8" x14ac:dyDescent="0.2">
      <c r="B357" t="str">
        <f>VLOOKUP(G357,PC!B:D,3,FALSE)</f>
        <v>CPV</v>
      </c>
      <c r="C357" s="22">
        <v>2023</v>
      </c>
      <c r="D357" t="s">
        <v>110</v>
      </c>
      <c r="E357" t="s">
        <v>129</v>
      </c>
      <c r="F357" t="str">
        <f>VLOOKUP(G357,PC!B:D,2,FALSE)</f>
        <v>COMIDA</v>
      </c>
      <c r="G357" s="4" t="s">
        <v>155</v>
      </c>
      <c r="H357" s="1">
        <f>690+310</f>
        <v>1000</v>
      </c>
    </row>
    <row r="358" spans="2:8" x14ac:dyDescent="0.2">
      <c r="B358" t="str">
        <f>VLOOKUP(G358,PC!B:D,3,FALSE)</f>
        <v>CPV</v>
      </c>
      <c r="C358" s="22">
        <v>2023</v>
      </c>
      <c r="D358" t="s">
        <v>110</v>
      </c>
      <c r="E358" t="s">
        <v>129</v>
      </c>
      <c r="F358" t="str">
        <f>VLOOKUP(G358,PC!B:D,2,FALSE)</f>
        <v>CIGARRO</v>
      </c>
      <c r="G358" s="4" t="s">
        <v>57</v>
      </c>
      <c r="H358" s="1">
        <v>1249</v>
      </c>
    </row>
    <row r="359" spans="2:8" x14ac:dyDescent="0.2">
      <c r="B359" t="str">
        <f>VLOOKUP(G359,PC!B:D,3,FALSE)</f>
        <v>CPV</v>
      </c>
      <c r="C359" s="22">
        <v>2023</v>
      </c>
      <c r="D359" t="s">
        <v>110</v>
      </c>
      <c r="E359" t="s">
        <v>129</v>
      </c>
      <c r="F359" t="str">
        <f>VLOOKUP(G359,PC!B:D,2,FALSE)</f>
        <v>COMIDA</v>
      </c>
      <c r="G359" s="4" t="s">
        <v>12</v>
      </c>
      <c r="H359" s="1">
        <v>500</v>
      </c>
    </row>
    <row r="360" spans="2:8" x14ac:dyDescent="0.2">
      <c r="B360" t="str">
        <f>VLOOKUP(G360,PC!B:D,3,FALSE)</f>
        <v>CPV</v>
      </c>
      <c r="C360" s="22">
        <v>2023</v>
      </c>
      <c r="D360" t="s">
        <v>110</v>
      </c>
      <c r="E360" t="s">
        <v>129</v>
      </c>
      <c r="F360" t="str">
        <f>VLOOKUP(G360,PC!B:D,2,FALSE)</f>
        <v>SOBREMESA</v>
      </c>
      <c r="G360" s="4" t="s">
        <v>7</v>
      </c>
      <c r="H360" s="1">
        <v>55</v>
      </c>
    </row>
    <row r="361" spans="2:8" x14ac:dyDescent="0.2">
      <c r="B361" t="str">
        <f>VLOOKUP(G361,PC!B:D,3,FALSE)</f>
        <v>CPV</v>
      </c>
      <c r="C361" s="22">
        <v>2023</v>
      </c>
      <c r="D361" t="s">
        <v>110</v>
      </c>
      <c r="E361" t="s">
        <v>129</v>
      </c>
      <c r="F361" t="str">
        <f>VLOOKUP(G361,PC!B:D,2,FALSE)</f>
        <v>SOBREMESA</v>
      </c>
      <c r="G361" s="4" t="s">
        <v>7</v>
      </c>
      <c r="H361" s="1">
        <v>48</v>
      </c>
    </row>
    <row r="362" spans="2:8" x14ac:dyDescent="0.2">
      <c r="B362" t="str">
        <f>VLOOKUP(G362,PC!B:D,3,FALSE)</f>
        <v>CPV</v>
      </c>
      <c r="C362" s="22">
        <v>2023</v>
      </c>
      <c r="D362" t="s">
        <v>110</v>
      </c>
      <c r="E362" t="s">
        <v>129</v>
      </c>
      <c r="F362" t="str">
        <f>VLOOKUP(G362,PC!B:D,2,FALSE)</f>
        <v>BEBIDAS</v>
      </c>
      <c r="G362" s="4" t="s">
        <v>26</v>
      </c>
      <c r="H362" s="1">
        <v>98</v>
      </c>
    </row>
    <row r="363" spans="2:8" x14ac:dyDescent="0.2">
      <c r="B363" t="str">
        <f>VLOOKUP(G363,PC!B:D,3,FALSE)</f>
        <v>CPV</v>
      </c>
      <c r="C363" s="22">
        <v>2023</v>
      </c>
      <c r="D363" t="s">
        <v>110</v>
      </c>
      <c r="E363" t="s">
        <v>129</v>
      </c>
      <c r="F363" t="str">
        <f>VLOOKUP(G363,PC!B:D,2,FALSE)</f>
        <v>OUTROS</v>
      </c>
      <c r="G363" s="4" t="s">
        <v>149</v>
      </c>
      <c r="H363" s="1">
        <v>92</v>
      </c>
    </row>
    <row r="364" spans="2:8" x14ac:dyDescent="0.2">
      <c r="B364" t="str">
        <f>VLOOKUP(G364,PC!B:D,3,FALSE)</f>
        <v>CPV</v>
      </c>
      <c r="C364" s="22">
        <v>2023</v>
      </c>
      <c r="D364" t="s">
        <v>110</v>
      </c>
      <c r="E364" t="s">
        <v>129</v>
      </c>
      <c r="F364" t="str">
        <f>VLOOKUP(G364,PC!B:D,2,FALSE)</f>
        <v>BEBIDAS</v>
      </c>
      <c r="G364" s="4" t="s">
        <v>48</v>
      </c>
      <c r="H364" s="1">
        <v>184.8</v>
      </c>
    </row>
    <row r="365" spans="2:8" x14ac:dyDescent="0.2">
      <c r="B365" t="str">
        <f>VLOOKUP(G365,PC!B:D,3,FALSE)</f>
        <v>CPV</v>
      </c>
      <c r="C365" s="22">
        <v>2023</v>
      </c>
      <c r="D365" t="s">
        <v>110</v>
      </c>
      <c r="E365" t="s">
        <v>129</v>
      </c>
      <c r="F365" t="str">
        <f>VLOOKUP(G365,PC!B:D,2,FALSE)</f>
        <v>OUTROS</v>
      </c>
      <c r="G365" s="4" t="s">
        <v>37</v>
      </c>
      <c r="H365" s="1">
        <f>768.8-H364</f>
        <v>584</v>
      </c>
    </row>
    <row r="366" spans="2:8" x14ac:dyDescent="0.2">
      <c r="B366" t="str">
        <f>VLOOKUP(G366,PC!B:D,3,FALSE)</f>
        <v>CPV</v>
      </c>
      <c r="C366" s="22">
        <v>2023</v>
      </c>
      <c r="D366" t="s">
        <v>110</v>
      </c>
      <c r="E366" t="s">
        <v>129</v>
      </c>
      <c r="F366" t="str">
        <f>VLOOKUP(G366,PC!B:D,2,FALSE)</f>
        <v>SOBREMESA</v>
      </c>
      <c r="G366" s="4" t="s">
        <v>75</v>
      </c>
      <c r="H366" s="1">
        <v>590.79999999999995</v>
      </c>
    </row>
    <row r="367" spans="2:8" x14ac:dyDescent="0.2">
      <c r="B367" t="str">
        <f>VLOOKUP(G367,PC!B:D,3,FALSE)</f>
        <v>CPV</v>
      </c>
      <c r="C367" s="22">
        <v>2023</v>
      </c>
      <c r="D367" t="s">
        <v>109</v>
      </c>
      <c r="E367" t="s">
        <v>129</v>
      </c>
      <c r="F367" t="str">
        <f>VLOOKUP(G367,PC!B:D,2,FALSE)</f>
        <v>SOBREMESA</v>
      </c>
      <c r="G367" s="4" t="s">
        <v>75</v>
      </c>
      <c r="H367" s="1">
        <v>1028.97</v>
      </c>
    </row>
    <row r="368" spans="2:8" x14ac:dyDescent="0.2">
      <c r="B368" t="str">
        <f>VLOOKUP(G368,PC!B:D,3,FALSE)</f>
        <v>CPV</v>
      </c>
      <c r="C368" s="22">
        <v>2023</v>
      </c>
      <c r="D368" t="s">
        <v>110</v>
      </c>
      <c r="E368" t="s">
        <v>129</v>
      </c>
      <c r="F368" t="str">
        <f>VLOOKUP(G368,PC!B:D,2,FALSE)</f>
        <v>SOBREMESA</v>
      </c>
      <c r="G368" s="4" t="s">
        <v>75</v>
      </c>
      <c r="H368" s="1">
        <v>750.66</v>
      </c>
    </row>
    <row r="369" spans="2:8" x14ac:dyDescent="0.2">
      <c r="B369" t="str">
        <f>VLOOKUP(G369,PC!B:D,3,FALSE)</f>
        <v>CPV</v>
      </c>
      <c r="C369" s="22">
        <v>2023</v>
      </c>
      <c r="D369" t="s">
        <v>110</v>
      </c>
      <c r="E369" t="s">
        <v>5</v>
      </c>
      <c r="F369" t="str">
        <f>VLOOKUP(G369,PC!B:D,2,FALSE)</f>
        <v>COMIDA</v>
      </c>
      <c r="G369" s="4" t="s">
        <v>18</v>
      </c>
      <c r="H369" s="1">
        <v>210.45</v>
      </c>
    </row>
    <row r="370" spans="2:8" x14ac:dyDescent="0.2">
      <c r="B370" t="str">
        <f>VLOOKUP(G370,PC!B:D,3,FALSE)</f>
        <v>CPV</v>
      </c>
      <c r="C370" s="22">
        <v>2023</v>
      </c>
      <c r="D370" t="s">
        <v>110</v>
      </c>
      <c r="E370" t="s">
        <v>27</v>
      </c>
      <c r="F370" t="str">
        <f>VLOOKUP(G370,PC!B:D,2,FALSE)</f>
        <v>COMIDA</v>
      </c>
      <c r="G370" s="4" t="s">
        <v>12</v>
      </c>
      <c r="H370" s="1">
        <v>188.28</v>
      </c>
    </row>
    <row r="371" spans="2:8" x14ac:dyDescent="0.2">
      <c r="B371" t="str">
        <f>VLOOKUP(G371,PC!B:D,3,FALSE)</f>
        <v>CPV</v>
      </c>
      <c r="C371" s="22">
        <v>2023</v>
      </c>
      <c r="D371" t="s">
        <v>110</v>
      </c>
      <c r="E371" t="s">
        <v>14</v>
      </c>
      <c r="F371" t="str">
        <f>VLOOKUP(G371,PC!B:D,2,FALSE)</f>
        <v>BEBIDAS</v>
      </c>
      <c r="G371" s="4" t="s">
        <v>46</v>
      </c>
      <c r="H371" s="1">
        <f>(4*17.31)+13.98+29.54</f>
        <v>112.75999999999999</v>
      </c>
    </row>
    <row r="372" spans="2:8" x14ac:dyDescent="0.2">
      <c r="B372" t="str">
        <f>VLOOKUP(G372,PC!B:D,3,FALSE)</f>
        <v>CPV</v>
      </c>
      <c r="C372" s="22">
        <v>2023</v>
      </c>
      <c r="D372" t="s">
        <v>110</v>
      </c>
      <c r="E372" t="s">
        <v>14</v>
      </c>
      <c r="F372" t="str">
        <f>VLOOKUP(G372,PC!B:D,2,FALSE)</f>
        <v>BEBIDAS</v>
      </c>
      <c r="G372" s="4" t="s">
        <v>25</v>
      </c>
      <c r="H372" s="1">
        <f>796.15-H371</f>
        <v>683.39</v>
      </c>
    </row>
    <row r="373" spans="2:8" x14ac:dyDescent="0.2">
      <c r="B373" t="str">
        <f>VLOOKUP(G373,PC!B:D,3,FALSE)</f>
        <v>CPV</v>
      </c>
      <c r="C373" s="22">
        <v>2023</v>
      </c>
      <c r="D373" t="s">
        <v>110</v>
      </c>
      <c r="E373" t="s">
        <v>21</v>
      </c>
      <c r="F373" t="str">
        <f>VLOOKUP(G373,PC!B:D,2,FALSE)</f>
        <v>SOBREMESA</v>
      </c>
      <c r="G373" s="4" t="s">
        <v>23</v>
      </c>
      <c r="H373" s="1">
        <v>101.83</v>
      </c>
    </row>
    <row r="374" spans="2:8" x14ac:dyDescent="0.2">
      <c r="B374" t="str">
        <f>VLOOKUP(G374,PC!B:D,3,FALSE)</f>
        <v>CPV</v>
      </c>
      <c r="C374" s="22">
        <v>2023</v>
      </c>
      <c r="D374" t="s">
        <v>110</v>
      </c>
      <c r="E374" t="s">
        <v>21</v>
      </c>
      <c r="F374" t="str">
        <f>VLOOKUP(G374,PC!B:D,2,FALSE)</f>
        <v>OUTROS</v>
      </c>
      <c r="G374" s="4" t="s">
        <v>37</v>
      </c>
      <c r="H374" s="1">
        <v>24.18</v>
      </c>
    </row>
    <row r="375" spans="2:8" x14ac:dyDescent="0.2">
      <c r="B375" t="str">
        <f>VLOOKUP(G375,PC!B:D,3,FALSE)</f>
        <v>CPV</v>
      </c>
      <c r="C375" s="22">
        <v>2023</v>
      </c>
      <c r="D375" t="s">
        <v>110</v>
      </c>
      <c r="E375" t="s">
        <v>14</v>
      </c>
      <c r="F375" t="str">
        <f>VLOOKUP(G375,PC!B:D,2,FALSE)</f>
        <v>BEBIDAS</v>
      </c>
      <c r="G375" s="4" t="s">
        <v>41</v>
      </c>
      <c r="H375" s="1">
        <v>130.08000000000001</v>
      </c>
    </row>
    <row r="376" spans="2:8" x14ac:dyDescent="0.2">
      <c r="B376" t="str">
        <f>VLOOKUP(G376,PC!B:D,3,FALSE)</f>
        <v>CPV</v>
      </c>
      <c r="C376" s="22">
        <v>2023</v>
      </c>
      <c r="D376" t="s">
        <v>110</v>
      </c>
      <c r="E376" t="s">
        <v>14</v>
      </c>
      <c r="F376" t="str">
        <f>VLOOKUP(G376,PC!B:D,2,FALSE)</f>
        <v>BEBIDAS</v>
      </c>
      <c r="G376" s="4" t="s">
        <v>26</v>
      </c>
      <c r="H376" s="1">
        <f>394.71</f>
        <v>394.71</v>
      </c>
    </row>
    <row r="377" spans="2:8" x14ac:dyDescent="0.2">
      <c r="B377" t="str">
        <f>VLOOKUP(G377,PC!B:D,3,FALSE)</f>
        <v>CPV</v>
      </c>
      <c r="C377" s="22">
        <v>2023</v>
      </c>
      <c r="D377" t="s">
        <v>110</v>
      </c>
      <c r="E377" t="s">
        <v>14</v>
      </c>
      <c r="F377" t="str">
        <f>VLOOKUP(G377,PC!B:D,2,FALSE)</f>
        <v>BEBIDAS</v>
      </c>
      <c r="G377" s="4" t="s">
        <v>25</v>
      </c>
      <c r="H377" s="1">
        <v>63.93</v>
      </c>
    </row>
    <row r="378" spans="2:8" x14ac:dyDescent="0.2">
      <c r="B378" t="str">
        <f>VLOOKUP(G378,PC!B:D,3,FALSE)</f>
        <v>CPV</v>
      </c>
      <c r="C378" s="22">
        <v>2023</v>
      </c>
      <c r="D378" t="s">
        <v>110</v>
      </c>
      <c r="E378" t="s">
        <v>14</v>
      </c>
      <c r="F378" t="str">
        <f>VLOOKUP(G378,PC!B:D,2,FALSE)</f>
        <v>BEBIDAS</v>
      </c>
      <c r="G378" s="4" t="s">
        <v>46</v>
      </c>
      <c r="H378" s="1">
        <f>(3*29.79)+89.36</f>
        <v>178.73000000000002</v>
      </c>
    </row>
    <row r="379" spans="2:8" x14ac:dyDescent="0.2">
      <c r="B379" t="str">
        <f>VLOOKUP(G379,PC!B:D,3,FALSE)</f>
        <v>CPV</v>
      </c>
      <c r="C379" s="22">
        <v>2023</v>
      </c>
      <c r="D379" t="s">
        <v>110</v>
      </c>
      <c r="E379" t="s">
        <v>14</v>
      </c>
      <c r="F379" t="str">
        <f>VLOOKUP(G379,PC!B:D,2,FALSE)</f>
        <v>BEBIDAS</v>
      </c>
      <c r="G379" s="4" t="s">
        <v>25</v>
      </c>
      <c r="H379" s="1">
        <f>1896.6-H378</f>
        <v>1717.87</v>
      </c>
    </row>
    <row r="380" spans="2:8" x14ac:dyDescent="0.2">
      <c r="B380" t="str">
        <f>VLOOKUP(G380,PC!B:D,3,FALSE)</f>
        <v>CPV</v>
      </c>
      <c r="C380" s="22">
        <v>2023</v>
      </c>
      <c r="D380" t="s">
        <v>110</v>
      </c>
      <c r="E380" t="s">
        <v>14</v>
      </c>
      <c r="F380" t="str">
        <f>VLOOKUP(G380,PC!B:D,2,FALSE)</f>
        <v>BEBIDAS</v>
      </c>
      <c r="G380" s="4" t="s">
        <v>26</v>
      </c>
      <c r="H380" s="1">
        <f>1083.18+983.18</f>
        <v>2066.36</v>
      </c>
    </row>
    <row r="381" spans="2:8" x14ac:dyDescent="0.2">
      <c r="B381" t="str">
        <f>VLOOKUP(G381,PC!B:D,3,FALSE)</f>
        <v>CPV</v>
      </c>
      <c r="C381" s="22">
        <v>2023</v>
      </c>
      <c r="D381" t="s">
        <v>110</v>
      </c>
      <c r="E381" t="s">
        <v>14</v>
      </c>
      <c r="F381" t="str">
        <f>VLOOKUP(G381,PC!B:D,2,FALSE)</f>
        <v>BEBIDAS</v>
      </c>
      <c r="G381" s="4" t="s">
        <v>46</v>
      </c>
      <c r="H381" s="1">
        <v>13.98</v>
      </c>
    </row>
    <row r="382" spans="2:8" x14ac:dyDescent="0.2">
      <c r="B382" t="str">
        <f>VLOOKUP(G382,PC!B:D,3,FALSE)</f>
        <v>CPV</v>
      </c>
      <c r="C382" s="22">
        <v>2023</v>
      </c>
      <c r="D382" t="s">
        <v>110</v>
      </c>
      <c r="E382" t="s">
        <v>28</v>
      </c>
      <c r="F382" t="str">
        <f>VLOOKUP(G382,PC!B:D,2,FALSE)</f>
        <v>BEBIDAS</v>
      </c>
      <c r="G382" s="4" t="s">
        <v>26</v>
      </c>
      <c r="H382" s="1">
        <v>572.87</v>
      </c>
    </row>
    <row r="383" spans="2:8" x14ac:dyDescent="0.2">
      <c r="B383" t="str">
        <f>VLOOKUP(G383,PC!B:D,3,FALSE)</f>
        <v>CPV</v>
      </c>
      <c r="C383" s="22">
        <v>2023</v>
      </c>
      <c r="D383" t="s">
        <v>110</v>
      </c>
      <c r="E383" t="s">
        <v>165</v>
      </c>
      <c r="F383" t="str">
        <f>VLOOKUP(G383,PC!B:D,2,FALSE)</f>
        <v>COMIDA</v>
      </c>
      <c r="G383" s="4" t="s">
        <v>33</v>
      </c>
      <c r="H383" s="1">
        <v>870.26</v>
      </c>
    </row>
    <row r="384" spans="2:8" x14ac:dyDescent="0.2">
      <c r="B384" t="str">
        <f>VLOOKUP(G384,PC!B:D,3,FALSE)</f>
        <v>CPV</v>
      </c>
      <c r="C384" s="22">
        <v>2023</v>
      </c>
      <c r="D384" t="s">
        <v>110</v>
      </c>
      <c r="E384" t="s">
        <v>28</v>
      </c>
      <c r="F384" t="str">
        <f>VLOOKUP(G384,PC!B:D,2,FALSE)</f>
        <v>BEBIDAS</v>
      </c>
      <c r="G384" s="4" t="s">
        <v>25</v>
      </c>
      <c r="H384" s="1">
        <v>119.87</v>
      </c>
    </row>
    <row r="385" spans="2:8" x14ac:dyDescent="0.2">
      <c r="B385" t="str">
        <f>VLOOKUP(G385,PC!B:D,3,FALSE)</f>
        <v>CPV</v>
      </c>
      <c r="C385" s="22">
        <v>2023</v>
      </c>
      <c r="D385" t="s">
        <v>110</v>
      </c>
      <c r="E385" t="s">
        <v>28</v>
      </c>
      <c r="F385" t="str">
        <f>VLOOKUP(G385,PC!B:D,2,FALSE)</f>
        <v>BEBIDAS</v>
      </c>
      <c r="G385" s="4" t="s">
        <v>26</v>
      </c>
      <c r="H385" s="1">
        <v>5867.44</v>
      </c>
    </row>
    <row r="386" spans="2:8" x14ac:dyDescent="0.2">
      <c r="B386" t="str">
        <f>VLOOKUP(G386,PC!B:D,3,FALSE)</f>
        <v>CPV</v>
      </c>
      <c r="C386" s="22">
        <v>2023</v>
      </c>
      <c r="D386" t="s">
        <v>110</v>
      </c>
      <c r="E386" t="s">
        <v>35</v>
      </c>
      <c r="F386" t="str">
        <f>VLOOKUP(G386,PC!B:D,2,FALSE)</f>
        <v>OUTROS</v>
      </c>
      <c r="G386" s="4" t="s">
        <v>37</v>
      </c>
      <c r="H386" s="1">
        <v>566.94000000000005</v>
      </c>
    </row>
    <row r="387" spans="2:8" x14ac:dyDescent="0.2">
      <c r="B387" t="str">
        <f>VLOOKUP(G387,PC!B:D,3,FALSE)</f>
        <v>CPV</v>
      </c>
      <c r="C387" s="22">
        <v>2023</v>
      </c>
      <c r="D387" t="s">
        <v>110</v>
      </c>
      <c r="E387" t="s">
        <v>165</v>
      </c>
      <c r="F387" t="str">
        <f>VLOOKUP(G387,PC!B:D,2,FALSE)</f>
        <v>COMIDA</v>
      </c>
      <c r="G387" s="4" t="s">
        <v>33</v>
      </c>
      <c r="H387" s="1">
        <v>830.29</v>
      </c>
    </row>
    <row r="388" spans="2:8" x14ac:dyDescent="0.2">
      <c r="B388" t="str">
        <f>VLOOKUP(G388,PC!B:D,3,FALSE)</f>
        <v>CPV</v>
      </c>
      <c r="C388" s="22">
        <v>2023</v>
      </c>
      <c r="D388" t="s">
        <v>110</v>
      </c>
      <c r="E388" t="s">
        <v>14</v>
      </c>
      <c r="F388" t="str">
        <f>VLOOKUP(G388,PC!B:D,2,FALSE)</f>
        <v>BEBIDAS</v>
      </c>
      <c r="G388" s="4" t="s">
        <v>25</v>
      </c>
      <c r="H388" s="1">
        <v>207.48</v>
      </c>
    </row>
    <row r="389" spans="2:8" x14ac:dyDescent="0.2">
      <c r="B389" t="str">
        <f>VLOOKUP(G389,PC!B:D,3,FALSE)</f>
        <v>CPV</v>
      </c>
      <c r="C389" s="22">
        <v>2023</v>
      </c>
      <c r="D389" t="s">
        <v>110</v>
      </c>
      <c r="E389" t="s">
        <v>6</v>
      </c>
      <c r="F389" t="str">
        <f>VLOOKUP(G389,PC!B:D,2,FALSE)</f>
        <v>COMIDA</v>
      </c>
      <c r="G389" s="4" t="s">
        <v>145</v>
      </c>
      <c r="H389" s="1">
        <v>38.700000000000003</v>
      </c>
    </row>
    <row r="390" spans="2:8" x14ac:dyDescent="0.2">
      <c r="B390" t="str">
        <f>VLOOKUP(G390,PC!B:D,3,FALSE)</f>
        <v>CPV</v>
      </c>
      <c r="C390" s="22">
        <v>2023</v>
      </c>
      <c r="D390" t="s">
        <v>110</v>
      </c>
      <c r="E390" t="s">
        <v>166</v>
      </c>
      <c r="F390" t="str">
        <f>VLOOKUP(G390,PC!B:D,2,FALSE)</f>
        <v>OUTROS</v>
      </c>
      <c r="G390" s="4" t="s">
        <v>133</v>
      </c>
      <c r="H390" s="1">
        <v>75.599999999999994</v>
      </c>
    </row>
    <row r="391" spans="2:8" x14ac:dyDescent="0.2">
      <c r="B391" t="str">
        <f>VLOOKUP(G391,PC!B:D,3,FALSE)</f>
        <v>CPV</v>
      </c>
      <c r="C391" s="22">
        <v>2023</v>
      </c>
      <c r="D391" t="s">
        <v>110</v>
      </c>
      <c r="E391" t="s">
        <v>24</v>
      </c>
      <c r="F391" t="str">
        <f>VLOOKUP(G391,PC!B:D,2,FALSE)</f>
        <v>COMIDA</v>
      </c>
      <c r="G391" s="4" t="s">
        <v>33</v>
      </c>
      <c r="H391" s="1">
        <v>200.47</v>
      </c>
    </row>
    <row r="392" spans="2:8" x14ac:dyDescent="0.2">
      <c r="B392" t="str">
        <f>VLOOKUP(G392,PC!B:D,3,FALSE)</f>
        <v>CPV</v>
      </c>
      <c r="C392" s="22">
        <v>2023</v>
      </c>
      <c r="D392" t="s">
        <v>110</v>
      </c>
      <c r="E392" t="s">
        <v>14</v>
      </c>
      <c r="F392" t="str">
        <f>VLOOKUP(G392,PC!B:D,2,FALSE)</f>
        <v>BEBIDAS</v>
      </c>
      <c r="G392" s="4" t="s">
        <v>26</v>
      </c>
      <c r="H392" s="1">
        <v>983.17</v>
      </c>
    </row>
    <row r="393" spans="2:8" x14ac:dyDescent="0.2">
      <c r="B393" t="str">
        <f>VLOOKUP(G393,PC!B:D,3,FALSE)</f>
        <v>CPV</v>
      </c>
      <c r="C393" s="22">
        <v>2023</v>
      </c>
      <c r="D393" t="s">
        <v>110</v>
      </c>
      <c r="E393" t="s">
        <v>14</v>
      </c>
      <c r="F393" t="str">
        <f>VLOOKUP(G393,PC!B:D,2,FALSE)</f>
        <v>BEBIDAS</v>
      </c>
      <c r="G393" s="4" t="s">
        <v>25</v>
      </c>
      <c r="H393" s="1">
        <v>187.87</v>
      </c>
    </row>
    <row r="394" spans="2:8" x14ac:dyDescent="0.2">
      <c r="B394" t="str">
        <f>VLOOKUP(G394,PC!B:D,3,FALSE)</f>
        <v>CPV</v>
      </c>
      <c r="C394" s="22">
        <v>2023</v>
      </c>
      <c r="D394" t="s">
        <v>110</v>
      </c>
      <c r="E394" t="s">
        <v>49</v>
      </c>
      <c r="F394" t="str">
        <f>VLOOKUP(G394,PC!B:D,2,FALSE)</f>
        <v>CIGARRO</v>
      </c>
      <c r="G394" s="4" t="s">
        <v>52</v>
      </c>
      <c r="H394" s="1">
        <v>6893.01</v>
      </c>
    </row>
    <row r="395" spans="2:8" x14ac:dyDescent="0.2">
      <c r="B395" t="str">
        <f>VLOOKUP(G395,PC!B:D,3,FALSE)</f>
        <v>CPV</v>
      </c>
      <c r="C395" s="22">
        <v>2023</v>
      </c>
      <c r="D395" t="s">
        <v>110</v>
      </c>
      <c r="E395" t="s">
        <v>96</v>
      </c>
      <c r="F395" t="str">
        <f>VLOOKUP(G395,PC!B:D,2,FALSE)</f>
        <v>SOBREMESA</v>
      </c>
      <c r="G395" s="4" t="s">
        <v>8</v>
      </c>
      <c r="H395" s="1">
        <v>166.44</v>
      </c>
    </row>
    <row r="396" spans="2:8" x14ac:dyDescent="0.2">
      <c r="B396" t="str">
        <f>VLOOKUP(G396,PC!B:D,3,FALSE)</f>
        <v>CPV</v>
      </c>
      <c r="C396" s="22">
        <v>2023</v>
      </c>
      <c r="D396" t="s">
        <v>110</v>
      </c>
      <c r="E396" t="s">
        <v>40</v>
      </c>
      <c r="F396" t="str">
        <f>VLOOKUP(G396,PC!B:D,2,FALSE)</f>
        <v>BEBIDAS</v>
      </c>
      <c r="G396" s="4" t="s">
        <v>26</v>
      </c>
      <c r="H396" s="1">
        <v>1210</v>
      </c>
    </row>
    <row r="397" spans="2:8" x14ac:dyDescent="0.2">
      <c r="B397" t="str">
        <f>VLOOKUP(G397,PC!B:D,3,FALSE)</f>
        <v>CPV</v>
      </c>
      <c r="C397" s="22">
        <v>2023</v>
      </c>
      <c r="D397" t="s">
        <v>110</v>
      </c>
      <c r="E397" t="s">
        <v>89</v>
      </c>
      <c r="F397" t="str">
        <f>VLOOKUP(G397,PC!B:D,2,FALSE)</f>
        <v>BEBIDAS</v>
      </c>
      <c r="G397" s="4" t="s">
        <v>92</v>
      </c>
      <c r="H397" s="1">
        <v>191.4</v>
      </c>
    </row>
    <row r="398" spans="2:8" x14ac:dyDescent="0.2">
      <c r="B398" t="str">
        <f>VLOOKUP(G398,PC!B:D,3,FALSE)</f>
        <v>CPV</v>
      </c>
      <c r="C398" s="22">
        <v>2023</v>
      </c>
      <c r="D398" t="s">
        <v>110</v>
      </c>
      <c r="E398" t="s">
        <v>77</v>
      </c>
      <c r="F398" t="str">
        <f>VLOOKUP(G398,PC!B:D,2,FALSE)</f>
        <v>OUTROS</v>
      </c>
      <c r="G398" s="4" t="s">
        <v>37</v>
      </c>
      <c r="H398" s="1">
        <v>404.51</v>
      </c>
    </row>
    <row r="399" spans="2:8" x14ac:dyDescent="0.2">
      <c r="B399" t="str">
        <f>VLOOKUP(G399,PC!B:D,3,FALSE)</f>
        <v>CPV</v>
      </c>
      <c r="C399" s="22">
        <v>2023</v>
      </c>
      <c r="D399" t="s">
        <v>110</v>
      </c>
      <c r="E399" t="s">
        <v>159</v>
      </c>
      <c r="F399" t="str">
        <f>VLOOKUP(G399,PC!B:D,2,FALSE)</f>
        <v>COMIDA</v>
      </c>
      <c r="G399" s="4" t="s">
        <v>145</v>
      </c>
      <c r="H399" s="1">
        <v>237</v>
      </c>
    </row>
    <row r="400" spans="2:8" x14ac:dyDescent="0.2">
      <c r="B400" t="str">
        <f>VLOOKUP(G400,PC!B:D,3,FALSE)</f>
        <v>CPV</v>
      </c>
      <c r="C400" s="22">
        <v>2023</v>
      </c>
      <c r="D400" t="s">
        <v>110</v>
      </c>
      <c r="E400" t="s">
        <v>159</v>
      </c>
      <c r="F400" t="str">
        <f>VLOOKUP(G400,PC!B:D,2,FALSE)</f>
        <v>SOBREMESA</v>
      </c>
      <c r="G400" s="4" t="s">
        <v>8</v>
      </c>
      <c r="H400" s="1">
        <v>29.41</v>
      </c>
    </row>
    <row r="401" spans="2:8" x14ac:dyDescent="0.2">
      <c r="B401" t="str">
        <f>VLOOKUP(G401,PC!B:D,3,FALSE)</f>
        <v>CPV</v>
      </c>
      <c r="C401" s="22">
        <v>2023</v>
      </c>
      <c r="D401" t="s">
        <v>110</v>
      </c>
      <c r="E401" t="s">
        <v>129</v>
      </c>
      <c r="F401" t="str">
        <f>VLOOKUP(G401,PC!B:D,2,FALSE)</f>
        <v>COMIDA</v>
      </c>
      <c r="G401" s="4" t="s">
        <v>12</v>
      </c>
      <c r="H401" s="1">
        <v>122</v>
      </c>
    </row>
    <row r="402" spans="2:8" x14ac:dyDescent="0.2">
      <c r="B402" t="str">
        <f>VLOOKUP(G402,PC!B:D,3,FALSE)</f>
        <v>CPV</v>
      </c>
      <c r="C402" s="22">
        <v>2023</v>
      </c>
      <c r="D402" t="s">
        <v>110</v>
      </c>
      <c r="E402" t="s">
        <v>129</v>
      </c>
      <c r="F402" t="str">
        <f>VLOOKUP(G402,PC!B:D,2,FALSE)</f>
        <v>COMIDA</v>
      </c>
      <c r="G402" s="4" t="s">
        <v>145</v>
      </c>
      <c r="H402" s="1">
        <v>22</v>
      </c>
    </row>
    <row r="403" spans="2:8" x14ac:dyDescent="0.2">
      <c r="B403" t="e">
        <f>VLOOKUP(G403,PC!B:D,3,FALSE)</f>
        <v>#N/A</v>
      </c>
      <c r="C403" s="22">
        <v>2023</v>
      </c>
      <c r="D403" t="s">
        <v>110</v>
      </c>
      <c r="E403" t="s">
        <v>129</v>
      </c>
      <c r="F403" t="e">
        <f>VLOOKUP(G403,PC!B:D,2,FALSE)</f>
        <v>#N/A</v>
      </c>
      <c r="G403" s="4" t="s">
        <v>167</v>
      </c>
      <c r="H403" s="1">
        <v>130</v>
      </c>
    </row>
    <row r="404" spans="2:8" x14ac:dyDescent="0.2">
      <c r="B404" t="str">
        <f>VLOOKUP(G404,PC!B:D,3,FALSE)</f>
        <v>CPV</v>
      </c>
      <c r="C404" s="22">
        <v>2023</v>
      </c>
      <c r="D404" t="s">
        <v>110</v>
      </c>
      <c r="E404" t="s">
        <v>14</v>
      </c>
      <c r="F404" t="str">
        <f>VLOOKUP(G404,PC!B:D,2,FALSE)</f>
        <v>BEBIDAS</v>
      </c>
      <c r="G404" s="4" t="s">
        <v>25</v>
      </c>
      <c r="H404" s="1">
        <v>905.65</v>
      </c>
    </row>
    <row r="405" spans="2:8" x14ac:dyDescent="0.2">
      <c r="B405" t="str">
        <f>VLOOKUP(G405,PC!B:D,3,FALSE)</f>
        <v>CPV</v>
      </c>
      <c r="C405" s="22">
        <v>2023</v>
      </c>
      <c r="D405" t="s">
        <v>110</v>
      </c>
      <c r="E405" t="s">
        <v>129</v>
      </c>
      <c r="F405" t="str">
        <f>VLOOKUP(G405,PC!B:D,2,FALSE)</f>
        <v>COMIDA</v>
      </c>
      <c r="G405" s="4" t="s">
        <v>12</v>
      </c>
      <c r="H405" s="1">
        <v>500</v>
      </c>
    </row>
    <row r="406" spans="2:8" x14ac:dyDescent="0.2">
      <c r="B406" t="str">
        <f>VLOOKUP(G406,PC!B:D,3,FALSE)</f>
        <v>CPV</v>
      </c>
      <c r="C406" s="22">
        <v>2023</v>
      </c>
      <c r="D406" t="s">
        <v>110</v>
      </c>
      <c r="E406" t="s">
        <v>129</v>
      </c>
      <c r="F406" t="str">
        <f>VLOOKUP(G406,PC!B:D,2,FALSE)</f>
        <v>COMIDA</v>
      </c>
      <c r="G406" s="4" t="s">
        <v>12</v>
      </c>
      <c r="H406" s="1">
        <v>57</v>
      </c>
    </row>
    <row r="407" spans="2:8" x14ac:dyDescent="0.2">
      <c r="B407" t="str">
        <f>VLOOKUP(G407,PC!B:D,3,FALSE)</f>
        <v>CPV</v>
      </c>
      <c r="C407" s="22">
        <v>2023</v>
      </c>
      <c r="D407" t="s">
        <v>110</v>
      </c>
      <c r="E407" t="s">
        <v>129</v>
      </c>
      <c r="F407" t="str">
        <f>VLOOKUP(G407,PC!B:D,2,FALSE)</f>
        <v>LIMPEZA</v>
      </c>
      <c r="G407" s="4" t="s">
        <v>43</v>
      </c>
      <c r="H407" s="1">
        <v>144.80000000000001</v>
      </c>
    </row>
    <row r="408" spans="2:8" x14ac:dyDescent="0.2">
      <c r="B408" t="str">
        <f>VLOOKUP(G408,PC!B:D,3,FALSE)</f>
        <v>CPV</v>
      </c>
      <c r="C408" s="22">
        <v>2023</v>
      </c>
      <c r="D408" t="s">
        <v>110</v>
      </c>
      <c r="E408" t="s">
        <v>129</v>
      </c>
      <c r="F408" t="str">
        <f>VLOOKUP(G408,PC!B:D,2,FALSE)</f>
        <v>BEBIDAS</v>
      </c>
      <c r="G408" s="4" t="s">
        <v>48</v>
      </c>
      <c r="H408" s="1">
        <f>300.8-H407</f>
        <v>156</v>
      </c>
    </row>
    <row r="409" spans="2:8" x14ac:dyDescent="0.2">
      <c r="B409" t="str">
        <f>VLOOKUP(G409,PC!B:D,3,FALSE)</f>
        <v>CPV</v>
      </c>
      <c r="C409" s="22">
        <v>2023</v>
      </c>
      <c r="D409" t="s">
        <v>110</v>
      </c>
      <c r="E409" t="s">
        <v>129</v>
      </c>
      <c r="F409" t="str">
        <f>VLOOKUP(G409,PC!B:D,2,FALSE)</f>
        <v>BEBIDAS</v>
      </c>
      <c r="G409" s="4" t="s">
        <v>48</v>
      </c>
      <c r="H409" s="1">
        <f>263</f>
        <v>263</v>
      </c>
    </row>
    <row r="410" spans="2:8" x14ac:dyDescent="0.2">
      <c r="B410" t="str">
        <f>VLOOKUP(G410,PC!B:D,3,FALSE)</f>
        <v>CPV</v>
      </c>
      <c r="C410" s="22">
        <v>2023</v>
      </c>
      <c r="D410" t="s">
        <v>110</v>
      </c>
      <c r="E410" t="s">
        <v>129</v>
      </c>
      <c r="F410" t="str">
        <f>VLOOKUP(G410,PC!B:D,2,FALSE)</f>
        <v>COMIDA</v>
      </c>
      <c r="G410" s="4" t="s">
        <v>145</v>
      </c>
      <c r="H410" s="1">
        <v>26.4</v>
      </c>
    </row>
    <row r="411" spans="2:8" x14ac:dyDescent="0.2">
      <c r="B411" t="str">
        <f>VLOOKUP(G411,PC!B:D,3,FALSE)</f>
        <v>CPV</v>
      </c>
      <c r="C411" s="22">
        <v>2023</v>
      </c>
      <c r="D411" t="s">
        <v>110</v>
      </c>
      <c r="E411" t="s">
        <v>28</v>
      </c>
      <c r="F411" t="str">
        <f>VLOOKUP(G411,PC!B:D,2,FALSE)</f>
        <v>BEBIDAS</v>
      </c>
      <c r="G411" s="4" t="s">
        <v>26</v>
      </c>
      <c r="H411" s="1">
        <v>659</v>
      </c>
    </row>
    <row r="412" spans="2:8" x14ac:dyDescent="0.2">
      <c r="B412" t="str">
        <f>VLOOKUP(G412,PC!B:D,3,FALSE)</f>
        <v>CPV</v>
      </c>
      <c r="C412" s="22">
        <v>2023</v>
      </c>
      <c r="D412" t="s">
        <v>110</v>
      </c>
      <c r="E412" t="s">
        <v>28</v>
      </c>
      <c r="F412" t="str">
        <f>VLOOKUP(G412,PC!B:D,2,FALSE)</f>
        <v>BEBIDAS</v>
      </c>
      <c r="G412" s="4" t="s">
        <v>26</v>
      </c>
      <c r="H412" s="1">
        <v>807.6</v>
      </c>
    </row>
    <row r="413" spans="2:8" x14ac:dyDescent="0.2">
      <c r="B413" t="str">
        <f>VLOOKUP(G413,PC!B:D,3,FALSE)</f>
        <v>CPV</v>
      </c>
      <c r="C413" s="22">
        <v>2023</v>
      </c>
      <c r="D413" t="s">
        <v>110</v>
      </c>
      <c r="E413" t="s">
        <v>16</v>
      </c>
      <c r="F413" t="str">
        <f>VLOOKUP(G413,PC!B:D,2,FALSE)</f>
        <v>COMIDA</v>
      </c>
      <c r="G413" s="4" t="s">
        <v>12</v>
      </c>
      <c r="H413" s="1">
        <v>541.99</v>
      </c>
    </row>
    <row r="414" spans="2:8" x14ac:dyDescent="0.2">
      <c r="B414" t="str">
        <f>VLOOKUP(G414,PC!B:D,3,FALSE)</f>
        <v>CPV</v>
      </c>
      <c r="C414" s="22">
        <v>2023</v>
      </c>
      <c r="D414" t="s">
        <v>110</v>
      </c>
      <c r="E414" t="s">
        <v>49</v>
      </c>
      <c r="F414" t="str">
        <f>VLOOKUP(G414,PC!B:D,2,FALSE)</f>
        <v>CIGARRO</v>
      </c>
      <c r="G414" s="4" t="s">
        <v>52</v>
      </c>
      <c r="H414" s="1">
        <v>6605.11</v>
      </c>
    </row>
    <row r="415" spans="2:8" x14ac:dyDescent="0.2">
      <c r="B415" t="str">
        <f>VLOOKUP(G415,PC!B:D,3,FALSE)</f>
        <v>CPV</v>
      </c>
      <c r="C415" s="22">
        <v>2023</v>
      </c>
      <c r="D415" t="s">
        <v>110</v>
      </c>
      <c r="E415" t="s">
        <v>24</v>
      </c>
      <c r="F415" t="str">
        <f>VLOOKUP(G415,PC!B:D,2,FALSE)</f>
        <v>COMIDA</v>
      </c>
      <c r="G415" s="4" t="s">
        <v>33</v>
      </c>
      <c r="H415" s="1">
        <v>680.64</v>
      </c>
    </row>
    <row r="416" spans="2:8" x14ac:dyDescent="0.2">
      <c r="B416" t="str">
        <f>VLOOKUP(G416,PC!B:D,3,FALSE)</f>
        <v>CPV</v>
      </c>
      <c r="C416" s="22">
        <v>2023</v>
      </c>
      <c r="D416" t="s">
        <v>110</v>
      </c>
      <c r="E416" t="s">
        <v>28</v>
      </c>
      <c r="F416" t="str">
        <f>VLOOKUP(G416,PC!B:D,2,FALSE)</f>
        <v>BEBIDAS</v>
      </c>
      <c r="G416" s="4" t="s">
        <v>26</v>
      </c>
      <c r="H416" s="1">
        <v>1307.2</v>
      </c>
    </row>
    <row r="417" spans="2:8" x14ac:dyDescent="0.2">
      <c r="B417" t="str">
        <f>VLOOKUP(G417,PC!B:D,3,FALSE)</f>
        <v>CPV</v>
      </c>
      <c r="C417" s="22">
        <v>2023</v>
      </c>
      <c r="D417" t="s">
        <v>110</v>
      </c>
      <c r="E417" t="s">
        <v>101</v>
      </c>
      <c r="F417" t="str">
        <f>VLOOKUP(G417,PC!B:D,2,FALSE)</f>
        <v>COMIDA</v>
      </c>
      <c r="G417" s="4" t="s">
        <v>34</v>
      </c>
      <c r="H417" s="1">
        <v>260.7</v>
      </c>
    </row>
    <row r="418" spans="2:8" x14ac:dyDescent="0.2">
      <c r="B418" t="str">
        <f>VLOOKUP(G418,PC!B:D,3,FALSE)</f>
        <v>CPV</v>
      </c>
      <c r="C418" s="22">
        <v>2023</v>
      </c>
      <c r="D418" t="s">
        <v>110</v>
      </c>
      <c r="E418" t="s">
        <v>165</v>
      </c>
      <c r="F418" t="str">
        <f>VLOOKUP(G418,PC!B:D,2,FALSE)</f>
        <v>COMIDA</v>
      </c>
      <c r="G418" s="4" t="s">
        <v>33</v>
      </c>
      <c r="H418" s="1">
        <v>229.78</v>
      </c>
    </row>
    <row r="419" spans="2:8" x14ac:dyDescent="0.2">
      <c r="B419" t="str">
        <f>VLOOKUP(G419,PC!B:D,3,FALSE)</f>
        <v>CPV</v>
      </c>
      <c r="C419" s="22">
        <v>2023</v>
      </c>
      <c r="D419" t="s">
        <v>110</v>
      </c>
      <c r="E419" t="s">
        <v>35</v>
      </c>
      <c r="F419" t="str">
        <f>VLOOKUP(G419,PC!B:D,2,FALSE)</f>
        <v>OUTROS</v>
      </c>
      <c r="G419" s="4" t="s">
        <v>37</v>
      </c>
      <c r="H419" s="1">
        <v>887.39</v>
      </c>
    </row>
    <row r="420" spans="2:8" x14ac:dyDescent="0.2">
      <c r="B420" t="str">
        <f>VLOOKUP(G420,PC!B:D,3,FALSE)</f>
        <v>CPV</v>
      </c>
      <c r="C420" s="22">
        <v>2023</v>
      </c>
      <c r="D420" t="s">
        <v>110</v>
      </c>
      <c r="E420" t="s">
        <v>6</v>
      </c>
      <c r="F420" t="str">
        <f>VLOOKUP(G420,PC!B:D,2,FALSE)</f>
        <v>COMIDA</v>
      </c>
      <c r="G420" s="4" t="s">
        <v>145</v>
      </c>
      <c r="H420" s="1">
        <v>56.97</v>
      </c>
    </row>
    <row r="421" spans="2:8" x14ac:dyDescent="0.2">
      <c r="B421" t="str">
        <f>VLOOKUP(G421,PC!B:D,3,FALSE)</f>
        <v>CPV</v>
      </c>
      <c r="C421" s="22">
        <v>2023</v>
      </c>
      <c r="D421" t="s">
        <v>110</v>
      </c>
      <c r="E421" t="s">
        <v>159</v>
      </c>
      <c r="F421" t="str">
        <f>VLOOKUP(G421,PC!B:D,2,FALSE)</f>
        <v>LIMPEZA</v>
      </c>
      <c r="G421" s="4" t="s">
        <v>43</v>
      </c>
      <c r="H421" s="1">
        <f>30.24+59.04</f>
        <v>89.28</v>
      </c>
    </row>
    <row r="422" spans="2:8" x14ac:dyDescent="0.2">
      <c r="B422" t="str">
        <f>VLOOKUP(G422,PC!B:D,3,FALSE)</f>
        <v>CPV</v>
      </c>
      <c r="C422" s="22">
        <v>2023</v>
      </c>
      <c r="D422" t="s">
        <v>110</v>
      </c>
      <c r="E422" t="s">
        <v>159</v>
      </c>
      <c r="F422" t="str">
        <f>VLOOKUP(G422,PC!B:D,2,FALSE)</f>
        <v>OUTROS</v>
      </c>
      <c r="G422" s="4" t="s">
        <v>37</v>
      </c>
      <c r="H422" s="1">
        <f>505.14-H421</f>
        <v>415.86</v>
      </c>
    </row>
    <row r="423" spans="2:8" x14ac:dyDescent="0.2">
      <c r="B423" t="str">
        <f>VLOOKUP(G423,PC!B:D,3,FALSE)</f>
        <v>CPV</v>
      </c>
      <c r="C423" s="22">
        <v>2023</v>
      </c>
      <c r="D423" t="s">
        <v>110</v>
      </c>
      <c r="E423" t="s">
        <v>40</v>
      </c>
      <c r="F423" t="str">
        <f>VLOOKUP(G423,PC!B:D,2,FALSE)</f>
        <v>BEBIDAS</v>
      </c>
      <c r="G423" s="4" t="s">
        <v>26</v>
      </c>
      <c r="H423" s="1">
        <v>431.2</v>
      </c>
    </row>
    <row r="424" spans="2:8" x14ac:dyDescent="0.2">
      <c r="B424" t="str">
        <f>VLOOKUP(G424,PC!B:D,3,FALSE)</f>
        <v>CPV</v>
      </c>
      <c r="C424" s="22">
        <v>2023</v>
      </c>
      <c r="D424" t="s">
        <v>110</v>
      </c>
      <c r="E424" t="s">
        <v>27</v>
      </c>
      <c r="F424" t="str">
        <f>VLOOKUP(G424,PC!B:D,2,FALSE)</f>
        <v>COMIDA</v>
      </c>
      <c r="G424" s="4" t="s">
        <v>12</v>
      </c>
      <c r="H424" s="1">
        <v>198.53</v>
      </c>
    </row>
    <row r="425" spans="2:8" x14ac:dyDescent="0.2">
      <c r="B425" t="str">
        <f>VLOOKUP(G425,PC!B:D,3,FALSE)</f>
        <v>CPV</v>
      </c>
      <c r="C425" s="22">
        <v>2023</v>
      </c>
      <c r="D425" t="s">
        <v>110</v>
      </c>
      <c r="E425" t="s">
        <v>100</v>
      </c>
      <c r="F425" t="str">
        <f>VLOOKUP(G425,PC!B:D,2,FALSE)</f>
        <v>SOBREMESA</v>
      </c>
      <c r="G425" s="4" t="s">
        <v>8</v>
      </c>
      <c r="H425" s="1">
        <v>112.76</v>
      </c>
    </row>
    <row r="426" spans="2:8" x14ac:dyDescent="0.2">
      <c r="B426" t="str">
        <f>VLOOKUP(G426,PC!B:D,3,FALSE)</f>
        <v>CPV</v>
      </c>
      <c r="C426" s="22">
        <v>2023</v>
      </c>
      <c r="D426" t="s">
        <v>110</v>
      </c>
      <c r="E426" t="s">
        <v>30</v>
      </c>
      <c r="F426" t="str">
        <f>VLOOKUP(G426,PC!B:D,2,FALSE)</f>
        <v>SOBREMESA</v>
      </c>
      <c r="G426" s="4" t="s">
        <v>23</v>
      </c>
      <c r="H426" s="1">
        <v>127.28</v>
      </c>
    </row>
    <row r="427" spans="2:8" x14ac:dyDescent="0.2">
      <c r="B427" t="str">
        <f>VLOOKUP(G427,PC!B:D,3,FALSE)</f>
        <v>CPV</v>
      </c>
      <c r="C427" s="22">
        <v>2023</v>
      </c>
      <c r="D427" t="s">
        <v>110</v>
      </c>
      <c r="E427" t="s">
        <v>45</v>
      </c>
      <c r="F427" t="str">
        <f>VLOOKUP(G427,PC!B:D,2,FALSE)</f>
        <v>OUTROS</v>
      </c>
      <c r="G427" s="4" t="s">
        <v>37</v>
      </c>
      <c r="H427" s="1">
        <v>1039.6400000000001</v>
      </c>
    </row>
    <row r="428" spans="2:8" x14ac:dyDescent="0.2">
      <c r="B428" t="str">
        <f>VLOOKUP(G428,PC!B:D,3,FALSE)</f>
        <v>CPV</v>
      </c>
      <c r="C428" s="22">
        <v>2023</v>
      </c>
      <c r="D428" t="s">
        <v>110</v>
      </c>
      <c r="E428" t="s">
        <v>16</v>
      </c>
      <c r="F428" t="str">
        <f>VLOOKUP(G428,PC!B:D,2,FALSE)</f>
        <v>COMIDA</v>
      </c>
      <c r="G428" s="4" t="s">
        <v>12</v>
      </c>
      <c r="H428" s="1">
        <v>207</v>
      </c>
    </row>
    <row r="429" spans="2:8" x14ac:dyDescent="0.2">
      <c r="B429" t="str">
        <f>VLOOKUP(G429,PC!B:D,3,FALSE)</f>
        <v>CPV</v>
      </c>
      <c r="C429" s="22">
        <v>2023</v>
      </c>
      <c r="D429" t="s">
        <v>110</v>
      </c>
      <c r="E429" t="s">
        <v>156</v>
      </c>
      <c r="F429" t="str">
        <f>VLOOKUP(G429,PC!B:D,2,FALSE)</f>
        <v>BEBIDAS</v>
      </c>
      <c r="G429" s="4" t="s">
        <v>26</v>
      </c>
      <c r="H429" s="1">
        <v>215.3</v>
      </c>
    </row>
    <row r="430" spans="2:8" x14ac:dyDescent="0.2">
      <c r="B430" t="str">
        <f>VLOOKUP(G430,PC!B:D,3,FALSE)</f>
        <v>RECEITA</v>
      </c>
      <c r="C430" s="22">
        <v>2023</v>
      </c>
      <c r="D430" t="s">
        <v>110</v>
      </c>
      <c r="E430" t="s">
        <v>156</v>
      </c>
      <c r="F430" t="str">
        <f>VLOOKUP(G430,PC!B:D,2,FALSE)</f>
        <v>RECEITA</v>
      </c>
      <c r="G430" s="4" t="s">
        <v>83</v>
      </c>
      <c r="H430" s="1">
        <v>43.06</v>
      </c>
    </row>
    <row r="431" spans="2:8" x14ac:dyDescent="0.2">
      <c r="B431" t="str">
        <f>VLOOKUP(G431,PC!B:D,3,FALSE)</f>
        <v>CPV</v>
      </c>
      <c r="C431" s="22">
        <v>2023</v>
      </c>
      <c r="D431" t="s">
        <v>110</v>
      </c>
      <c r="E431" t="s">
        <v>28</v>
      </c>
      <c r="F431" t="str">
        <f>VLOOKUP(G431,PC!B:D,2,FALSE)</f>
        <v>BEBIDAS</v>
      </c>
      <c r="G431" s="4" t="s">
        <v>25</v>
      </c>
      <c r="H431" s="1">
        <v>349</v>
      </c>
    </row>
    <row r="432" spans="2:8" x14ac:dyDescent="0.2">
      <c r="B432" t="str">
        <f>VLOOKUP(G432,PC!B:D,3,FALSE)</f>
        <v>CPV</v>
      </c>
      <c r="C432" s="22">
        <v>2023</v>
      </c>
      <c r="D432" t="s">
        <v>110</v>
      </c>
      <c r="E432" t="s">
        <v>28</v>
      </c>
      <c r="F432" t="str">
        <f>VLOOKUP(G432,PC!B:D,2,FALSE)</f>
        <v>BEBIDAS</v>
      </c>
      <c r="G432" s="4" t="s">
        <v>26</v>
      </c>
      <c r="H432" s="1">
        <v>4011.66</v>
      </c>
    </row>
    <row r="433" spans="2:8" x14ac:dyDescent="0.2">
      <c r="B433" t="str">
        <f>VLOOKUP(G433,PC!B:D,3,FALSE)</f>
        <v>RECEITA</v>
      </c>
      <c r="C433" s="22">
        <v>2023</v>
      </c>
      <c r="D433" t="s">
        <v>110</v>
      </c>
      <c r="F433" t="str">
        <f>VLOOKUP(G433,PC!B:D,2,FALSE)</f>
        <v>RECEITA</v>
      </c>
      <c r="G433" s="4" t="s">
        <v>54</v>
      </c>
      <c r="H433" s="1">
        <v>1200</v>
      </c>
    </row>
    <row r="434" spans="2:8" x14ac:dyDescent="0.2">
      <c r="B434" t="str">
        <f>VLOOKUP(G434,PC!B:D,3,FALSE)</f>
        <v>DESPESA PESSOAL</v>
      </c>
      <c r="C434" s="22">
        <v>2023</v>
      </c>
      <c r="D434" t="s">
        <v>110</v>
      </c>
      <c r="F434" t="str">
        <f>VLOOKUP(G434,PC!B:D,2,FALSE)</f>
        <v>DESPESA PESSOAL</v>
      </c>
      <c r="G434" s="4" t="s">
        <v>56</v>
      </c>
      <c r="H434" s="1">
        <v>40</v>
      </c>
    </row>
    <row r="435" spans="2:8" x14ac:dyDescent="0.2">
      <c r="B435" t="str">
        <f>VLOOKUP(G435,PC!B:D,3,FALSE)</f>
        <v>RECEITA</v>
      </c>
      <c r="C435" s="22">
        <v>2023</v>
      </c>
      <c r="D435" t="s">
        <v>110</v>
      </c>
      <c r="F435" t="str">
        <f>VLOOKUP(G435,PC!B:D,2,FALSE)</f>
        <v>RECEITA</v>
      </c>
      <c r="G435" s="4" t="s">
        <v>54</v>
      </c>
      <c r="H435" s="1">
        <v>900</v>
      </c>
    </row>
    <row r="436" spans="2:8" x14ac:dyDescent="0.2">
      <c r="B436" t="str">
        <f>VLOOKUP(G436,PC!B:D,3,FALSE)</f>
        <v>RECEITA</v>
      </c>
      <c r="C436" s="22">
        <v>2023</v>
      </c>
      <c r="D436" t="s">
        <v>110</v>
      </c>
      <c r="F436" t="str">
        <f>VLOOKUP(G436,PC!B:D,2,FALSE)</f>
        <v>RECEITA</v>
      </c>
      <c r="G436" s="4" t="s">
        <v>54</v>
      </c>
      <c r="H436" s="1">
        <v>1700</v>
      </c>
    </row>
    <row r="437" spans="2:8" x14ac:dyDescent="0.2">
      <c r="B437" t="str">
        <f>VLOOKUP(G437,PC!B:D,3,FALSE)</f>
        <v>DESPESA PESSOAL</v>
      </c>
      <c r="C437" s="22">
        <v>2023</v>
      </c>
      <c r="D437" t="s">
        <v>110</v>
      </c>
      <c r="F437" t="str">
        <f>VLOOKUP(G437,PC!B:D,2,FALSE)</f>
        <v>DESPESA PESSOAL</v>
      </c>
      <c r="G437" s="4" t="s">
        <v>56</v>
      </c>
      <c r="H437" s="1">
        <v>12</v>
      </c>
    </row>
    <row r="438" spans="2:8" x14ac:dyDescent="0.2">
      <c r="B438" t="str">
        <f>VLOOKUP(G438,PC!B:D,3,FALSE)</f>
        <v>RECEITA</v>
      </c>
      <c r="C438" s="22">
        <v>2023</v>
      </c>
      <c r="D438" t="s">
        <v>110</v>
      </c>
      <c r="F438" t="str">
        <f>VLOOKUP(G438,PC!B:D,2,FALSE)</f>
        <v>RECEITA</v>
      </c>
      <c r="G438" s="4" t="s">
        <v>54</v>
      </c>
      <c r="H438" s="1">
        <v>1050</v>
      </c>
    </row>
    <row r="439" spans="2:8" x14ac:dyDescent="0.2">
      <c r="B439" t="str">
        <f>VLOOKUP(G439,PC!B:D,3,FALSE)</f>
        <v>RECEITA</v>
      </c>
      <c r="C439" s="22">
        <v>2023</v>
      </c>
      <c r="D439" t="s">
        <v>110</v>
      </c>
      <c r="F439" t="str">
        <f>VLOOKUP(G439,PC!B:D,2,FALSE)</f>
        <v>RECEITA</v>
      </c>
      <c r="G439" s="4" t="s">
        <v>54</v>
      </c>
      <c r="H439" s="1">
        <v>2000</v>
      </c>
    </row>
    <row r="440" spans="2:8" x14ac:dyDescent="0.2">
      <c r="B440" t="str">
        <f>VLOOKUP(G440,PC!B:D,3,FALSE)</f>
        <v>CPV</v>
      </c>
      <c r="C440" s="22">
        <v>2023</v>
      </c>
      <c r="D440" t="s">
        <v>110</v>
      </c>
      <c r="E440" t="s">
        <v>129</v>
      </c>
      <c r="F440" t="str">
        <f>VLOOKUP(G440,PC!B:D,2,FALSE)</f>
        <v>COMIDA</v>
      </c>
      <c r="G440" s="4" t="s">
        <v>33</v>
      </c>
      <c r="H440" s="1">
        <v>250</v>
      </c>
    </row>
    <row r="441" spans="2:8" x14ac:dyDescent="0.2">
      <c r="B441" t="str">
        <f>VLOOKUP(G441,PC!B:D,3,FALSE)</f>
        <v>DESPESA OPERACIONAL</v>
      </c>
      <c r="C441" s="22">
        <v>2023</v>
      </c>
      <c r="D441" t="s">
        <v>110</v>
      </c>
      <c r="E441" t="s">
        <v>129</v>
      </c>
      <c r="F441" t="str">
        <f>VLOOKUP(G441,PC!B:D,2,FALSE)</f>
        <v>DESPESA OPERACIONAL</v>
      </c>
      <c r="G441" s="4" t="s">
        <v>70</v>
      </c>
      <c r="H441" s="1">
        <v>81</v>
      </c>
    </row>
    <row r="442" spans="2:8" x14ac:dyDescent="0.2">
      <c r="B442" t="str">
        <f>VLOOKUP(G442,PC!B:D,3,FALSE)</f>
        <v>CPV</v>
      </c>
      <c r="C442" s="22">
        <v>2023</v>
      </c>
      <c r="D442" t="s">
        <v>110</v>
      </c>
      <c r="E442" t="s">
        <v>129</v>
      </c>
      <c r="F442" t="str">
        <f>VLOOKUP(G442,PC!B:D,2,FALSE)</f>
        <v>COMIDA</v>
      </c>
      <c r="G442" s="4" t="s">
        <v>12</v>
      </c>
      <c r="H442" s="1">
        <v>130</v>
      </c>
    </row>
    <row r="443" spans="2:8" x14ac:dyDescent="0.2">
      <c r="B443" t="str">
        <f>VLOOKUP(G443,PC!B:D,3,FALSE)</f>
        <v>RECEITA</v>
      </c>
      <c r="C443" s="22">
        <v>2023</v>
      </c>
      <c r="D443" t="s">
        <v>110</v>
      </c>
      <c r="F443" t="str">
        <f>VLOOKUP(G443,PC!B:D,2,FALSE)</f>
        <v>RECEITA</v>
      </c>
      <c r="G443" s="4" t="s">
        <v>54</v>
      </c>
      <c r="H443" s="1">
        <v>1400</v>
      </c>
    </row>
    <row r="444" spans="2:8" x14ac:dyDescent="0.2">
      <c r="B444" t="str">
        <f>VLOOKUP(G444,PC!B:D,3,FALSE)</f>
        <v>RECEITA</v>
      </c>
      <c r="C444" s="22">
        <v>2023</v>
      </c>
      <c r="D444" t="s">
        <v>110</v>
      </c>
      <c r="F444" t="str">
        <f>VLOOKUP(G444,PC!B:D,2,FALSE)</f>
        <v>RECEITA</v>
      </c>
      <c r="G444" s="4" t="s">
        <v>54</v>
      </c>
      <c r="H444" s="1">
        <f>1000+400+600+700+900+320</f>
        <v>3920</v>
      </c>
    </row>
    <row r="445" spans="2:8" x14ac:dyDescent="0.2">
      <c r="B445" t="str">
        <f>VLOOKUP(G445,PC!B:D,3,FALSE)</f>
        <v>DESPESA PESSOAL</v>
      </c>
      <c r="C445" s="22">
        <v>2023</v>
      </c>
      <c r="D445" t="s">
        <v>110</v>
      </c>
      <c r="F445" t="str">
        <f>VLOOKUP(G445,PC!B:D,2,FALSE)</f>
        <v>DESPESA PESSOAL</v>
      </c>
      <c r="G445" s="4" t="s">
        <v>68</v>
      </c>
      <c r="H445" s="1">
        <v>120</v>
      </c>
    </row>
    <row r="446" spans="2:8" x14ac:dyDescent="0.2">
      <c r="B446" t="str">
        <f>VLOOKUP(G446,PC!B:D,3,FALSE)</f>
        <v>DESPESA PESSOAL</v>
      </c>
      <c r="C446" s="22">
        <v>2023</v>
      </c>
      <c r="D446" t="s">
        <v>110</v>
      </c>
      <c r="F446" t="str">
        <f>VLOOKUP(G446,PC!B:D,2,FALSE)</f>
        <v>DESPESA PESSOAL</v>
      </c>
      <c r="G446" s="4" t="s">
        <v>68</v>
      </c>
      <c r="H446" s="1">
        <v>40</v>
      </c>
    </row>
    <row r="447" spans="2:8" x14ac:dyDescent="0.2">
      <c r="B447" t="str">
        <f>VLOOKUP(G447,PC!B:D,3,FALSE)</f>
        <v>CPV</v>
      </c>
      <c r="C447" s="22">
        <v>2023</v>
      </c>
      <c r="D447" t="s">
        <v>110</v>
      </c>
      <c r="E447" t="s">
        <v>129</v>
      </c>
      <c r="F447" t="str">
        <f>VLOOKUP(G447,PC!B:D,2,FALSE)</f>
        <v>COMIDA</v>
      </c>
      <c r="G447" s="4" t="s">
        <v>18</v>
      </c>
      <c r="H447" s="1">
        <v>22</v>
      </c>
    </row>
    <row r="448" spans="2:8" x14ac:dyDescent="0.2">
      <c r="B448" t="str">
        <f>VLOOKUP(G448,PC!B:D,3,FALSE)</f>
        <v>RECEITA</v>
      </c>
      <c r="C448" s="22">
        <v>2023</v>
      </c>
      <c r="D448" t="s">
        <v>110</v>
      </c>
      <c r="F448" t="str">
        <f>VLOOKUP(G448,PC!B:D,2,FALSE)</f>
        <v>RECEITA</v>
      </c>
      <c r="G448" s="4" t="s">
        <v>54</v>
      </c>
      <c r="H448" s="1">
        <v>800</v>
      </c>
    </row>
    <row r="449" spans="2:8" x14ac:dyDescent="0.2">
      <c r="B449" t="str">
        <f>VLOOKUP(G449,PC!B:D,3,FALSE)</f>
        <v>RECEITA</v>
      </c>
      <c r="C449" s="22">
        <v>2023</v>
      </c>
      <c r="D449" t="s">
        <v>110</v>
      </c>
      <c r="F449" t="str">
        <f>VLOOKUP(G449,PC!B:D,2,FALSE)</f>
        <v>RECEITA</v>
      </c>
      <c r="G449" s="4" t="s">
        <v>54</v>
      </c>
      <c r="H449" s="1">
        <v>2100</v>
      </c>
    </row>
    <row r="450" spans="2:8" x14ac:dyDescent="0.2">
      <c r="B450" t="str">
        <f>VLOOKUP(G450,PC!B:D,3,FALSE)</f>
        <v>RECEITA</v>
      </c>
      <c r="C450" s="22">
        <v>2023</v>
      </c>
      <c r="D450" t="s">
        <v>110</v>
      </c>
      <c r="F450" t="str">
        <f>VLOOKUP(G450,PC!B:D,2,FALSE)</f>
        <v>RECEITA</v>
      </c>
      <c r="G450" s="4" t="s">
        <v>54</v>
      </c>
      <c r="H450" s="1">
        <f>2400+1050+1300+1250</f>
        <v>6000</v>
      </c>
    </row>
    <row r="451" spans="2:8" x14ac:dyDescent="0.2">
      <c r="B451" t="str">
        <f>VLOOKUP(G451,PC!B:D,3,FALSE)</f>
        <v>RECEITA</v>
      </c>
      <c r="C451" s="22">
        <v>2023</v>
      </c>
      <c r="D451" t="s">
        <v>110</v>
      </c>
      <c r="F451" t="str">
        <f>VLOOKUP(G451,PC!B:D,2,FALSE)</f>
        <v>RECEITA</v>
      </c>
      <c r="G451" s="4" t="s">
        <v>54</v>
      </c>
      <c r="H451" s="1">
        <f>1220+150+1200+1150+750</f>
        <v>4470</v>
      </c>
    </row>
    <row r="452" spans="2:8" x14ac:dyDescent="0.2">
      <c r="B452" t="str">
        <f>VLOOKUP(G452,PC!B:D,3,FALSE)</f>
        <v>RECEITA</v>
      </c>
      <c r="C452" s="22">
        <v>2023</v>
      </c>
      <c r="D452" t="s">
        <v>110</v>
      </c>
      <c r="F452" t="str">
        <f>VLOOKUP(G452,PC!B:D,2,FALSE)</f>
        <v>RECEITA</v>
      </c>
      <c r="G452" s="4" t="s">
        <v>54</v>
      </c>
      <c r="H452" s="1">
        <f>300+40</f>
        <v>340</v>
      </c>
    </row>
    <row r="453" spans="2:8" x14ac:dyDescent="0.2">
      <c r="B453" t="str">
        <f>VLOOKUP(G453,PC!B:D,3,FALSE)</f>
        <v>CPV</v>
      </c>
      <c r="C453" s="22">
        <v>2023</v>
      </c>
      <c r="D453" t="s">
        <v>110</v>
      </c>
      <c r="E453" t="s">
        <v>129</v>
      </c>
      <c r="F453" t="str">
        <f>VLOOKUP(G453,PC!B:D,2,FALSE)</f>
        <v>COMIDA</v>
      </c>
      <c r="G453" s="4" t="s">
        <v>12</v>
      </c>
      <c r="H453" s="1">
        <v>134.6</v>
      </c>
    </row>
    <row r="454" spans="2:8" x14ac:dyDescent="0.2">
      <c r="B454" t="str">
        <f>VLOOKUP(G454,PC!B:D,3,FALSE)</f>
        <v>RECEITA</v>
      </c>
      <c r="C454" s="22">
        <v>2023</v>
      </c>
      <c r="D454" t="s">
        <v>110</v>
      </c>
      <c r="E454" t="s">
        <v>129</v>
      </c>
      <c r="F454" t="str">
        <f>VLOOKUP(G454,PC!B:D,2,FALSE)</f>
        <v>RECEITA</v>
      </c>
      <c r="G454" s="4" t="s">
        <v>54</v>
      </c>
      <c r="H454" s="1">
        <f>H453</f>
        <v>134.6</v>
      </c>
    </row>
    <row r="455" spans="2:8" x14ac:dyDescent="0.2">
      <c r="B455" t="str">
        <f>VLOOKUP(G455,PC!B:D,3,FALSE)</f>
        <v>DESPESA PESSOAL</v>
      </c>
      <c r="C455" s="22">
        <v>2023</v>
      </c>
      <c r="D455" t="s">
        <v>110</v>
      </c>
      <c r="F455" t="str">
        <f>VLOOKUP(G455,PC!B:D,2,FALSE)</f>
        <v>DESPESA PESSOAL</v>
      </c>
      <c r="G455" s="4" t="s">
        <v>56</v>
      </c>
      <c r="H455" s="1">
        <v>300</v>
      </c>
    </row>
    <row r="456" spans="2:8" x14ac:dyDescent="0.2">
      <c r="B456" t="str">
        <f>VLOOKUP(G456,PC!B:D,3,FALSE)</f>
        <v>DESPESA PESSOAL</v>
      </c>
      <c r="C456" s="22">
        <v>2023</v>
      </c>
      <c r="D456" t="s">
        <v>110</v>
      </c>
      <c r="F456" t="str">
        <f>VLOOKUP(G456,PC!B:D,2,FALSE)</f>
        <v>DESPESA PESSOAL</v>
      </c>
      <c r="G456" s="4" t="s">
        <v>56</v>
      </c>
      <c r="H456" s="1">
        <v>30</v>
      </c>
    </row>
    <row r="457" spans="2:8" x14ac:dyDescent="0.2">
      <c r="B457" t="str">
        <f>VLOOKUP(G457,PC!B:D,3,FALSE)</f>
        <v>DESPESA PESSOAL</v>
      </c>
      <c r="C457" s="22">
        <v>2023</v>
      </c>
      <c r="D457" t="s">
        <v>110</v>
      </c>
      <c r="F457" t="str">
        <f>VLOOKUP(G457,PC!B:D,2,FALSE)</f>
        <v>DESPESA PESSOAL</v>
      </c>
      <c r="G457" s="4" t="s">
        <v>56</v>
      </c>
      <c r="H457" s="1">
        <v>350</v>
      </c>
    </row>
    <row r="458" spans="2:8" x14ac:dyDescent="0.2">
      <c r="B458" t="str">
        <f>VLOOKUP(G458,PC!B:D,3,FALSE)</f>
        <v>RECEITA</v>
      </c>
      <c r="C458" s="22">
        <v>2023</v>
      </c>
      <c r="D458" t="s">
        <v>110</v>
      </c>
      <c r="F458" t="str">
        <f>VLOOKUP(G458,PC!B:D,2,FALSE)</f>
        <v>RECEITA</v>
      </c>
      <c r="G458" s="4" t="s">
        <v>54</v>
      </c>
      <c r="H458" s="1">
        <v>350</v>
      </c>
    </row>
    <row r="459" spans="2:8" x14ac:dyDescent="0.2">
      <c r="B459" t="str">
        <f>VLOOKUP(G459,PC!B:D,3,FALSE)</f>
        <v>RECEITA</v>
      </c>
      <c r="C459" s="22">
        <v>2023</v>
      </c>
      <c r="D459" t="s">
        <v>110</v>
      </c>
      <c r="F459" t="str">
        <f>VLOOKUP(G459,PC!B:D,2,FALSE)</f>
        <v>RECEITA</v>
      </c>
      <c r="G459" s="4" t="s">
        <v>54</v>
      </c>
      <c r="H459" s="1">
        <v>3600</v>
      </c>
    </row>
    <row r="460" spans="2:8" x14ac:dyDescent="0.2">
      <c r="B460" t="str">
        <f>VLOOKUP(G460,PC!B:D,3,FALSE)</f>
        <v>RECEITA</v>
      </c>
      <c r="C460" s="22">
        <v>2023</v>
      </c>
      <c r="D460" t="s">
        <v>110</v>
      </c>
      <c r="F460" t="str">
        <f>VLOOKUP(G460,PC!B:D,2,FALSE)</f>
        <v>RECEITA</v>
      </c>
      <c r="G460" s="4" t="s">
        <v>59</v>
      </c>
      <c r="H460" s="1">
        <v>318.5</v>
      </c>
    </row>
    <row r="461" spans="2:8" x14ac:dyDescent="0.2">
      <c r="B461" t="str">
        <f>VLOOKUP(G461,PC!B:D,3,FALSE)</f>
        <v>DESPESA PESSOAL</v>
      </c>
      <c r="C461" s="22">
        <v>2023</v>
      </c>
      <c r="D461" t="s">
        <v>110</v>
      </c>
      <c r="F461" t="str">
        <f>VLOOKUP(G461,PC!B:D,2,FALSE)</f>
        <v>DESPESA PESSOAL</v>
      </c>
      <c r="G461" s="4" t="s">
        <v>124</v>
      </c>
      <c r="H461" s="1">
        <v>600</v>
      </c>
    </row>
    <row r="462" spans="2:8" x14ac:dyDescent="0.2">
      <c r="B462" t="str">
        <f>VLOOKUP(G462,PC!B:D,3,FALSE)</f>
        <v>RECEITA</v>
      </c>
      <c r="C462" s="22">
        <v>2023</v>
      </c>
      <c r="D462" t="s">
        <v>110</v>
      </c>
      <c r="F462" t="str">
        <f>VLOOKUP(G462,PC!B:D,2,FALSE)</f>
        <v>RECEITA</v>
      </c>
      <c r="G462" s="4" t="s">
        <v>54</v>
      </c>
      <c r="H462" s="1">
        <f>800+650+900+600</f>
        <v>2950</v>
      </c>
    </row>
    <row r="463" spans="2:8" x14ac:dyDescent="0.2">
      <c r="B463" t="str">
        <f>VLOOKUP(G463,PC!B:D,3,FALSE)</f>
        <v>RECEITA</v>
      </c>
      <c r="C463" s="22">
        <v>2023</v>
      </c>
      <c r="D463" t="s">
        <v>110</v>
      </c>
      <c r="F463" t="str">
        <f>VLOOKUP(G463,PC!B:D,2,FALSE)</f>
        <v>RECEITA</v>
      </c>
      <c r="G463" s="4" t="s">
        <v>54</v>
      </c>
      <c r="H463" s="1">
        <f>500+900+2250+200</f>
        <v>3850</v>
      </c>
    </row>
    <row r="464" spans="2:8" x14ac:dyDescent="0.2">
      <c r="B464" t="str">
        <f>VLOOKUP(G464,PC!B:D,3,FALSE)</f>
        <v>CPV</v>
      </c>
      <c r="C464" s="22">
        <v>2023</v>
      </c>
      <c r="D464" t="s">
        <v>110</v>
      </c>
      <c r="E464" t="s">
        <v>129</v>
      </c>
      <c r="F464" t="str">
        <f>VLOOKUP(G464,PC!B:D,2,FALSE)</f>
        <v>LIMPEZA</v>
      </c>
      <c r="G464" s="4" t="s">
        <v>43</v>
      </c>
      <c r="H464" s="1">
        <v>15</v>
      </c>
    </row>
    <row r="465" spans="2:9" x14ac:dyDescent="0.2">
      <c r="B465" t="str">
        <f>VLOOKUP(G465,PC!B:D,3,FALSE)</f>
        <v>RECEITA</v>
      </c>
      <c r="C465" s="22">
        <v>2023</v>
      </c>
      <c r="D465" t="s">
        <v>110</v>
      </c>
      <c r="F465" t="str">
        <f>VLOOKUP(G465,PC!B:D,2,FALSE)</f>
        <v>RECEITA</v>
      </c>
      <c r="G465" s="4" t="s">
        <v>54</v>
      </c>
      <c r="H465" s="1">
        <f>100+122+56+128+1400+65+1300+1300</f>
        <v>4471</v>
      </c>
    </row>
    <row r="466" spans="2:9" x14ac:dyDescent="0.2">
      <c r="B466" t="str">
        <f>VLOOKUP(G466,PC!B:D,3,FALSE)</f>
        <v>DESPESA OPERACIONAL</v>
      </c>
      <c r="C466" s="22">
        <v>2023</v>
      </c>
      <c r="D466" t="s">
        <v>110</v>
      </c>
      <c r="F466" t="str">
        <f>VLOOKUP(G466,PC!B:D,2,FALSE)</f>
        <v>DESPESA OPERACIONAL</v>
      </c>
      <c r="G466" s="4" t="s">
        <v>70</v>
      </c>
      <c r="H466" s="1">
        <v>128</v>
      </c>
    </row>
    <row r="467" spans="2:9" x14ac:dyDescent="0.2">
      <c r="B467" t="str">
        <f>VLOOKUP(G467,PC!B:D,3,FALSE)</f>
        <v>RECEITA</v>
      </c>
      <c r="C467" s="22">
        <v>2023</v>
      </c>
      <c r="D467" t="s">
        <v>110</v>
      </c>
      <c r="F467" t="str">
        <f>VLOOKUP(G467,PC!B:D,2,FALSE)</f>
        <v>RECEITA</v>
      </c>
      <c r="G467" s="4" t="s">
        <v>54</v>
      </c>
      <c r="H467" s="1">
        <f>22.5+32+282.5+26+44+101+70+200+600+30+1650</f>
        <v>3058</v>
      </c>
    </row>
    <row r="468" spans="2:9" x14ac:dyDescent="0.2">
      <c r="B468" t="str">
        <f>VLOOKUP(G468,PC!B:D,3,FALSE)</f>
        <v>CPV</v>
      </c>
      <c r="C468" s="22">
        <v>2023</v>
      </c>
      <c r="D468" t="s">
        <v>110</v>
      </c>
      <c r="E468" t="s">
        <v>129</v>
      </c>
      <c r="F468" t="str">
        <f>VLOOKUP(G468,PC!B:D,2,FALSE)</f>
        <v>SOBREMESA</v>
      </c>
      <c r="G468" s="4" t="s">
        <v>7</v>
      </c>
      <c r="H468" s="1">
        <v>30</v>
      </c>
    </row>
    <row r="469" spans="2:9" x14ac:dyDescent="0.2">
      <c r="B469" t="str">
        <f>VLOOKUP(G469,PC!B:D,3,FALSE)</f>
        <v>CPV</v>
      </c>
      <c r="C469" s="22">
        <v>2023</v>
      </c>
      <c r="D469" t="s">
        <v>110</v>
      </c>
      <c r="E469" t="s">
        <v>129</v>
      </c>
      <c r="F469" t="str">
        <f>VLOOKUP(G469,PC!B:D,2,FALSE)</f>
        <v>COMIDA</v>
      </c>
      <c r="G469" s="4" t="s">
        <v>18</v>
      </c>
      <c r="H469" s="1">
        <v>44</v>
      </c>
    </row>
    <row r="470" spans="2:9" x14ac:dyDescent="0.2">
      <c r="B470" t="str">
        <f>VLOOKUP(G470,PC!B:D,3,FALSE)</f>
        <v>CPV</v>
      </c>
      <c r="C470" s="22">
        <v>2023</v>
      </c>
      <c r="D470" t="s">
        <v>110</v>
      </c>
      <c r="E470" t="s">
        <v>129</v>
      </c>
      <c r="F470" t="str">
        <f>VLOOKUP(G470,PC!B:D,2,FALSE)</f>
        <v>COMIDA</v>
      </c>
      <c r="G470" s="4" t="s">
        <v>146</v>
      </c>
      <c r="H470" s="1">
        <v>70</v>
      </c>
    </row>
    <row r="471" spans="2:9" x14ac:dyDescent="0.2">
      <c r="B471" t="str">
        <f>VLOOKUP(G471,PC!B:D,3,FALSE)</f>
        <v>CPV</v>
      </c>
      <c r="C471" s="22">
        <v>2023</v>
      </c>
      <c r="D471" t="s">
        <v>110</v>
      </c>
      <c r="E471" t="s">
        <v>129</v>
      </c>
      <c r="F471" t="str">
        <f>VLOOKUP(G471,PC!B:D,2,FALSE)</f>
        <v>COMIDA</v>
      </c>
      <c r="G471" s="4" t="s">
        <v>12</v>
      </c>
      <c r="H471" s="1">
        <v>101</v>
      </c>
    </row>
    <row r="472" spans="2:9" x14ac:dyDescent="0.2">
      <c r="B472" t="str">
        <f>VLOOKUP(G472,PC!B:D,3,FALSE)</f>
        <v>DESPESA PESSOAL</v>
      </c>
      <c r="C472" s="22">
        <v>2023</v>
      </c>
      <c r="D472" t="s">
        <v>110</v>
      </c>
      <c r="F472" t="str">
        <f>VLOOKUP(G472,PC!B:D,2,FALSE)</f>
        <v>DESPESA PESSOAL</v>
      </c>
      <c r="G472" s="4" t="s">
        <v>68</v>
      </c>
      <c r="H472" s="1">
        <f>26+32</f>
        <v>58</v>
      </c>
    </row>
    <row r="473" spans="2:9" x14ac:dyDescent="0.2">
      <c r="B473" t="str">
        <f>VLOOKUP(G473,PC!B:D,3,FALSE)</f>
        <v>CPV</v>
      </c>
      <c r="C473" s="22">
        <v>2023</v>
      </c>
      <c r="D473" t="s">
        <v>110</v>
      </c>
      <c r="E473" t="s">
        <v>129</v>
      </c>
      <c r="F473" t="str">
        <f>VLOOKUP(G473,PC!B:D,2,FALSE)</f>
        <v>COMIDA</v>
      </c>
      <c r="G473" s="4" t="s">
        <v>18</v>
      </c>
      <c r="H473" s="1">
        <v>22</v>
      </c>
    </row>
    <row r="474" spans="2:9" x14ac:dyDescent="0.2">
      <c r="B474" t="str">
        <f>VLOOKUP(G474,PC!B:D,3,FALSE)</f>
        <v>RECEITA</v>
      </c>
      <c r="C474" s="22">
        <v>2023</v>
      </c>
      <c r="D474" t="s">
        <v>110</v>
      </c>
      <c r="F474" t="str">
        <f>VLOOKUP(G474,PC!B:D,2,FALSE)</f>
        <v>RECEITA</v>
      </c>
      <c r="G474" s="4" t="s">
        <v>54</v>
      </c>
      <c r="H474" s="1">
        <f>500+431.2+78+1000+57+1400+400</f>
        <v>3866.2</v>
      </c>
    </row>
    <row r="475" spans="2:9" x14ac:dyDescent="0.2">
      <c r="B475" t="str">
        <f>VLOOKUP(G475,PC!B:D,3,FALSE)</f>
        <v>CPV</v>
      </c>
      <c r="C475" s="22">
        <v>2023</v>
      </c>
      <c r="D475" t="s">
        <v>110</v>
      </c>
      <c r="E475" t="s">
        <v>129</v>
      </c>
      <c r="F475" t="str">
        <f>VLOOKUP(G475,PC!B:D,2,FALSE)</f>
        <v>COMIDA</v>
      </c>
      <c r="G475" s="4" t="s">
        <v>34</v>
      </c>
      <c r="H475" s="1">
        <v>78</v>
      </c>
    </row>
    <row r="476" spans="2:9" x14ac:dyDescent="0.2">
      <c r="B476" t="str">
        <f>VLOOKUP(G476,PC!B:D,3,FALSE)</f>
        <v>CPV</v>
      </c>
      <c r="C476" s="22">
        <v>2023</v>
      </c>
      <c r="D476" t="s">
        <v>110</v>
      </c>
      <c r="E476" t="s">
        <v>129</v>
      </c>
      <c r="F476" t="str">
        <f>VLOOKUP(G476,PC!B:D,2,FALSE)</f>
        <v>COMIDA</v>
      </c>
      <c r="G476" s="4" t="s">
        <v>22</v>
      </c>
      <c r="H476" s="1">
        <v>57</v>
      </c>
    </row>
    <row r="477" spans="2:9" x14ac:dyDescent="0.2">
      <c r="B477" t="str">
        <f>VLOOKUP(G477,PC!B:D,3,FALSE)</f>
        <v>RECEITA</v>
      </c>
      <c r="C477" s="22">
        <v>2023</v>
      </c>
      <c r="D477" t="s">
        <v>110</v>
      </c>
      <c r="F477" t="str">
        <f>VLOOKUP(G477,PC!B:D,2,FALSE)</f>
        <v>RECEITA</v>
      </c>
      <c r="G477" s="4" t="s">
        <v>54</v>
      </c>
      <c r="H477" s="1">
        <f>1250+54</f>
        <v>1304</v>
      </c>
    </row>
    <row r="478" spans="2:9" x14ac:dyDescent="0.2">
      <c r="B478" t="str">
        <f>VLOOKUP(G478,PC!B:D,3,FALSE)</f>
        <v>CPV</v>
      </c>
      <c r="C478" s="22">
        <v>2023</v>
      </c>
      <c r="D478" t="s">
        <v>110</v>
      </c>
      <c r="F478" t="str">
        <f>VLOOKUP(G478,PC!B:D,2,FALSE)</f>
        <v>COMIDA</v>
      </c>
      <c r="G478" s="4" t="s">
        <v>152</v>
      </c>
      <c r="H478" s="1">
        <v>54</v>
      </c>
    </row>
    <row r="479" spans="2:9" x14ac:dyDescent="0.2">
      <c r="B479" t="str">
        <f>VLOOKUP(G479,PC!B:D,3,FALSE)</f>
        <v>RECEITA</v>
      </c>
      <c r="C479" s="22">
        <v>2023</v>
      </c>
      <c r="D479" t="s">
        <v>110</v>
      </c>
      <c r="F479" t="str">
        <f>VLOOKUP(G479,PC!B:D,2,FALSE)</f>
        <v>RECEITA</v>
      </c>
      <c r="G479" s="4" t="s">
        <v>54</v>
      </c>
      <c r="H479" s="1">
        <f>300+1000+900</f>
        <v>2200</v>
      </c>
    </row>
    <row r="480" spans="2:9" x14ac:dyDescent="0.2">
      <c r="B480" t="str">
        <f>VLOOKUP(G480,PC!B:D,3,FALSE)</f>
        <v>DESPESA PESSOAL</v>
      </c>
      <c r="C480" s="22">
        <v>2023</v>
      </c>
      <c r="D480" t="s">
        <v>110</v>
      </c>
      <c r="F480" t="str">
        <f>VLOOKUP(G480,PC!B:D,2,FALSE)</f>
        <v>DESPESA PESSOAL</v>
      </c>
      <c r="G480" s="4" t="s">
        <v>56</v>
      </c>
      <c r="H480" s="1">
        <v>300</v>
      </c>
      <c r="I480" s="7" t="s">
        <v>168</v>
      </c>
    </row>
    <row r="481" spans="2:8" x14ac:dyDescent="0.2">
      <c r="B481" t="str">
        <f>VLOOKUP(G481,PC!B:D,3,FALSE)</f>
        <v>DESPESA OPERACIONAL</v>
      </c>
      <c r="C481" s="22">
        <v>2023</v>
      </c>
      <c r="D481" t="s">
        <v>110</v>
      </c>
      <c r="F481" t="str">
        <f>VLOOKUP(G481,PC!B:D,2,FALSE)</f>
        <v>DESPESA OPERACIONAL</v>
      </c>
      <c r="G481" s="4" t="s">
        <v>73</v>
      </c>
      <c r="H481" s="1">
        <f>1484.37+1165.7</f>
        <v>2650.0699999999997</v>
      </c>
    </row>
    <row r="482" spans="2:8" x14ac:dyDescent="0.2">
      <c r="B482" t="str">
        <f>VLOOKUP(G482,PC!B:D,3,FALSE)</f>
        <v>RECEITA</v>
      </c>
      <c r="C482" s="22">
        <v>2023</v>
      </c>
      <c r="D482" t="s">
        <v>110</v>
      </c>
      <c r="F482" t="str">
        <f>VLOOKUP(G482,PC!B:D,2,FALSE)</f>
        <v>RECEITA</v>
      </c>
      <c r="G482" s="4" t="s">
        <v>64</v>
      </c>
      <c r="H482" s="1">
        <f>34.13+28.8</f>
        <v>62.930000000000007</v>
      </c>
    </row>
    <row r="483" spans="2:8" x14ac:dyDescent="0.2">
      <c r="B483" t="str">
        <f>VLOOKUP(G483,PC!B:D,3,FALSE)</f>
        <v>RECEITA</v>
      </c>
      <c r="C483" s="22">
        <v>2023</v>
      </c>
      <c r="D483" t="s">
        <v>110</v>
      </c>
      <c r="F483" t="str">
        <f>VLOOKUP(G483,PC!B:D,2,FALSE)</f>
        <v>RECEITA</v>
      </c>
      <c r="G483" s="4" t="s">
        <v>54</v>
      </c>
      <c r="H483" s="1">
        <v>1700</v>
      </c>
    </row>
    <row r="484" spans="2:8" x14ac:dyDescent="0.2">
      <c r="B484" t="str">
        <f>VLOOKUP(G484,PC!B:D,3,FALSE)</f>
        <v>RECEITA</v>
      </c>
      <c r="C484" s="22">
        <v>2023</v>
      </c>
      <c r="D484" t="s">
        <v>110</v>
      </c>
      <c r="F484" t="str">
        <f>VLOOKUP(G484,PC!B:D,2,FALSE)</f>
        <v>RECEITA</v>
      </c>
      <c r="G484" s="4" t="s">
        <v>54</v>
      </c>
      <c r="H484" s="1">
        <f>35.2+65+2700+1000+1250+200</f>
        <v>5250.2</v>
      </c>
    </row>
    <row r="485" spans="2:8" x14ac:dyDescent="0.2">
      <c r="B485" t="str">
        <f>VLOOKUP(G485,PC!B:D,3,FALSE)</f>
        <v>CPV</v>
      </c>
      <c r="C485" s="22">
        <v>2023</v>
      </c>
      <c r="D485" t="s">
        <v>110</v>
      </c>
      <c r="E485" t="s">
        <v>129</v>
      </c>
      <c r="F485" t="str">
        <f>VLOOKUP(G485,PC!B:D,2,FALSE)</f>
        <v>OUTROS</v>
      </c>
      <c r="G485" s="4" t="s">
        <v>58</v>
      </c>
      <c r="H485" s="1">
        <v>118</v>
      </c>
    </row>
    <row r="486" spans="2:8" x14ac:dyDescent="0.2">
      <c r="B486" t="str">
        <f>VLOOKUP(G486,PC!B:D,3,FALSE)</f>
        <v>CPV</v>
      </c>
      <c r="C486" s="22">
        <v>2023</v>
      </c>
      <c r="D486" t="s">
        <v>110</v>
      </c>
      <c r="E486" t="s">
        <v>129</v>
      </c>
      <c r="F486" t="str">
        <f>VLOOKUP(G486,PC!B:D,2,FALSE)</f>
        <v>COMIDA</v>
      </c>
      <c r="G486" s="4" t="s">
        <v>145</v>
      </c>
      <c r="H486" s="1">
        <v>35.200000000000003</v>
      </c>
    </row>
    <row r="487" spans="2:8" x14ac:dyDescent="0.2">
      <c r="B487" t="str">
        <f>VLOOKUP(G487,PC!B:D,3,FALSE)</f>
        <v>CPV</v>
      </c>
      <c r="C487" s="22">
        <v>2023</v>
      </c>
      <c r="D487" t="s">
        <v>110</v>
      </c>
      <c r="E487" t="s">
        <v>129</v>
      </c>
      <c r="F487" t="str">
        <f>VLOOKUP(G487,PC!B:D,2,FALSE)</f>
        <v>OUTROS</v>
      </c>
      <c r="G487" s="4" t="s">
        <v>149</v>
      </c>
      <c r="H487" s="1">
        <v>297</v>
      </c>
    </row>
    <row r="488" spans="2:8" x14ac:dyDescent="0.2">
      <c r="B488" t="str">
        <f>VLOOKUP(G488,PC!B:D,3,FALSE)</f>
        <v>CPV</v>
      </c>
      <c r="C488" s="22">
        <v>2023</v>
      </c>
      <c r="D488" t="s">
        <v>110</v>
      </c>
      <c r="E488" t="s">
        <v>129</v>
      </c>
      <c r="F488" t="str">
        <f>VLOOKUP(G488,PC!B:D,2,FALSE)</f>
        <v>COMIDA</v>
      </c>
      <c r="G488" s="4" t="s">
        <v>12</v>
      </c>
      <c r="H488" s="1">
        <v>400</v>
      </c>
    </row>
    <row r="489" spans="2:8" x14ac:dyDescent="0.2">
      <c r="B489" t="str">
        <f>VLOOKUP(G489,PC!B:D,3,FALSE)</f>
        <v>CPV</v>
      </c>
      <c r="C489" s="22">
        <v>2023</v>
      </c>
      <c r="D489" t="s">
        <v>110</v>
      </c>
      <c r="E489" t="s">
        <v>129</v>
      </c>
      <c r="F489" t="str">
        <f>VLOOKUP(G489,PC!B:D,2,FALSE)</f>
        <v>SOBREMESA</v>
      </c>
      <c r="G489" s="4" t="s">
        <v>7</v>
      </c>
      <c r="H489" s="1">
        <v>45</v>
      </c>
    </row>
    <row r="490" spans="2:8" x14ac:dyDescent="0.2">
      <c r="B490" t="str">
        <f>VLOOKUP(G490,PC!B:D,3,FALSE)</f>
        <v>CPV</v>
      </c>
      <c r="C490" s="22">
        <v>2023</v>
      </c>
      <c r="D490" t="s">
        <v>110</v>
      </c>
      <c r="E490" t="s">
        <v>129</v>
      </c>
      <c r="F490" t="str">
        <f>VLOOKUP(G490,PC!B:D,2,FALSE)</f>
        <v>COMIDA</v>
      </c>
      <c r="G490" s="4" t="s">
        <v>155</v>
      </c>
      <c r="H490" s="1">
        <v>460</v>
      </c>
    </row>
    <row r="491" spans="2:8" x14ac:dyDescent="0.2">
      <c r="B491" t="str">
        <f>VLOOKUP(G491,PC!B:D,3,FALSE)</f>
        <v>CPV</v>
      </c>
      <c r="C491" s="22">
        <v>2023</v>
      </c>
      <c r="D491" t="s">
        <v>110</v>
      </c>
      <c r="E491" t="s">
        <v>129</v>
      </c>
      <c r="F491" t="str">
        <f>VLOOKUP(G491,PC!B:D,2,FALSE)</f>
        <v>OUTROS</v>
      </c>
      <c r="G491" s="4" t="s">
        <v>37</v>
      </c>
      <c r="H491" s="1">
        <v>414</v>
      </c>
    </row>
    <row r="492" spans="2:8" x14ac:dyDescent="0.2">
      <c r="B492" t="str">
        <f>VLOOKUP(G492,PC!B:D,3,FALSE)</f>
        <v>DESPESA OPERACIONAL</v>
      </c>
      <c r="C492" s="22">
        <v>2023</v>
      </c>
      <c r="D492" t="s">
        <v>110</v>
      </c>
      <c r="F492" t="str">
        <f>VLOOKUP(G492,PC!B:D,2,FALSE)</f>
        <v>DESPESA OPERACIONAL</v>
      </c>
      <c r="G492" s="4" t="s">
        <v>73</v>
      </c>
      <c r="H492" s="1">
        <v>781.54</v>
      </c>
    </row>
    <row r="493" spans="2:8" x14ac:dyDescent="0.2">
      <c r="B493" t="str">
        <f>VLOOKUP(G493,PC!B:D,3,FALSE)</f>
        <v>RECEITA</v>
      </c>
      <c r="C493" s="22">
        <v>2023</v>
      </c>
      <c r="D493" t="s">
        <v>110</v>
      </c>
      <c r="F493" t="str">
        <f>VLOOKUP(G493,PC!B:D,2,FALSE)</f>
        <v>RECEITA</v>
      </c>
      <c r="G493" s="4" t="s">
        <v>64</v>
      </c>
      <c r="H493" s="1">
        <v>17.98</v>
      </c>
    </row>
    <row r="494" spans="2:8" x14ac:dyDescent="0.2">
      <c r="B494" t="str">
        <f>VLOOKUP(G494,PC!B:D,3,FALSE)</f>
        <v>CPV</v>
      </c>
      <c r="C494" s="22">
        <v>2023</v>
      </c>
      <c r="D494" t="s">
        <v>110</v>
      </c>
      <c r="E494" t="s">
        <v>5</v>
      </c>
      <c r="F494" t="str">
        <f>VLOOKUP(G494,PC!B:D,2,FALSE)</f>
        <v>COMIDA</v>
      </c>
      <c r="G494" s="4" t="s">
        <v>18</v>
      </c>
      <c r="H494" s="1">
        <v>145.05000000000001</v>
      </c>
    </row>
    <row r="495" spans="2:8" x14ac:dyDescent="0.2">
      <c r="B495" t="str">
        <f>VLOOKUP(G495,PC!B:D,3,FALSE)</f>
        <v>CPV</v>
      </c>
      <c r="C495" s="22">
        <v>2023</v>
      </c>
      <c r="D495" t="s">
        <v>110</v>
      </c>
      <c r="E495" t="s">
        <v>49</v>
      </c>
      <c r="F495" t="str">
        <f>VLOOKUP(G495,PC!B:D,2,FALSE)</f>
        <v>CIGARRO</v>
      </c>
      <c r="G495" s="4" t="s">
        <v>52</v>
      </c>
      <c r="H495" s="1">
        <v>7291.52</v>
      </c>
    </row>
    <row r="496" spans="2:8" x14ac:dyDescent="0.2">
      <c r="B496" t="str">
        <f>VLOOKUP(G496,PC!B:D,3,FALSE)</f>
        <v>CPV</v>
      </c>
      <c r="C496" s="22">
        <v>2023</v>
      </c>
      <c r="D496" t="s">
        <v>110</v>
      </c>
      <c r="E496" t="s">
        <v>11</v>
      </c>
      <c r="F496" t="str">
        <f>VLOOKUP(G496,PC!B:D,2,FALSE)</f>
        <v>HIGIENE</v>
      </c>
      <c r="G496" s="4" t="s">
        <v>36</v>
      </c>
      <c r="H496" s="1">
        <v>66.28</v>
      </c>
    </row>
    <row r="497" spans="2:8" x14ac:dyDescent="0.2">
      <c r="B497" t="str">
        <f>VLOOKUP(G497,PC!B:D,3,FALSE)</f>
        <v>CPV</v>
      </c>
      <c r="C497" s="22">
        <v>2023</v>
      </c>
      <c r="D497" t="s">
        <v>110</v>
      </c>
      <c r="E497" t="s">
        <v>11</v>
      </c>
      <c r="F497" t="str">
        <f>VLOOKUP(G497,PC!B:D,2,FALSE)</f>
        <v>COMIDA</v>
      </c>
      <c r="G497" s="4" t="s">
        <v>38</v>
      </c>
      <c r="H497" s="1">
        <v>96</v>
      </c>
    </row>
    <row r="498" spans="2:8" x14ac:dyDescent="0.2">
      <c r="B498" t="str">
        <f>VLOOKUP(G498,PC!B:D,3,FALSE)</f>
        <v>CPV</v>
      </c>
      <c r="C498" s="22">
        <v>2023</v>
      </c>
      <c r="D498" t="s">
        <v>110</v>
      </c>
      <c r="E498" t="s">
        <v>11</v>
      </c>
      <c r="F498" t="str">
        <f>VLOOKUP(G498,PC!B:D,2,FALSE)</f>
        <v>BEBIDAS</v>
      </c>
      <c r="G498" s="4" t="s">
        <v>92</v>
      </c>
      <c r="H498" s="1">
        <v>45.58</v>
      </c>
    </row>
    <row r="499" spans="2:8" x14ac:dyDescent="0.2">
      <c r="B499" t="str">
        <f>VLOOKUP(G499,PC!B:D,3,FALSE)</f>
        <v>CPV</v>
      </c>
      <c r="C499" s="22">
        <v>2023</v>
      </c>
      <c r="D499" t="s">
        <v>110</v>
      </c>
      <c r="E499" t="s">
        <v>28</v>
      </c>
      <c r="F499" t="str">
        <f>VLOOKUP(G499,PC!B:D,2,FALSE)</f>
        <v>BEBIDAS</v>
      </c>
      <c r="G499" s="4" t="s">
        <v>26</v>
      </c>
      <c r="H499" s="1">
        <v>837.8</v>
      </c>
    </row>
    <row r="500" spans="2:8" x14ac:dyDescent="0.2">
      <c r="B500" t="str">
        <f>VLOOKUP(G500,PC!B:D,3,FALSE)</f>
        <v>CPV</v>
      </c>
      <c r="C500" s="22">
        <v>2023</v>
      </c>
      <c r="D500" t="s">
        <v>110</v>
      </c>
      <c r="E500" t="s">
        <v>14</v>
      </c>
      <c r="F500" t="str">
        <f>VLOOKUP(G500,PC!B:D,2,FALSE)</f>
        <v>BEBIDAS</v>
      </c>
      <c r="G500" s="4" t="s">
        <v>25</v>
      </c>
      <c r="H500" s="1">
        <f>715.83-H501</f>
        <v>664.37</v>
      </c>
    </row>
    <row r="501" spans="2:8" x14ac:dyDescent="0.2">
      <c r="B501" t="str">
        <f>VLOOKUP(G501,PC!B:D,3,FALSE)</f>
        <v>CPV</v>
      </c>
      <c r="C501" s="22">
        <v>2023</v>
      </c>
      <c r="D501" t="s">
        <v>110</v>
      </c>
      <c r="E501" t="s">
        <v>14</v>
      </c>
      <c r="F501" t="str">
        <f>VLOOKUP(G501,PC!B:D,2,FALSE)</f>
        <v>BEBIDAS</v>
      </c>
      <c r="G501" s="4" t="s">
        <v>46</v>
      </c>
      <c r="H501" s="1">
        <f>16.83+34.63</f>
        <v>51.46</v>
      </c>
    </row>
    <row r="502" spans="2:8" x14ac:dyDescent="0.2">
      <c r="B502" t="str">
        <f>VLOOKUP(G502,PC!B:D,3,FALSE)</f>
        <v>CPV</v>
      </c>
      <c r="C502" s="22">
        <v>2023</v>
      </c>
      <c r="D502" t="s">
        <v>110</v>
      </c>
      <c r="E502" t="s">
        <v>159</v>
      </c>
      <c r="F502" t="str">
        <f>VLOOKUP(G502,PC!B:D,2,FALSE)</f>
        <v>BEBIDAS</v>
      </c>
      <c r="G502" s="4" t="s">
        <v>46</v>
      </c>
      <c r="H502" s="1">
        <v>61.2</v>
      </c>
    </row>
    <row r="503" spans="2:8" x14ac:dyDescent="0.2">
      <c r="B503" t="str">
        <f>VLOOKUP(G503,PC!B:D,3,FALSE)</f>
        <v>CPV</v>
      </c>
      <c r="C503" s="22">
        <v>2023</v>
      </c>
      <c r="D503" t="s">
        <v>110</v>
      </c>
      <c r="E503" t="s">
        <v>159</v>
      </c>
      <c r="F503" t="str">
        <f>VLOOKUP(G503,PC!B:D,2,FALSE)</f>
        <v>COMIDA</v>
      </c>
      <c r="G503" s="4" t="s">
        <v>145</v>
      </c>
      <c r="H503" s="1">
        <f>352.67-H504-H505</f>
        <v>258.54000000000002</v>
      </c>
    </row>
    <row r="504" spans="2:8" x14ac:dyDescent="0.2">
      <c r="B504" t="str">
        <f>VLOOKUP(G504,PC!B:D,3,FALSE)</f>
        <v>CPV</v>
      </c>
      <c r="C504" s="22">
        <v>2023</v>
      </c>
      <c r="D504" t="s">
        <v>110</v>
      </c>
      <c r="E504" t="s">
        <v>159</v>
      </c>
      <c r="F504" t="str">
        <f>VLOOKUP(G504,PC!B:D,2,FALSE)</f>
        <v>COMIDA</v>
      </c>
      <c r="G504" s="4" t="s">
        <v>18</v>
      </c>
      <c r="H504" s="1">
        <f>35.76+35.76</f>
        <v>71.52</v>
      </c>
    </row>
    <row r="505" spans="2:8" x14ac:dyDescent="0.2">
      <c r="B505" t="str">
        <f>VLOOKUP(G505,PC!B:D,3,FALSE)</f>
        <v>CPV</v>
      </c>
      <c r="C505" s="22">
        <v>2023</v>
      </c>
      <c r="D505" t="s">
        <v>110</v>
      </c>
      <c r="E505" t="s">
        <v>159</v>
      </c>
      <c r="F505" t="str">
        <f>VLOOKUP(G505,PC!B:D,2,FALSE)</f>
        <v>COMIDA</v>
      </c>
      <c r="G505" s="4" t="s">
        <v>22</v>
      </c>
      <c r="H505" s="1">
        <f>12.92+9.69</f>
        <v>22.61</v>
      </c>
    </row>
    <row r="506" spans="2:8" x14ac:dyDescent="0.2">
      <c r="B506" t="str">
        <f>VLOOKUP(G506,PC!B:D,3,FALSE)</f>
        <v>CPV</v>
      </c>
      <c r="C506" s="22">
        <v>2023</v>
      </c>
      <c r="D506" t="s">
        <v>110</v>
      </c>
      <c r="E506" t="s">
        <v>163</v>
      </c>
      <c r="F506" t="str">
        <f>VLOOKUP(G506,PC!B:D,2,FALSE)</f>
        <v>LIMPEZA</v>
      </c>
      <c r="G506" s="4" t="s">
        <v>43</v>
      </c>
      <c r="H506" s="1">
        <f>318.4+23.71</f>
        <v>342.10999999999996</v>
      </c>
    </row>
    <row r="507" spans="2:8" x14ac:dyDescent="0.2">
      <c r="B507" t="str">
        <f>VLOOKUP(G507,PC!B:D,3,FALSE)</f>
        <v>CPV</v>
      </c>
      <c r="C507" s="22">
        <v>2023</v>
      </c>
      <c r="D507" t="s">
        <v>110</v>
      </c>
      <c r="E507" t="s">
        <v>163</v>
      </c>
      <c r="F507" t="str">
        <f>VLOOKUP(G507,PC!B:D,2,FALSE)</f>
        <v>HIGIENE</v>
      </c>
      <c r="G507" s="4" t="s">
        <v>36</v>
      </c>
      <c r="H507" s="1">
        <v>62.95</v>
      </c>
    </row>
    <row r="508" spans="2:8" x14ac:dyDescent="0.2">
      <c r="B508" t="str">
        <f>VLOOKUP(G508,PC!B:D,3,FALSE)</f>
        <v>CPV</v>
      </c>
      <c r="C508" s="22">
        <v>2023</v>
      </c>
      <c r="D508" t="s">
        <v>110</v>
      </c>
      <c r="E508" t="s">
        <v>163</v>
      </c>
      <c r="F508" t="str">
        <f>VLOOKUP(G508,PC!B:D,2,FALSE)</f>
        <v>COMIDA</v>
      </c>
      <c r="G508" s="4" t="s">
        <v>38</v>
      </c>
      <c r="H508" s="1">
        <f>98.76+5.04</f>
        <v>103.80000000000001</v>
      </c>
    </row>
    <row r="509" spans="2:8" x14ac:dyDescent="0.2">
      <c r="B509" t="str">
        <f>VLOOKUP(G509,PC!B:D,3,FALSE)</f>
        <v>CPV</v>
      </c>
      <c r="C509" s="22">
        <v>2023</v>
      </c>
      <c r="D509" t="s">
        <v>110</v>
      </c>
      <c r="E509" t="s">
        <v>169</v>
      </c>
      <c r="F509" t="str">
        <f>VLOOKUP(G509,PC!B:D,2,FALSE)</f>
        <v>COMIDA</v>
      </c>
      <c r="G509" s="4" t="s">
        <v>18</v>
      </c>
      <c r="H509" s="1">
        <v>309.20999999999998</v>
      </c>
    </row>
    <row r="510" spans="2:8" x14ac:dyDescent="0.2">
      <c r="B510" t="str">
        <f>VLOOKUP(G510,PC!B:D,3,FALSE)</f>
        <v>CPV</v>
      </c>
      <c r="C510" s="22">
        <v>2023</v>
      </c>
      <c r="D510" t="s">
        <v>110</v>
      </c>
      <c r="E510" t="s">
        <v>28</v>
      </c>
      <c r="F510" t="str">
        <f>VLOOKUP(G510,PC!B:D,2,FALSE)</f>
        <v>BEBIDAS</v>
      </c>
      <c r="G510" s="4" t="s">
        <v>26</v>
      </c>
      <c r="H510" s="1">
        <v>745.38</v>
      </c>
    </row>
    <row r="511" spans="2:8" x14ac:dyDescent="0.2">
      <c r="B511" t="str">
        <f>VLOOKUP(G511,PC!B:D,3,FALSE)</f>
        <v>CPV</v>
      </c>
      <c r="C511" s="22">
        <v>2023</v>
      </c>
      <c r="D511" t="s">
        <v>110</v>
      </c>
      <c r="E511" t="s">
        <v>28</v>
      </c>
      <c r="F511" t="str">
        <f>VLOOKUP(G511,PC!B:D,2,FALSE)</f>
        <v>BEBIDAS</v>
      </c>
      <c r="G511" s="4" t="s">
        <v>26</v>
      </c>
      <c r="H511" s="1">
        <f>4848.1-H512</f>
        <v>4448.1000000000004</v>
      </c>
    </row>
    <row r="512" spans="2:8" x14ac:dyDescent="0.2">
      <c r="B512" t="str">
        <f>VLOOKUP(G512,PC!B:D,3,FALSE)</f>
        <v>CPV</v>
      </c>
      <c r="C512" s="22">
        <v>2023</v>
      </c>
      <c r="D512" t="s">
        <v>110</v>
      </c>
      <c r="E512" t="s">
        <v>28</v>
      </c>
      <c r="F512" t="str">
        <f>VLOOKUP(G512,PC!B:D,2,FALSE)</f>
        <v>BEBIDAS</v>
      </c>
      <c r="G512" s="4" t="s">
        <v>25</v>
      </c>
      <c r="H512" s="1">
        <v>400</v>
      </c>
    </row>
    <row r="513" spans="2:8" x14ac:dyDescent="0.2">
      <c r="B513" t="str">
        <f>VLOOKUP(G513,PC!B:D,3,FALSE)</f>
        <v>CPV</v>
      </c>
      <c r="C513" s="22">
        <v>2023</v>
      </c>
      <c r="D513" t="s">
        <v>110</v>
      </c>
      <c r="E513" t="s">
        <v>28</v>
      </c>
      <c r="F513" t="str">
        <f>VLOOKUP(G513,PC!B:D,2,FALSE)</f>
        <v>BEBIDAS</v>
      </c>
      <c r="G513" s="4" t="s">
        <v>26</v>
      </c>
      <c r="H513" s="1">
        <v>613</v>
      </c>
    </row>
    <row r="514" spans="2:8" x14ac:dyDescent="0.2">
      <c r="B514" t="str">
        <f>VLOOKUP(G514,PC!B:D,3,FALSE)</f>
        <v>CPV</v>
      </c>
      <c r="C514" s="22">
        <v>2023</v>
      </c>
      <c r="D514" t="s">
        <v>110</v>
      </c>
      <c r="E514" t="s">
        <v>21</v>
      </c>
      <c r="F514" t="str">
        <f>VLOOKUP(G514,PC!B:D,2,FALSE)</f>
        <v>SOBREMESA</v>
      </c>
      <c r="G514" s="4" t="s">
        <v>23</v>
      </c>
      <c r="H514" s="1">
        <f>273.93-H515</f>
        <v>187.39000000000001</v>
      </c>
    </row>
    <row r="515" spans="2:8" x14ac:dyDescent="0.2">
      <c r="B515" t="str">
        <f>VLOOKUP(G515,PC!B:D,3,FALSE)</f>
        <v>CPV</v>
      </c>
      <c r="C515" s="22">
        <v>2023</v>
      </c>
      <c r="D515" t="s">
        <v>110</v>
      </c>
      <c r="E515" t="s">
        <v>21</v>
      </c>
      <c r="F515" t="str">
        <f>VLOOKUP(G515,PC!B:D,2,FALSE)</f>
        <v>COMIDA</v>
      </c>
      <c r="G515" s="4" t="s">
        <v>38</v>
      </c>
      <c r="H515" s="1">
        <f>28.5+58.04</f>
        <v>86.539999999999992</v>
      </c>
    </row>
    <row r="516" spans="2:8" x14ac:dyDescent="0.2">
      <c r="B516" t="str">
        <f>VLOOKUP(G516,PC!B:D,3,FALSE)</f>
        <v>CPV</v>
      </c>
      <c r="C516" s="22">
        <v>2023</v>
      </c>
      <c r="D516" t="s">
        <v>110</v>
      </c>
      <c r="E516" t="s">
        <v>24</v>
      </c>
      <c r="F516" t="str">
        <f>VLOOKUP(G516,PC!B:D,2,FALSE)</f>
        <v>COMIDA</v>
      </c>
      <c r="G516" s="4" t="s">
        <v>33</v>
      </c>
      <c r="H516" s="1">
        <v>561.84</v>
      </c>
    </row>
    <row r="517" spans="2:8" x14ac:dyDescent="0.2">
      <c r="B517" t="str">
        <f>VLOOKUP(G517,PC!B:D,3,FALSE)</f>
        <v>CPV</v>
      </c>
      <c r="C517" s="22">
        <v>2023</v>
      </c>
      <c r="D517" t="s">
        <v>110</v>
      </c>
      <c r="E517" t="s">
        <v>14</v>
      </c>
      <c r="F517" t="str">
        <f>VLOOKUP(G517,PC!B:D,2,FALSE)</f>
        <v>BEBIDAS</v>
      </c>
      <c r="G517" s="4" t="s">
        <v>25</v>
      </c>
      <c r="H517" s="1">
        <v>361.57</v>
      </c>
    </row>
    <row r="518" spans="2:8" x14ac:dyDescent="0.2">
      <c r="B518" t="str">
        <f>VLOOKUP(G518,PC!B:D,3,FALSE)</f>
        <v>CPV</v>
      </c>
      <c r="C518" s="22">
        <v>2023</v>
      </c>
      <c r="D518" t="s">
        <v>110</v>
      </c>
      <c r="E518" t="s">
        <v>21</v>
      </c>
      <c r="F518" t="str">
        <f>VLOOKUP(G518,PC!B:D,2,FALSE)</f>
        <v>SOBREMESA</v>
      </c>
      <c r="G518" s="4" t="s">
        <v>8</v>
      </c>
      <c r="H518" s="1">
        <v>23.54</v>
      </c>
    </row>
    <row r="519" spans="2:8" x14ac:dyDescent="0.2">
      <c r="B519" t="str">
        <f>VLOOKUP(G519,PC!B:D,3,FALSE)</f>
        <v>CPV</v>
      </c>
      <c r="C519" s="22">
        <v>2023</v>
      </c>
      <c r="D519" t="s">
        <v>110</v>
      </c>
      <c r="E519" t="s">
        <v>20</v>
      </c>
      <c r="F519" t="str">
        <f>VLOOKUP(G519,PC!B:D,2,FALSE)</f>
        <v>COMIDA</v>
      </c>
      <c r="G519" s="4" t="s">
        <v>29</v>
      </c>
      <c r="H519" s="1">
        <v>198.56</v>
      </c>
    </row>
    <row r="520" spans="2:8" x14ac:dyDescent="0.2">
      <c r="B520" t="str">
        <f>VLOOKUP(G520,PC!B:D,3,FALSE)</f>
        <v>CPV</v>
      </c>
      <c r="C520" s="22">
        <v>2023</v>
      </c>
      <c r="D520" t="s">
        <v>110</v>
      </c>
      <c r="E520" t="s">
        <v>21</v>
      </c>
      <c r="F520" t="str">
        <f>VLOOKUP(G520,PC!B:D,2,FALSE)</f>
        <v>SOBREMESA</v>
      </c>
      <c r="G520" s="4" t="s">
        <v>23</v>
      </c>
      <c r="H520" s="1">
        <v>184.4</v>
      </c>
    </row>
    <row r="521" spans="2:8" x14ac:dyDescent="0.2">
      <c r="B521" t="str">
        <f>VLOOKUP(G521,PC!B:D,3,FALSE)</f>
        <v>CPV</v>
      </c>
      <c r="C521" s="22">
        <v>2023</v>
      </c>
      <c r="D521" t="s">
        <v>110</v>
      </c>
      <c r="E521" t="s">
        <v>35</v>
      </c>
      <c r="F521" t="str">
        <f>VLOOKUP(G521,PC!B:D,2,FALSE)</f>
        <v>BEBIDAS</v>
      </c>
      <c r="G521" s="4" t="s">
        <v>39</v>
      </c>
      <c r="H521" s="1">
        <v>343.92</v>
      </c>
    </row>
    <row r="522" spans="2:8" x14ac:dyDescent="0.2">
      <c r="B522" t="str">
        <f>VLOOKUP(G522,PC!B:D,3,FALSE)</f>
        <v>CPV</v>
      </c>
      <c r="C522" s="22">
        <v>2023</v>
      </c>
      <c r="D522" t="s">
        <v>110</v>
      </c>
      <c r="E522" t="s">
        <v>35</v>
      </c>
      <c r="F522" t="str">
        <f>VLOOKUP(G522,PC!B:D,2,FALSE)</f>
        <v>OUTROS</v>
      </c>
      <c r="G522" s="4" t="s">
        <v>37</v>
      </c>
      <c r="H522" s="1">
        <f>62.22+81.12+81.54+16.06</f>
        <v>240.94</v>
      </c>
    </row>
    <row r="523" spans="2:8" x14ac:dyDescent="0.2">
      <c r="B523" t="str">
        <f>VLOOKUP(G523,PC!B:D,3,FALSE)</f>
        <v>CPV</v>
      </c>
      <c r="C523" s="22">
        <v>2023</v>
      </c>
      <c r="D523" t="s">
        <v>110</v>
      </c>
      <c r="E523" t="s">
        <v>35</v>
      </c>
      <c r="F523" t="str">
        <f>VLOOKUP(G523,PC!B:D,2,FALSE)</f>
        <v>COMIDA</v>
      </c>
      <c r="G523" s="4" t="s">
        <v>38</v>
      </c>
      <c r="H523" s="1">
        <f>70.92+59.99+33.03</f>
        <v>163.94</v>
      </c>
    </row>
    <row r="524" spans="2:8" x14ac:dyDescent="0.2">
      <c r="B524" t="str">
        <f>VLOOKUP(G524,PC!B:D,3,FALSE)</f>
        <v>CPV</v>
      </c>
      <c r="C524" s="22">
        <v>2023</v>
      </c>
      <c r="D524" t="s">
        <v>110</v>
      </c>
      <c r="E524" t="s">
        <v>35</v>
      </c>
      <c r="F524" t="str">
        <f>VLOOKUP(G524,PC!B:D,2,FALSE)</f>
        <v>HIGIENE</v>
      </c>
      <c r="G524" s="4" t="s">
        <v>36</v>
      </c>
      <c r="H524" s="1">
        <v>28.8</v>
      </c>
    </row>
    <row r="525" spans="2:8" x14ac:dyDescent="0.2">
      <c r="B525" t="str">
        <f>VLOOKUP(G525,PC!B:D,3,FALSE)</f>
        <v>CPV</v>
      </c>
      <c r="C525" s="22">
        <v>2023</v>
      </c>
      <c r="D525" t="s">
        <v>110</v>
      </c>
      <c r="E525" t="s">
        <v>35</v>
      </c>
      <c r="F525" t="str">
        <f>VLOOKUP(G525,PC!B:D,2,FALSE)</f>
        <v>SOBREMESA</v>
      </c>
      <c r="G525" s="4" t="s">
        <v>8</v>
      </c>
      <c r="H525" s="1">
        <v>20.39</v>
      </c>
    </row>
    <row r="526" spans="2:8" x14ac:dyDescent="0.2">
      <c r="B526" t="str">
        <f>VLOOKUP(G526,PC!B:D,3,FALSE)</f>
        <v>CPV</v>
      </c>
      <c r="C526" s="22">
        <v>2023</v>
      </c>
      <c r="D526" t="s">
        <v>110</v>
      </c>
      <c r="E526" t="s">
        <v>6</v>
      </c>
      <c r="F526" t="str">
        <f>VLOOKUP(G526,PC!B:D,2,FALSE)</f>
        <v>COMIDA</v>
      </c>
      <c r="G526" s="4" t="s">
        <v>145</v>
      </c>
      <c r="H526" s="1">
        <v>38.700000000000003</v>
      </c>
    </row>
    <row r="527" spans="2:8" x14ac:dyDescent="0.2">
      <c r="B527" t="str">
        <f>VLOOKUP(G527,PC!B:D,3,FALSE)</f>
        <v>CPV</v>
      </c>
      <c r="C527" s="22">
        <v>2023</v>
      </c>
      <c r="D527" t="s">
        <v>110</v>
      </c>
      <c r="E527" t="s">
        <v>164</v>
      </c>
      <c r="F527" t="str">
        <f>VLOOKUP(G527,PC!B:D,2,FALSE)</f>
        <v>COMIDA</v>
      </c>
      <c r="G527" s="4" t="s">
        <v>33</v>
      </c>
      <c r="H527" s="1">
        <v>108.12</v>
      </c>
    </row>
    <row r="528" spans="2:8" x14ac:dyDescent="0.2">
      <c r="B528" t="str">
        <f>VLOOKUP(G528,PC!B:D,3,FALSE)</f>
        <v>CPV</v>
      </c>
      <c r="C528" s="22">
        <v>2023</v>
      </c>
      <c r="D528" t="s">
        <v>110</v>
      </c>
      <c r="E528" t="s">
        <v>40</v>
      </c>
      <c r="F528" t="str">
        <f>VLOOKUP(G528,PC!B:D,2,FALSE)</f>
        <v>BEBIDAS</v>
      </c>
      <c r="G528" s="4" t="s">
        <v>26</v>
      </c>
      <c r="H528" s="1">
        <v>574</v>
      </c>
    </row>
    <row r="529" spans="2:9" x14ac:dyDescent="0.2">
      <c r="B529" t="str">
        <f>VLOOKUP(G529,PC!B:D,3,FALSE)</f>
        <v>RECEITA</v>
      </c>
      <c r="C529" s="22">
        <v>2023</v>
      </c>
      <c r="D529" t="s">
        <v>110</v>
      </c>
      <c r="F529" t="str">
        <f>VLOOKUP(G529,PC!B:D,2,FALSE)</f>
        <v>RECEITA</v>
      </c>
      <c r="G529" s="4" t="s">
        <v>54</v>
      </c>
      <c r="H529" s="1">
        <f>2100+200+2300+61.9</f>
        <v>4661.8999999999996</v>
      </c>
    </row>
    <row r="530" spans="2:9" x14ac:dyDescent="0.2">
      <c r="B530" t="str">
        <f>VLOOKUP(G530,PC!B:D,3,FALSE)</f>
        <v>DESPESA PESSOAL</v>
      </c>
      <c r="C530" s="22">
        <v>2023</v>
      </c>
      <c r="D530" t="s">
        <v>110</v>
      </c>
      <c r="F530" t="str">
        <f>VLOOKUP(G530,PC!B:D,2,FALSE)</f>
        <v>DESPESA PESSOAL</v>
      </c>
      <c r="G530" s="4" t="s">
        <v>68</v>
      </c>
      <c r="H530" s="1">
        <v>61.9</v>
      </c>
    </row>
    <row r="531" spans="2:9" x14ac:dyDescent="0.2">
      <c r="B531" t="str">
        <f>VLOOKUP(G531,PC!B:D,3,FALSE)</f>
        <v>DESPESA OPERACIONAL</v>
      </c>
      <c r="C531" s="22">
        <v>2023</v>
      </c>
      <c r="D531" t="s">
        <v>110</v>
      </c>
      <c r="E531" t="s">
        <v>129</v>
      </c>
      <c r="F531" t="str">
        <f>VLOOKUP(G531,PC!B:D,2,FALSE)</f>
        <v>DESPESA OPERACIONAL</v>
      </c>
      <c r="G531" s="4" t="s">
        <v>70</v>
      </c>
      <c r="H531" s="1">
        <v>73</v>
      </c>
    </row>
    <row r="532" spans="2:9" x14ac:dyDescent="0.2">
      <c r="B532" t="str">
        <f>VLOOKUP(G532,PC!B:D,3,FALSE)</f>
        <v>RECEITA</v>
      </c>
      <c r="C532" s="22">
        <v>2023</v>
      </c>
      <c r="D532" t="s">
        <v>110</v>
      </c>
      <c r="F532" t="str">
        <f>VLOOKUP(G532,PC!B:D,2,FALSE)</f>
        <v>RECEITA</v>
      </c>
      <c r="G532" s="4" t="s">
        <v>54</v>
      </c>
      <c r="H532" s="1">
        <f>73+200+70+400+600+54</f>
        <v>1397</v>
      </c>
    </row>
    <row r="533" spans="2:9" x14ac:dyDescent="0.2">
      <c r="B533" t="str">
        <f>VLOOKUP(G533,PC!B:D,3,FALSE)</f>
        <v>CPV</v>
      </c>
      <c r="C533" s="22">
        <v>2023</v>
      </c>
      <c r="D533" t="s">
        <v>110</v>
      </c>
      <c r="E533" t="s">
        <v>129</v>
      </c>
      <c r="F533" t="str">
        <f>VLOOKUP(G533,PC!B:D,2,FALSE)</f>
        <v>COMIDA</v>
      </c>
      <c r="G533" s="4" t="s">
        <v>12</v>
      </c>
      <c r="H533" s="1">
        <v>58</v>
      </c>
    </row>
    <row r="534" spans="2:9" x14ac:dyDescent="0.2">
      <c r="B534" t="str">
        <f>VLOOKUP(G534,PC!B:D,3,FALSE)</f>
        <v>DESPESA PESSOAL</v>
      </c>
      <c r="C534" s="22">
        <v>2023</v>
      </c>
      <c r="D534" t="s">
        <v>110</v>
      </c>
      <c r="F534" t="str">
        <f>VLOOKUP(G534,PC!B:D,2,FALSE)</f>
        <v>DESPESA PESSOAL</v>
      </c>
      <c r="G534" s="4" t="s">
        <v>68</v>
      </c>
      <c r="H534" s="1">
        <v>30</v>
      </c>
    </row>
    <row r="535" spans="2:9" x14ac:dyDescent="0.2">
      <c r="B535" t="str">
        <f>VLOOKUP(G535,PC!B:D,3,FALSE)</f>
        <v>CPV</v>
      </c>
      <c r="C535" s="22">
        <v>2023</v>
      </c>
      <c r="D535" t="s">
        <v>110</v>
      </c>
      <c r="E535" t="s">
        <v>129</v>
      </c>
      <c r="F535" t="str">
        <f>VLOOKUP(G535,PC!B:D,2,FALSE)</f>
        <v>COMIDA</v>
      </c>
      <c r="G535" s="4" t="s">
        <v>18</v>
      </c>
      <c r="H535" s="1">
        <v>23.5</v>
      </c>
    </row>
    <row r="536" spans="2:9" x14ac:dyDescent="0.2">
      <c r="B536" t="str">
        <f>VLOOKUP(G536,PC!B:D,3,FALSE)</f>
        <v>RECEITA</v>
      </c>
      <c r="C536" s="22">
        <v>2023</v>
      </c>
      <c r="D536" t="s">
        <v>110</v>
      </c>
      <c r="F536" t="str">
        <f>VLOOKUP(G536,PC!B:D,2,FALSE)</f>
        <v>RECEITA</v>
      </c>
      <c r="G536" s="4" t="s">
        <v>54</v>
      </c>
      <c r="H536" s="1">
        <f>58+30+23+600+1700</f>
        <v>2411</v>
      </c>
    </row>
    <row r="537" spans="2:9" x14ac:dyDescent="0.2">
      <c r="B537" t="str">
        <f>VLOOKUP(G537,PC!B:D,3,FALSE)</f>
        <v>DESPESA PESSOAL</v>
      </c>
      <c r="C537" s="22">
        <v>2023</v>
      </c>
      <c r="D537" t="s">
        <v>110</v>
      </c>
      <c r="F537" t="str">
        <f>VLOOKUP(G537,PC!B:D,2,FALSE)</f>
        <v>DESPESA PESSOAL</v>
      </c>
      <c r="G537" s="4" t="s">
        <v>68</v>
      </c>
      <c r="H537" s="1">
        <v>160</v>
      </c>
    </row>
    <row r="538" spans="2:9" x14ac:dyDescent="0.2">
      <c r="B538" t="str">
        <f>VLOOKUP(G538,PC!B:D,3,FALSE)</f>
        <v>CPV</v>
      </c>
      <c r="C538" s="22">
        <v>2023</v>
      </c>
      <c r="D538" t="s">
        <v>110</v>
      </c>
      <c r="E538" t="s">
        <v>129</v>
      </c>
      <c r="F538" t="str">
        <f>VLOOKUP(G538,PC!B:D,2,FALSE)</f>
        <v>COMIDA</v>
      </c>
      <c r="G538" s="4" t="s">
        <v>33</v>
      </c>
      <c r="H538" s="1">
        <v>70</v>
      </c>
    </row>
    <row r="539" spans="2:9" x14ac:dyDescent="0.2">
      <c r="B539" t="str">
        <f>VLOOKUP(G539,PC!B:D,3,FALSE)</f>
        <v>RECEITA</v>
      </c>
      <c r="C539" s="22">
        <v>2023</v>
      </c>
      <c r="D539" t="s">
        <v>110</v>
      </c>
      <c r="F539" t="str">
        <f>VLOOKUP(G539,PC!B:D,2,FALSE)</f>
        <v>RECEITA</v>
      </c>
      <c r="G539" s="4" t="s">
        <v>54</v>
      </c>
      <c r="H539" s="1">
        <f>970+160+70+1600</f>
        <v>2800</v>
      </c>
    </row>
    <row r="540" spans="2:9" x14ac:dyDescent="0.2">
      <c r="B540" t="str">
        <f>VLOOKUP(G540,PC!B:D,3,FALSE)</f>
        <v>CPV</v>
      </c>
      <c r="C540" s="22">
        <v>2023</v>
      </c>
      <c r="D540" t="s">
        <v>110</v>
      </c>
      <c r="E540" t="s">
        <v>129</v>
      </c>
      <c r="F540" t="str">
        <f>VLOOKUP(G540,PC!B:D,2,FALSE)</f>
        <v>COMIDA</v>
      </c>
      <c r="G540" s="4" t="s">
        <v>152</v>
      </c>
      <c r="H540" s="1">
        <v>84</v>
      </c>
    </row>
    <row r="541" spans="2:9" x14ac:dyDescent="0.2">
      <c r="B541" t="str">
        <f>VLOOKUP(G541,PC!B:D,3,FALSE)</f>
        <v>RECEITA</v>
      </c>
      <c r="C541" s="22">
        <v>2023</v>
      </c>
      <c r="D541" t="s">
        <v>110</v>
      </c>
      <c r="F541" t="str">
        <f>VLOOKUP(G541,PC!B:D,2,FALSE)</f>
        <v>RECEITA</v>
      </c>
      <c r="G541" s="4" t="s">
        <v>54</v>
      </c>
      <c r="H541" s="1">
        <f>1450+50+300+1300+84+1450</f>
        <v>4634</v>
      </c>
    </row>
    <row r="542" spans="2:9" x14ac:dyDescent="0.2">
      <c r="B542" t="str">
        <f>VLOOKUP(G542,PC!B:D,3,FALSE)</f>
        <v>DESPESA PESSOAL</v>
      </c>
      <c r="C542" s="22">
        <v>2023</v>
      </c>
      <c r="D542" t="s">
        <v>110</v>
      </c>
      <c r="F542" t="str">
        <f>VLOOKUP(G542,PC!B:D,2,FALSE)</f>
        <v>DESPESA PESSOAL</v>
      </c>
      <c r="G542" s="4" t="s">
        <v>56</v>
      </c>
      <c r="H542" s="1">
        <v>300</v>
      </c>
    </row>
    <row r="543" spans="2:9" x14ac:dyDescent="0.2">
      <c r="B543" t="str">
        <f>VLOOKUP(G543,PC!B:D,3,FALSE)</f>
        <v>DESPESA PESSOAL</v>
      </c>
      <c r="C543" s="22">
        <v>2023</v>
      </c>
      <c r="D543" t="s">
        <v>110</v>
      </c>
      <c r="F543" t="str">
        <f>VLOOKUP(G543,PC!B:D,2,FALSE)</f>
        <v>DESPESA PESSOAL</v>
      </c>
      <c r="G543" s="4" t="s">
        <v>56</v>
      </c>
      <c r="H543" s="1">
        <v>50</v>
      </c>
      <c r="I543" s="7" t="s">
        <v>170</v>
      </c>
    </row>
    <row r="544" spans="2:9" x14ac:dyDescent="0.2">
      <c r="B544" t="str">
        <f>VLOOKUP(G544,PC!B:D,3,FALSE)</f>
        <v>CPV</v>
      </c>
      <c r="C544" s="22">
        <v>2023</v>
      </c>
      <c r="D544" t="s">
        <v>110</v>
      </c>
      <c r="E544" t="s">
        <v>27</v>
      </c>
      <c r="F544" t="str">
        <f>VLOOKUP(G544,PC!B:D,2,FALSE)</f>
        <v>COMIDA</v>
      </c>
      <c r="G544" s="4" t="s">
        <v>12</v>
      </c>
      <c r="H544" s="1">
        <v>216.71</v>
      </c>
    </row>
    <row r="545" spans="2:9" x14ac:dyDescent="0.2">
      <c r="B545" t="str">
        <f>VLOOKUP(G545,PC!B:D,3,FALSE)</f>
        <v>CPV</v>
      </c>
      <c r="C545" s="22">
        <v>2023</v>
      </c>
      <c r="D545" t="s">
        <v>110</v>
      </c>
      <c r="E545" t="s">
        <v>171</v>
      </c>
      <c r="F545" t="str">
        <f>VLOOKUP(G545,PC!B:D,2,FALSE)</f>
        <v>BEBIDAS</v>
      </c>
      <c r="G545" s="4" t="s">
        <v>25</v>
      </c>
      <c r="H545" s="1">
        <v>187.79</v>
      </c>
    </row>
    <row r="546" spans="2:9" x14ac:dyDescent="0.2">
      <c r="B546" t="str">
        <f>VLOOKUP(G546,PC!B:D,3,FALSE)</f>
        <v>CPV</v>
      </c>
      <c r="C546" s="22">
        <v>2023</v>
      </c>
      <c r="D546" t="s">
        <v>110</v>
      </c>
      <c r="E546" t="s">
        <v>6</v>
      </c>
      <c r="F546" t="str">
        <f>VLOOKUP(G546,PC!B:D,2,FALSE)</f>
        <v>COMIDA</v>
      </c>
      <c r="G546" s="4" t="s">
        <v>145</v>
      </c>
      <c r="H546" s="1">
        <v>60.84</v>
      </c>
    </row>
    <row r="547" spans="2:9" x14ac:dyDescent="0.2">
      <c r="B547" t="str">
        <f>VLOOKUP(G547,PC!B:D,3,FALSE)</f>
        <v>CPV</v>
      </c>
      <c r="C547" s="22">
        <v>2023</v>
      </c>
      <c r="D547" t="s">
        <v>110</v>
      </c>
      <c r="E547" t="s">
        <v>156</v>
      </c>
      <c r="F547" t="str">
        <f>VLOOKUP(G547,PC!B:D,2,FALSE)</f>
        <v>BEBIDAS</v>
      </c>
      <c r="G547" s="4" t="s">
        <v>26</v>
      </c>
      <c r="H547" s="1">
        <v>215.3</v>
      </c>
    </row>
    <row r="548" spans="2:9" x14ac:dyDescent="0.2">
      <c r="B548" t="str">
        <f>VLOOKUP(G548,PC!B:D,3,FALSE)</f>
        <v>RECEITA</v>
      </c>
      <c r="C548" s="22">
        <v>2023</v>
      </c>
      <c r="D548" t="s">
        <v>110</v>
      </c>
      <c r="E548" t="s">
        <v>156</v>
      </c>
      <c r="F548" t="str">
        <f>VLOOKUP(G548,PC!B:D,2,FALSE)</f>
        <v>RECEITA</v>
      </c>
      <c r="G548" s="4" t="s">
        <v>83</v>
      </c>
      <c r="H548" s="1">
        <v>43.06</v>
      </c>
    </row>
    <row r="549" spans="2:9" x14ac:dyDescent="0.2">
      <c r="B549" t="str">
        <f>VLOOKUP(G549,PC!B:D,3,FALSE)</f>
        <v>CPV</v>
      </c>
      <c r="C549" s="22">
        <v>2023</v>
      </c>
      <c r="D549" t="s">
        <v>110</v>
      </c>
      <c r="E549" t="s">
        <v>24</v>
      </c>
      <c r="F549" t="str">
        <f>VLOOKUP(G549,PC!B:D,2,FALSE)</f>
        <v>COMIDA</v>
      </c>
      <c r="G549" s="4" t="s">
        <v>33</v>
      </c>
      <c r="H549" s="1">
        <v>318.25</v>
      </c>
    </row>
    <row r="550" spans="2:9" x14ac:dyDescent="0.2">
      <c r="B550" t="str">
        <f>VLOOKUP(G550,PC!B:D,3,FALSE)</f>
        <v>CPV</v>
      </c>
      <c r="C550" s="22">
        <v>2023</v>
      </c>
      <c r="D550" t="s">
        <v>110</v>
      </c>
      <c r="E550" t="s">
        <v>21</v>
      </c>
      <c r="F550" t="str">
        <f>VLOOKUP(G550,PC!B:D,2,FALSE)</f>
        <v>SOBREMESA</v>
      </c>
      <c r="G550" s="4" t="s">
        <v>23</v>
      </c>
      <c r="H550" s="1">
        <v>50.24</v>
      </c>
    </row>
    <row r="551" spans="2:9" x14ac:dyDescent="0.2">
      <c r="B551" t="str">
        <f>VLOOKUP(G551,PC!B:D,3,FALSE)</f>
        <v>CPV</v>
      </c>
      <c r="C551" s="22">
        <v>2023</v>
      </c>
      <c r="D551" t="s">
        <v>110</v>
      </c>
      <c r="E551" t="s">
        <v>14</v>
      </c>
      <c r="F551" t="str">
        <f>VLOOKUP(G551,PC!B:D,2,FALSE)</f>
        <v>BEBIDAS</v>
      </c>
      <c r="G551" s="4" t="s">
        <v>41</v>
      </c>
      <c r="H551" s="1">
        <v>35.96</v>
      </c>
    </row>
    <row r="552" spans="2:9" x14ac:dyDescent="0.2">
      <c r="B552" t="str">
        <f>VLOOKUP(G552,PC!B:D,3,FALSE)</f>
        <v>CPV</v>
      </c>
      <c r="C552" s="22">
        <v>2023</v>
      </c>
      <c r="D552" t="s">
        <v>110</v>
      </c>
      <c r="E552" t="s">
        <v>14</v>
      </c>
      <c r="F552" t="str">
        <f>VLOOKUP(G552,PC!B:D,2,FALSE)</f>
        <v>BEBIDAS</v>
      </c>
      <c r="G552" s="4" t="s">
        <v>46</v>
      </c>
      <c r="H552" s="1">
        <f>17.74+59.57+(4*29.79)</f>
        <v>196.47</v>
      </c>
    </row>
    <row r="553" spans="2:9" x14ac:dyDescent="0.2">
      <c r="B553" t="str">
        <f>VLOOKUP(G553,PC!B:D,3,FALSE)</f>
        <v>CPV</v>
      </c>
      <c r="C553" s="22">
        <v>2023</v>
      </c>
      <c r="D553" t="s">
        <v>110</v>
      </c>
      <c r="E553" t="s">
        <v>14</v>
      </c>
      <c r="F553" t="str">
        <f>VLOOKUP(G553,PC!B:D,2,FALSE)</f>
        <v>BEBIDAS</v>
      </c>
      <c r="G553" s="4" t="s">
        <v>25</v>
      </c>
      <c r="H553" s="1">
        <f>648.32-H552-H551</f>
        <v>415.89000000000004</v>
      </c>
    </row>
    <row r="554" spans="2:9" x14ac:dyDescent="0.2">
      <c r="B554" t="str">
        <f>VLOOKUP(G554,PC!B:D,3,FALSE)</f>
        <v>CPV</v>
      </c>
      <c r="C554" s="22">
        <v>2023</v>
      </c>
      <c r="D554" t="s">
        <v>110</v>
      </c>
      <c r="E554" t="s">
        <v>129</v>
      </c>
      <c r="F554" t="str">
        <f>VLOOKUP(G554,PC!B:D,2,FALSE)</f>
        <v>LIMPEZA</v>
      </c>
      <c r="G554" s="4" t="s">
        <v>43</v>
      </c>
      <c r="H554" s="1">
        <v>144.80000000000001</v>
      </c>
    </row>
    <row r="555" spans="2:9" x14ac:dyDescent="0.2">
      <c r="B555" t="str">
        <f>VLOOKUP(G555,PC!B:D,3,FALSE)</f>
        <v>CPV</v>
      </c>
      <c r="C555" s="22">
        <v>2023</v>
      </c>
      <c r="D555" t="s">
        <v>110</v>
      </c>
      <c r="E555" t="s">
        <v>129</v>
      </c>
      <c r="F555" t="str">
        <f>VLOOKUP(G555,PC!B:D,2,FALSE)</f>
        <v>BEBIDAS</v>
      </c>
      <c r="G555" s="4" t="s">
        <v>46</v>
      </c>
      <c r="H555" s="1">
        <v>45</v>
      </c>
    </row>
    <row r="556" spans="2:9" x14ac:dyDescent="0.2">
      <c r="B556" t="str">
        <f>VLOOKUP(G556,PC!B:D,3,FALSE)</f>
        <v>CPV</v>
      </c>
      <c r="C556" s="22">
        <v>2023</v>
      </c>
      <c r="D556" t="s">
        <v>110</v>
      </c>
      <c r="E556" t="s">
        <v>129</v>
      </c>
      <c r="F556" t="str">
        <f>VLOOKUP(G556,PC!B:D,2,FALSE)</f>
        <v>BEBIDAS</v>
      </c>
      <c r="G556" s="4" t="s">
        <v>48</v>
      </c>
      <c r="H556" s="1">
        <f>180+60</f>
        <v>240</v>
      </c>
    </row>
    <row r="557" spans="2:9" x14ac:dyDescent="0.2">
      <c r="B557" t="str">
        <f>VLOOKUP(G557,PC!B:D,3,FALSE)</f>
        <v>CPV</v>
      </c>
      <c r="C557" s="22">
        <v>2023</v>
      </c>
      <c r="D557" t="s">
        <v>110</v>
      </c>
      <c r="E557" t="s">
        <v>16</v>
      </c>
      <c r="F557" t="str">
        <f>VLOOKUP(G557,PC!B:D,2,FALSE)</f>
        <v>COMIDA</v>
      </c>
      <c r="G557" s="4" t="s">
        <v>12</v>
      </c>
      <c r="H557" s="1">
        <v>467.36</v>
      </c>
    </row>
    <row r="558" spans="2:9" x14ac:dyDescent="0.2">
      <c r="B558" t="str">
        <f>VLOOKUP(G558,PC!B:D,3,FALSE)</f>
        <v>INVESTIMENTO</v>
      </c>
      <c r="C558" s="22">
        <v>2023</v>
      </c>
      <c r="D558" t="s">
        <v>110</v>
      </c>
      <c r="F558" t="str">
        <f>VLOOKUP(G558,PC!B:D,2,FALSE)</f>
        <v>INVESTIMENTO</v>
      </c>
      <c r="G558" s="4" t="s">
        <v>130</v>
      </c>
      <c r="H558" s="1">
        <v>500</v>
      </c>
      <c r="I558" s="7" t="s">
        <v>148</v>
      </c>
    </row>
    <row r="559" spans="2:9" x14ac:dyDescent="0.2">
      <c r="B559" t="str">
        <f>VLOOKUP(G559,PC!B:D,3,FALSE)</f>
        <v>CPV</v>
      </c>
      <c r="C559" s="22">
        <v>2023</v>
      </c>
      <c r="D559" t="s">
        <v>110</v>
      </c>
      <c r="E559" t="s">
        <v>30</v>
      </c>
      <c r="F559" t="str">
        <f>VLOOKUP(G559,PC!B:D,2,FALSE)</f>
        <v>SOBREMESA</v>
      </c>
      <c r="G559" s="4" t="s">
        <v>23</v>
      </c>
      <c r="H559" s="1">
        <f>177.17-H560</f>
        <v>135.82</v>
      </c>
    </row>
    <row r="560" spans="2:9" x14ac:dyDescent="0.2">
      <c r="B560" t="str">
        <f>VLOOKUP(G560,PC!B:D,3,FALSE)</f>
        <v>CPV</v>
      </c>
      <c r="C560" s="22">
        <v>2023</v>
      </c>
      <c r="D560" t="s">
        <v>110</v>
      </c>
      <c r="E560" t="s">
        <v>30</v>
      </c>
      <c r="F560" t="str">
        <f>VLOOKUP(G560,PC!B:D,2,FALSE)</f>
        <v>BEBIDAS</v>
      </c>
      <c r="G560" s="4" t="s">
        <v>144</v>
      </c>
      <c r="H560" s="1">
        <f>41.35</f>
        <v>41.35</v>
      </c>
    </row>
    <row r="561" spans="2:8" x14ac:dyDescent="0.2">
      <c r="B561" t="str">
        <f>VLOOKUP(G561,PC!B:D,3,FALSE)</f>
        <v>CPV</v>
      </c>
      <c r="C561" s="22">
        <v>2023</v>
      </c>
      <c r="D561" t="s">
        <v>110</v>
      </c>
      <c r="E561" t="s">
        <v>28</v>
      </c>
      <c r="F561" t="str">
        <f>VLOOKUP(G561,PC!B:D,2,FALSE)</f>
        <v>BEBIDAS</v>
      </c>
      <c r="G561" s="4" t="s">
        <v>26</v>
      </c>
      <c r="H561" s="1">
        <v>1293.6099999999999</v>
      </c>
    </row>
    <row r="562" spans="2:8" x14ac:dyDescent="0.2">
      <c r="B562" t="str">
        <f>VLOOKUP(G562,PC!B:D,3,FALSE)</f>
        <v>CPV</v>
      </c>
      <c r="C562" s="22">
        <v>2023</v>
      </c>
      <c r="D562" t="s">
        <v>110</v>
      </c>
      <c r="E562" t="s">
        <v>28</v>
      </c>
      <c r="F562" t="str">
        <f>VLOOKUP(G562,PC!B:D,2,FALSE)</f>
        <v>BEBIDAS</v>
      </c>
      <c r="G562" s="4" t="s">
        <v>26</v>
      </c>
      <c r="H562" s="1">
        <v>5000</v>
      </c>
    </row>
    <row r="563" spans="2:8" x14ac:dyDescent="0.2">
      <c r="B563" t="str">
        <f>VLOOKUP(G563,PC!B:D,3,FALSE)</f>
        <v>CPV</v>
      </c>
      <c r="C563" s="22">
        <v>2023</v>
      </c>
      <c r="D563" t="s">
        <v>110</v>
      </c>
      <c r="E563" t="s">
        <v>28</v>
      </c>
      <c r="F563" t="str">
        <f>VLOOKUP(G563,PC!B:D,2,FALSE)</f>
        <v>BEBIDAS</v>
      </c>
      <c r="G563" s="4" t="s">
        <v>25</v>
      </c>
      <c r="H563" s="1">
        <f>991.68</f>
        <v>991.68</v>
      </c>
    </row>
    <row r="564" spans="2:8" x14ac:dyDescent="0.2">
      <c r="B564" t="str">
        <f>VLOOKUP(G564,PC!B:D,3,FALSE)</f>
        <v>CPV</v>
      </c>
      <c r="C564" s="22">
        <v>2023</v>
      </c>
      <c r="D564" t="s">
        <v>110</v>
      </c>
      <c r="E564" t="s">
        <v>28</v>
      </c>
      <c r="F564" t="str">
        <f>VLOOKUP(G564,PC!B:D,2,FALSE)</f>
        <v>BEBIDAS</v>
      </c>
      <c r="G564" s="4" t="s">
        <v>26</v>
      </c>
      <c r="H564" s="1">
        <f>524.52+1176.95</f>
        <v>1701.47</v>
      </c>
    </row>
    <row r="565" spans="2:8" x14ac:dyDescent="0.2">
      <c r="B565" t="str">
        <f>VLOOKUP(G565,PC!B:D,3,FALSE)</f>
        <v>CPV</v>
      </c>
      <c r="C565" s="22">
        <v>2023</v>
      </c>
      <c r="D565" t="s">
        <v>110</v>
      </c>
      <c r="E565" t="s">
        <v>49</v>
      </c>
      <c r="F565" t="str">
        <f>VLOOKUP(G565,PC!B:D,2,FALSE)</f>
        <v>CIGARRO</v>
      </c>
      <c r="G565" s="4" t="s">
        <v>52</v>
      </c>
      <c r="H565" s="1">
        <v>6700.67</v>
      </c>
    </row>
    <row r="566" spans="2:8" x14ac:dyDescent="0.2">
      <c r="B566" t="str">
        <f>VLOOKUP(G566,PC!B:D,3,FALSE)</f>
        <v>CPV</v>
      </c>
      <c r="C566" s="22">
        <v>2023</v>
      </c>
      <c r="D566" t="s">
        <v>110</v>
      </c>
      <c r="E566" t="s">
        <v>89</v>
      </c>
      <c r="F566" t="str">
        <f>VLOOKUP(G566,PC!B:D,2,FALSE)</f>
        <v>COMIDA</v>
      </c>
      <c r="G566" s="4" t="s">
        <v>38</v>
      </c>
      <c r="H566" s="1">
        <v>316.32</v>
      </c>
    </row>
    <row r="567" spans="2:8" x14ac:dyDescent="0.2">
      <c r="B567" t="str">
        <f>VLOOKUP(G567,PC!B:D,3,FALSE)</f>
        <v>CPV</v>
      </c>
      <c r="C567" s="22">
        <v>2023</v>
      </c>
      <c r="D567" t="s">
        <v>110</v>
      </c>
      <c r="E567" t="s">
        <v>129</v>
      </c>
      <c r="F567" t="str">
        <f>VLOOKUP(G567,PC!B:D,2,FALSE)</f>
        <v>CIGARRO</v>
      </c>
      <c r="G567" s="4" t="s">
        <v>57</v>
      </c>
      <c r="H567" s="1">
        <v>550</v>
      </c>
    </row>
    <row r="568" spans="2:8" x14ac:dyDescent="0.2">
      <c r="B568" t="str">
        <f>VLOOKUP(G568,PC!B:D,3,FALSE)</f>
        <v>DESPESA OPERACIONAL</v>
      </c>
      <c r="C568" s="22">
        <v>2023</v>
      </c>
      <c r="D568" t="s">
        <v>110</v>
      </c>
      <c r="F568" t="str">
        <f>VLOOKUP(G568,PC!B:D,2,FALSE)</f>
        <v>DESPESA OPERACIONAL</v>
      </c>
      <c r="G568" s="4" t="s">
        <v>73</v>
      </c>
      <c r="H568" s="1">
        <f>1050.36+1750.74</f>
        <v>2801.1</v>
      </c>
    </row>
    <row r="569" spans="2:8" x14ac:dyDescent="0.2">
      <c r="B569" t="str">
        <f>VLOOKUP(G569,PC!B:D,3,FALSE)</f>
        <v>DESPESA OPERACIONAL</v>
      </c>
      <c r="C569" s="22">
        <v>2023</v>
      </c>
      <c r="D569" t="s">
        <v>110</v>
      </c>
      <c r="F569" t="str">
        <f>VLOOKUP(G569,PC!B:D,2,FALSE)</f>
        <v>DESPESA OPERACIONAL</v>
      </c>
      <c r="G569" s="4" t="s">
        <v>73</v>
      </c>
      <c r="H569" s="1">
        <f>38.66+24.14</f>
        <v>62.8</v>
      </c>
    </row>
    <row r="570" spans="2:8" x14ac:dyDescent="0.2">
      <c r="B570" t="str">
        <f>VLOOKUP(G570,PC!B:D,3,FALSE)</f>
        <v>CPV</v>
      </c>
      <c r="C570" s="22">
        <v>2023</v>
      </c>
      <c r="D570" t="s">
        <v>110</v>
      </c>
      <c r="E570" t="s">
        <v>89</v>
      </c>
      <c r="F570" t="str">
        <f>VLOOKUP(G570,PC!B:D,2,FALSE)</f>
        <v>OUTROS</v>
      </c>
      <c r="G570" s="4" t="s">
        <v>37</v>
      </c>
      <c r="H570" s="1">
        <v>172.85</v>
      </c>
    </row>
    <row r="571" spans="2:8" x14ac:dyDescent="0.2">
      <c r="B571" t="str">
        <f>VLOOKUP(G571,PC!B:D,3,FALSE)</f>
        <v>CPV</v>
      </c>
      <c r="C571" s="22">
        <v>2023</v>
      </c>
      <c r="D571" t="s">
        <v>110</v>
      </c>
      <c r="E571" t="s">
        <v>77</v>
      </c>
      <c r="F571" t="str">
        <f>VLOOKUP(G571,PC!B:D,2,FALSE)</f>
        <v>OUTROS</v>
      </c>
      <c r="G571" s="4" t="s">
        <v>37</v>
      </c>
      <c r="H571" s="1">
        <v>426.19</v>
      </c>
    </row>
    <row r="572" spans="2:8" x14ac:dyDescent="0.2">
      <c r="B572" t="str">
        <f>VLOOKUP(G572,PC!B:D,3,FALSE)</f>
        <v>CPV</v>
      </c>
      <c r="C572" s="22">
        <v>2023</v>
      </c>
      <c r="D572" t="s">
        <v>110</v>
      </c>
      <c r="E572" t="s">
        <v>77</v>
      </c>
      <c r="F572" t="str">
        <f>VLOOKUP(G572,PC!B:D,2,FALSE)</f>
        <v>OUTROS</v>
      </c>
      <c r="G572" s="4" t="s">
        <v>37</v>
      </c>
      <c r="H572" s="1">
        <v>78.3</v>
      </c>
    </row>
    <row r="573" spans="2:8" x14ac:dyDescent="0.2">
      <c r="B573" t="str">
        <f>VLOOKUP(G573,PC!B:D,3,FALSE)</f>
        <v>CPV</v>
      </c>
      <c r="C573" s="22">
        <v>2023</v>
      </c>
      <c r="D573" t="s">
        <v>110</v>
      </c>
      <c r="E573" t="s">
        <v>89</v>
      </c>
      <c r="F573" t="str">
        <f>VLOOKUP(G573,PC!B:D,2,FALSE)</f>
        <v>OUTROS</v>
      </c>
      <c r="G573" s="4" t="s">
        <v>37</v>
      </c>
      <c r="H573" s="1">
        <v>291.2</v>
      </c>
    </row>
    <row r="574" spans="2:8" x14ac:dyDescent="0.2">
      <c r="B574" t="str">
        <f>VLOOKUP(G574,PC!B:D,3,FALSE)</f>
        <v>CPV</v>
      </c>
      <c r="C574" s="22">
        <v>2023</v>
      </c>
      <c r="D574" t="s">
        <v>110</v>
      </c>
      <c r="E574" t="s">
        <v>77</v>
      </c>
      <c r="F574" t="str">
        <f>VLOOKUP(G574,PC!B:D,2,FALSE)</f>
        <v>OUTROS</v>
      </c>
      <c r="G574" s="4" t="s">
        <v>37</v>
      </c>
      <c r="H574" s="1">
        <v>607.29</v>
      </c>
    </row>
    <row r="575" spans="2:8" x14ac:dyDescent="0.2">
      <c r="B575" t="str">
        <f>VLOOKUP(G575,PC!B:D,3,FALSE)</f>
        <v>CPV</v>
      </c>
      <c r="C575" s="22">
        <v>2023</v>
      </c>
      <c r="D575" t="s">
        <v>110</v>
      </c>
      <c r="E575" t="s">
        <v>129</v>
      </c>
      <c r="F575" t="str">
        <f>VLOOKUP(G575,PC!B:D,2,FALSE)</f>
        <v>BEBIDAS</v>
      </c>
      <c r="G575" s="4" t="s">
        <v>39</v>
      </c>
      <c r="H575" s="1">
        <v>94</v>
      </c>
    </row>
    <row r="576" spans="2:8" x14ac:dyDescent="0.2">
      <c r="B576" t="str">
        <f>VLOOKUP(G576,PC!B:D,3,FALSE)</f>
        <v>CPV</v>
      </c>
      <c r="C576" s="22">
        <v>2023</v>
      </c>
      <c r="D576" t="s">
        <v>110</v>
      </c>
      <c r="E576" t="s">
        <v>129</v>
      </c>
      <c r="F576" t="str">
        <f>VLOOKUP(G576,PC!B:D,2,FALSE)</f>
        <v>COMIDA</v>
      </c>
      <c r="G576" s="4" t="s">
        <v>12</v>
      </c>
      <c r="H576" s="1">
        <v>500</v>
      </c>
    </row>
    <row r="577" spans="2:9" x14ac:dyDescent="0.2">
      <c r="B577" t="str">
        <f>VLOOKUP(G577,PC!B:D,3,FALSE)</f>
        <v>CPV</v>
      </c>
      <c r="C577" s="22">
        <v>2023</v>
      </c>
      <c r="D577" t="s">
        <v>110</v>
      </c>
      <c r="E577" t="s">
        <v>129</v>
      </c>
      <c r="F577" t="str">
        <f>VLOOKUP(G577,PC!B:D,2,FALSE)</f>
        <v>SOBREMESA</v>
      </c>
      <c r="G577" s="4" t="s">
        <v>75</v>
      </c>
      <c r="H577" s="1">
        <v>734.47</v>
      </c>
    </row>
    <row r="578" spans="2:9" x14ac:dyDescent="0.2">
      <c r="B578" t="str">
        <f>VLOOKUP(G578,PC!B:D,3,FALSE)</f>
        <v>CPV</v>
      </c>
      <c r="C578" s="22">
        <v>2023</v>
      </c>
      <c r="D578" t="s">
        <v>110</v>
      </c>
      <c r="E578" t="s">
        <v>129</v>
      </c>
      <c r="F578" t="str">
        <f>VLOOKUP(G578,PC!B:D,2,FALSE)</f>
        <v>COMIDA</v>
      </c>
      <c r="G578" s="4" t="s">
        <v>12</v>
      </c>
      <c r="H578" s="1">
        <v>146.74</v>
      </c>
    </row>
    <row r="579" spans="2:9" x14ac:dyDescent="0.2">
      <c r="B579" t="str">
        <f>VLOOKUP(G579,PC!B:D,3,FALSE)</f>
        <v>RECEITA</v>
      </c>
      <c r="C579" s="22">
        <v>2023</v>
      </c>
      <c r="D579" t="s">
        <v>110</v>
      </c>
      <c r="F579" t="str">
        <f>VLOOKUP(G579,PC!B:D,2,FALSE)</f>
        <v>RECEITA</v>
      </c>
      <c r="G579" s="4" t="s">
        <v>137</v>
      </c>
      <c r="H579" s="1">
        <v>1141.2</v>
      </c>
    </row>
    <row r="580" spans="2:9" x14ac:dyDescent="0.2">
      <c r="B580" t="str">
        <f>VLOOKUP(G580,PC!B:D,3,FALSE)</f>
        <v>RECEITA</v>
      </c>
      <c r="C580" s="22">
        <v>2023</v>
      </c>
      <c r="D580" t="s">
        <v>110</v>
      </c>
      <c r="F580" t="str">
        <f>VLOOKUP(G580,PC!B:D,2,FALSE)</f>
        <v>RECEITA</v>
      </c>
      <c r="G580" s="4" t="s">
        <v>136</v>
      </c>
      <c r="H580" s="1">
        <v>17979.099999999999</v>
      </c>
    </row>
    <row r="581" spans="2:9" x14ac:dyDescent="0.2">
      <c r="B581" t="str">
        <f>VLOOKUP(G581,PC!B:D,3,FALSE)</f>
        <v>RECEITA</v>
      </c>
      <c r="C581" s="22">
        <v>2023</v>
      </c>
      <c r="D581" t="s">
        <v>110</v>
      </c>
      <c r="F581" t="str">
        <f>VLOOKUP(G581,PC!B:D,2,FALSE)</f>
        <v>RECEITA</v>
      </c>
      <c r="G581" s="4" t="s">
        <v>136</v>
      </c>
      <c r="H581" s="1">
        <v>315.8</v>
      </c>
    </row>
    <row r="582" spans="2:9" x14ac:dyDescent="0.2">
      <c r="B582" t="str">
        <f>VLOOKUP(G582,PC!B:D,3,FALSE)</f>
        <v>DESCONTO DE FATURAMENTO</v>
      </c>
      <c r="C582" s="22">
        <v>2023</v>
      </c>
      <c r="D582" t="s">
        <v>110</v>
      </c>
      <c r="F582" t="str">
        <f>VLOOKUP(G582,PC!B:D,2,FALSE)</f>
        <v>OUTROS DESCONTOS</v>
      </c>
      <c r="G582" s="4" t="s">
        <v>63</v>
      </c>
      <c r="H582" s="1">
        <f>H581-311.71</f>
        <v>4.0900000000000318</v>
      </c>
    </row>
    <row r="583" spans="2:9" x14ac:dyDescent="0.2">
      <c r="B583" t="str">
        <f>VLOOKUP(G583,PC!B:D,3,FALSE)</f>
        <v>RECEITA</v>
      </c>
      <c r="C583" s="22">
        <v>2023</v>
      </c>
      <c r="D583" t="s">
        <v>110</v>
      </c>
      <c r="F583" t="str">
        <f>VLOOKUP(G583,PC!B:D,2,FALSE)</f>
        <v>RECEITA</v>
      </c>
      <c r="G583" s="4" t="s">
        <v>137</v>
      </c>
      <c r="H583" s="1">
        <v>10225.549999999999</v>
      </c>
    </row>
    <row r="584" spans="2:9" x14ac:dyDescent="0.2">
      <c r="B584" t="str">
        <f>VLOOKUP(G584,PC!B:D,3,FALSE)</f>
        <v>DESCONTO DE FATURAMENTO</v>
      </c>
      <c r="C584" s="22">
        <v>2023</v>
      </c>
      <c r="D584" t="s">
        <v>110</v>
      </c>
      <c r="F584" t="str">
        <f>VLOOKUP(G584,PC!B:D,2,FALSE)</f>
        <v>OUTROS DESCONTOS</v>
      </c>
      <c r="G584" s="4" t="s">
        <v>63</v>
      </c>
      <c r="H584" s="1">
        <f>H583-10010.91</f>
        <v>214.63999999999942</v>
      </c>
      <c r="I584" s="24">
        <f>H584/H583</f>
        <v>2.0990557965097176E-2</v>
      </c>
    </row>
    <row r="585" spans="2:9" x14ac:dyDescent="0.2">
      <c r="B585" t="str">
        <f>VLOOKUP(G585,PC!B:D,3,FALSE)</f>
        <v>RECEITA</v>
      </c>
      <c r="C585" s="22">
        <v>2023</v>
      </c>
      <c r="D585" t="s">
        <v>110</v>
      </c>
      <c r="F585" t="str">
        <f>VLOOKUP(G585,PC!B:D,2,FALSE)</f>
        <v>RECEITA</v>
      </c>
      <c r="G585" s="4" t="s">
        <v>54</v>
      </c>
      <c r="H585" s="1">
        <v>1650</v>
      </c>
    </row>
    <row r="586" spans="2:9" x14ac:dyDescent="0.2">
      <c r="B586" t="str">
        <f>VLOOKUP(G586,PC!B:D,3,FALSE)</f>
        <v>RECEITA</v>
      </c>
      <c r="C586" s="22">
        <v>2023</v>
      </c>
      <c r="D586" t="s">
        <v>110</v>
      </c>
      <c r="F586" t="str">
        <f>VLOOKUP(G586,PC!B:D,2,FALSE)</f>
        <v>RECEITA</v>
      </c>
      <c r="G586" s="4" t="s">
        <v>54</v>
      </c>
      <c r="H586" s="1">
        <v>850</v>
      </c>
    </row>
    <row r="587" spans="2:9" x14ac:dyDescent="0.2">
      <c r="B587" t="str">
        <f>VLOOKUP(G587,PC!B:D,3,FALSE)</f>
        <v>DESPESA PESSOAL</v>
      </c>
      <c r="C587" s="22">
        <v>2023</v>
      </c>
      <c r="D587" t="s">
        <v>110</v>
      </c>
      <c r="F587" t="str">
        <f>VLOOKUP(G587,PC!B:D,2,FALSE)</f>
        <v>DESPESA PESSOAL</v>
      </c>
      <c r="G587" s="4" t="s">
        <v>56</v>
      </c>
      <c r="H587" s="1">
        <v>350</v>
      </c>
    </row>
    <row r="588" spans="2:9" x14ac:dyDescent="0.2">
      <c r="B588" t="str">
        <f>VLOOKUP(G588,PC!B:D,3,FALSE)</f>
        <v>RECEITA</v>
      </c>
      <c r="C588" s="22">
        <v>2023</v>
      </c>
      <c r="D588" t="s">
        <v>110</v>
      </c>
      <c r="F588" t="str">
        <f>VLOOKUP(G588,PC!B:D,2,FALSE)</f>
        <v>RECEITA</v>
      </c>
      <c r="G588" s="4" t="s">
        <v>54</v>
      </c>
      <c r="H588" s="1">
        <v>1100</v>
      </c>
    </row>
    <row r="589" spans="2:9" x14ac:dyDescent="0.2">
      <c r="B589" t="str">
        <f>VLOOKUP(G589,PC!B:D,3,FALSE)</f>
        <v>CPV</v>
      </c>
      <c r="C589" s="22">
        <v>2023</v>
      </c>
      <c r="D589" t="s">
        <v>110</v>
      </c>
      <c r="F589" t="str">
        <f>VLOOKUP(G589,PC!B:D,2,FALSE)</f>
        <v>OUTROS</v>
      </c>
      <c r="G589" s="4" t="s">
        <v>37</v>
      </c>
      <c r="H589" s="1">
        <v>96</v>
      </c>
      <c r="I589" s="7" t="s">
        <v>172</v>
      </c>
    </row>
    <row r="590" spans="2:9" x14ac:dyDescent="0.2">
      <c r="B590" t="str">
        <f>VLOOKUP(G590,PC!B:D,3,FALSE)</f>
        <v>CPV</v>
      </c>
      <c r="C590" s="22">
        <v>2023</v>
      </c>
      <c r="D590" t="s">
        <v>110</v>
      </c>
      <c r="E590" t="s">
        <v>129</v>
      </c>
      <c r="F590" t="str">
        <f>VLOOKUP(G590,PC!B:D,2,FALSE)</f>
        <v>COMIDA</v>
      </c>
      <c r="G590" s="4" t="s">
        <v>33</v>
      </c>
      <c r="H590" s="1">
        <v>250</v>
      </c>
    </row>
    <row r="591" spans="2:9" x14ac:dyDescent="0.2">
      <c r="B591" t="str">
        <f>VLOOKUP(G591,PC!B:D,3,FALSE)</f>
        <v>RECEITA</v>
      </c>
      <c r="C591" s="22">
        <v>2023</v>
      </c>
      <c r="D591" t="s">
        <v>110</v>
      </c>
      <c r="F591" t="str">
        <f>VLOOKUP(G591,PC!B:D,2,FALSE)</f>
        <v>RECEITA</v>
      </c>
      <c r="G591" s="4" t="s">
        <v>54</v>
      </c>
      <c r="H591" s="1">
        <f>H589+H590</f>
        <v>346</v>
      </c>
    </row>
    <row r="592" spans="2:9" x14ac:dyDescent="0.2">
      <c r="B592" t="str">
        <f>VLOOKUP(G592,PC!B:D,3,FALSE)</f>
        <v>RECEITA</v>
      </c>
      <c r="C592" s="22">
        <v>2023</v>
      </c>
      <c r="D592" t="s">
        <v>110</v>
      </c>
      <c r="F592" t="str">
        <f>VLOOKUP(G592,PC!B:D,2,FALSE)</f>
        <v>RECEITA</v>
      </c>
      <c r="G592" s="4" t="s">
        <v>54</v>
      </c>
      <c r="H592" s="1">
        <v>1550</v>
      </c>
    </row>
    <row r="593" spans="2:8" x14ac:dyDescent="0.2">
      <c r="B593" t="str">
        <f>VLOOKUP(G593,PC!B:D,3,FALSE)</f>
        <v>CPV</v>
      </c>
      <c r="C593" s="22">
        <v>2023</v>
      </c>
      <c r="D593" t="s">
        <v>110</v>
      </c>
      <c r="E593" t="s">
        <v>129</v>
      </c>
      <c r="F593" t="str">
        <f>VLOOKUP(G593,PC!B:D,2,FALSE)</f>
        <v>CIGARRO</v>
      </c>
      <c r="G593" s="4" t="s">
        <v>57</v>
      </c>
      <c r="H593" s="1">
        <v>100</v>
      </c>
    </row>
    <row r="594" spans="2:8" x14ac:dyDescent="0.2">
      <c r="B594" t="str">
        <f>VLOOKUP(G594,PC!B:D,3,FALSE)</f>
        <v>CPV</v>
      </c>
      <c r="C594" s="22">
        <v>2023</v>
      </c>
      <c r="D594" t="s">
        <v>110</v>
      </c>
      <c r="E594" t="s">
        <v>129</v>
      </c>
      <c r="F594" t="str">
        <f>VLOOKUP(G594,PC!B:D,2,FALSE)</f>
        <v>COMIDA</v>
      </c>
      <c r="G594" s="4" t="s">
        <v>12</v>
      </c>
      <c r="H594" s="1">
        <v>126</v>
      </c>
    </row>
    <row r="595" spans="2:8" x14ac:dyDescent="0.2">
      <c r="B595" t="str">
        <f>VLOOKUP(G595,PC!B:D,3,FALSE)</f>
        <v>RECEITA</v>
      </c>
      <c r="C595" s="22">
        <v>2023</v>
      </c>
      <c r="D595" t="s">
        <v>110</v>
      </c>
      <c r="F595" t="str">
        <f>VLOOKUP(G595,PC!B:D,2,FALSE)</f>
        <v>RECEITA</v>
      </c>
      <c r="G595" s="4" t="s">
        <v>54</v>
      </c>
      <c r="H595" s="1">
        <v>726</v>
      </c>
    </row>
    <row r="596" spans="2:8" x14ac:dyDescent="0.2">
      <c r="B596" t="str">
        <f>VLOOKUP(G596,PC!B:D,3,FALSE)</f>
        <v>RECEITA</v>
      </c>
      <c r="C596" s="22">
        <v>2023</v>
      </c>
      <c r="D596" t="s">
        <v>110</v>
      </c>
      <c r="F596" t="str">
        <f>VLOOKUP(G596,PC!B:D,2,FALSE)</f>
        <v>RECEITA</v>
      </c>
      <c r="G596" s="4" t="s">
        <v>54</v>
      </c>
      <c r="H596" s="1">
        <v>1700</v>
      </c>
    </row>
    <row r="597" spans="2:8" x14ac:dyDescent="0.2">
      <c r="B597" t="str">
        <f>VLOOKUP(G597,PC!B:D,3,FALSE)</f>
        <v>CPV</v>
      </c>
      <c r="C597" s="22">
        <v>2023</v>
      </c>
      <c r="D597" t="s">
        <v>110</v>
      </c>
      <c r="E597" t="s">
        <v>129</v>
      </c>
      <c r="F597" t="str">
        <f>VLOOKUP(G597,PC!B:D,2,FALSE)</f>
        <v>COMIDA</v>
      </c>
      <c r="G597" s="4" t="s">
        <v>12</v>
      </c>
      <c r="H597" s="1">
        <v>80</v>
      </c>
    </row>
    <row r="598" spans="2:8" x14ac:dyDescent="0.2">
      <c r="B598" t="str">
        <f>VLOOKUP(G598,PC!B:D,3,FALSE)</f>
        <v>CPV</v>
      </c>
      <c r="C598" s="22">
        <v>2023</v>
      </c>
      <c r="D598" t="s">
        <v>110</v>
      </c>
      <c r="E598" t="s">
        <v>129</v>
      </c>
      <c r="F598" t="str">
        <f>VLOOKUP(G598,PC!B:D,2,FALSE)</f>
        <v>SOBREMESA</v>
      </c>
      <c r="G598" s="4" t="s">
        <v>7</v>
      </c>
      <c r="H598" s="1">
        <v>156</v>
      </c>
    </row>
    <row r="599" spans="2:8" x14ac:dyDescent="0.2">
      <c r="B599" t="str">
        <f>VLOOKUP(G599,PC!B:D,3,FALSE)</f>
        <v>DESPESA OPERACIONAL</v>
      </c>
      <c r="C599" s="22">
        <v>2023</v>
      </c>
      <c r="D599" t="s">
        <v>110</v>
      </c>
      <c r="F599" t="str">
        <f>VLOOKUP(G599,PC!B:D,2,FALSE)</f>
        <v>DESPESA OPERACIONAL</v>
      </c>
      <c r="G599" s="4" t="s">
        <v>70</v>
      </c>
      <c r="H599" s="1">
        <v>84</v>
      </c>
    </row>
    <row r="600" spans="2:8" x14ac:dyDescent="0.2">
      <c r="B600" t="str">
        <f>VLOOKUP(G600,PC!B:D,3,FALSE)</f>
        <v>RECEITA</v>
      </c>
      <c r="C600" s="22">
        <v>2023</v>
      </c>
      <c r="D600" t="s">
        <v>110</v>
      </c>
      <c r="F600" t="str">
        <f>VLOOKUP(G600,PC!B:D,2,FALSE)</f>
        <v>RECEITA</v>
      </c>
      <c r="G600" s="4" t="s">
        <v>54</v>
      </c>
      <c r="H600" s="1">
        <v>600</v>
      </c>
    </row>
    <row r="601" spans="2:8" x14ac:dyDescent="0.2">
      <c r="B601" t="str">
        <f>VLOOKUP(G601,PC!B:D,3,FALSE)</f>
        <v>CPV</v>
      </c>
      <c r="C601" s="22">
        <v>2023</v>
      </c>
      <c r="D601" t="s">
        <v>110</v>
      </c>
      <c r="F601" t="str">
        <f>VLOOKUP(G601,PC!B:D,2,FALSE)</f>
        <v>COMIDA</v>
      </c>
      <c r="G601" s="4" t="s">
        <v>12</v>
      </c>
      <c r="H601" s="1">
        <v>56</v>
      </c>
    </row>
    <row r="602" spans="2:8" x14ac:dyDescent="0.2">
      <c r="B602" t="str">
        <f>VLOOKUP(G602,PC!B:D,3,FALSE)</f>
        <v>CPV</v>
      </c>
      <c r="C602" s="22">
        <v>2023</v>
      </c>
      <c r="D602" t="s">
        <v>110</v>
      </c>
      <c r="F602" t="str">
        <f>VLOOKUP(G602,PC!B:D,2,FALSE)</f>
        <v>COMIDA</v>
      </c>
      <c r="G602" s="4" t="s">
        <v>12</v>
      </c>
      <c r="H602" s="1">
        <v>362</v>
      </c>
    </row>
    <row r="603" spans="2:8" x14ac:dyDescent="0.2">
      <c r="B603" t="str">
        <f>VLOOKUP(G603,PC!B:D,3,FALSE)</f>
        <v>RECEITA</v>
      </c>
      <c r="C603" s="22">
        <v>2023</v>
      </c>
      <c r="D603" t="s">
        <v>110</v>
      </c>
      <c r="F603" t="str">
        <f>VLOOKUP(G603,PC!B:D,2,FALSE)</f>
        <v>RECEITA</v>
      </c>
      <c r="G603" s="4" t="s">
        <v>54</v>
      </c>
      <c r="H603" s="1">
        <v>1250</v>
      </c>
    </row>
    <row r="604" spans="2:8" x14ac:dyDescent="0.2">
      <c r="B604" t="str">
        <f>VLOOKUP(G604,PC!B:D,3,FALSE)</f>
        <v>RECEITA</v>
      </c>
      <c r="C604" s="22">
        <v>2023</v>
      </c>
      <c r="D604" t="s">
        <v>110</v>
      </c>
      <c r="F604" t="str">
        <f>VLOOKUP(G604,PC!B:D,2,FALSE)</f>
        <v>RECEITA</v>
      </c>
      <c r="G604" s="4" t="s">
        <v>54</v>
      </c>
      <c r="H604" s="1">
        <v>738</v>
      </c>
    </row>
    <row r="605" spans="2:8" x14ac:dyDescent="0.2">
      <c r="B605" t="str">
        <f>VLOOKUP(G605,PC!B:D,3,FALSE)</f>
        <v>CPV</v>
      </c>
      <c r="C605" s="22">
        <v>2023</v>
      </c>
      <c r="D605" t="s">
        <v>110</v>
      </c>
      <c r="E605" t="s">
        <v>129</v>
      </c>
      <c r="F605" t="str">
        <f>VLOOKUP(G605,PC!B:D,2,FALSE)</f>
        <v>COMIDA</v>
      </c>
      <c r="G605" s="4" t="s">
        <v>12</v>
      </c>
      <c r="H605" s="1">
        <v>34</v>
      </c>
    </row>
    <row r="606" spans="2:8" x14ac:dyDescent="0.2">
      <c r="B606" t="str">
        <f>VLOOKUP(G606,PC!B:D,3,FALSE)</f>
        <v>DESPESA PESSOAL</v>
      </c>
      <c r="C606" s="22">
        <v>2023</v>
      </c>
      <c r="D606" t="s">
        <v>110</v>
      </c>
      <c r="F606" t="str">
        <f>VLOOKUP(G606,PC!B:D,2,FALSE)</f>
        <v>DESPESA PESSOAL</v>
      </c>
      <c r="G606" s="4" t="s">
        <v>68</v>
      </c>
      <c r="H606" s="1">
        <v>40</v>
      </c>
    </row>
    <row r="607" spans="2:8" x14ac:dyDescent="0.2">
      <c r="B607" t="str">
        <f>VLOOKUP(G607,PC!B:D,3,FALSE)</f>
        <v>CPV</v>
      </c>
      <c r="C607" s="22">
        <v>2023</v>
      </c>
      <c r="D607" t="s">
        <v>110</v>
      </c>
      <c r="E607" t="s">
        <v>129</v>
      </c>
      <c r="F607" t="str">
        <f>VLOOKUP(G607,PC!B:D,2,FALSE)</f>
        <v>BEBIDAS</v>
      </c>
      <c r="G607" s="4" t="s">
        <v>48</v>
      </c>
      <c r="H607" s="1">
        <v>277</v>
      </c>
    </row>
    <row r="608" spans="2:8" x14ac:dyDescent="0.2">
      <c r="B608" t="str">
        <f>VLOOKUP(G608,PC!B:D,3,FALSE)</f>
        <v>CPV</v>
      </c>
      <c r="C608" s="22">
        <v>2023</v>
      </c>
      <c r="D608" t="s">
        <v>110</v>
      </c>
      <c r="E608" t="s">
        <v>129</v>
      </c>
      <c r="F608" t="str">
        <f>VLOOKUP(G608,PC!B:D,2,FALSE)</f>
        <v>CIGARRO</v>
      </c>
      <c r="G608" s="4" t="s">
        <v>57</v>
      </c>
      <c r="H608" s="1">
        <v>50</v>
      </c>
    </row>
    <row r="609" spans="2:8" x14ac:dyDescent="0.2">
      <c r="B609" t="str">
        <f>VLOOKUP(G609,PC!B:D,3,FALSE)</f>
        <v>CPV</v>
      </c>
      <c r="C609" s="22">
        <v>2023</v>
      </c>
      <c r="D609" t="s">
        <v>110</v>
      </c>
      <c r="E609" t="s">
        <v>129</v>
      </c>
      <c r="F609" t="str">
        <f>VLOOKUP(G609,PC!B:D,2,FALSE)</f>
        <v>BEBIDAS</v>
      </c>
      <c r="G609" s="4" t="s">
        <v>39</v>
      </c>
      <c r="H609" s="1">
        <v>94</v>
      </c>
    </row>
    <row r="610" spans="2:8" x14ac:dyDescent="0.2">
      <c r="B610" t="str">
        <f>VLOOKUP(G610,PC!B:D,3,FALSE)</f>
        <v>RECEITA</v>
      </c>
      <c r="C610" s="22">
        <v>2023</v>
      </c>
      <c r="D610" t="s">
        <v>110</v>
      </c>
      <c r="F610" t="str">
        <f>VLOOKUP(G610,PC!B:D,2,FALSE)</f>
        <v>RECEITA</v>
      </c>
      <c r="G610" s="4" t="s">
        <v>54</v>
      </c>
      <c r="H610" s="1">
        <v>1000</v>
      </c>
    </row>
    <row r="611" spans="2:8" x14ac:dyDescent="0.2">
      <c r="B611" t="str">
        <f>VLOOKUP(G611,PC!B:D,3,FALSE)</f>
        <v>CPV</v>
      </c>
      <c r="C611" s="22">
        <v>2023</v>
      </c>
      <c r="D611" t="s">
        <v>110</v>
      </c>
      <c r="E611" t="s">
        <v>129</v>
      </c>
      <c r="F611" t="str">
        <f>VLOOKUP(G611,PC!B:D,2,FALSE)</f>
        <v>SOBREMESA</v>
      </c>
      <c r="G611" s="4" t="s">
        <v>7</v>
      </c>
      <c r="H611" s="1">
        <v>30</v>
      </c>
    </row>
    <row r="612" spans="2:8" x14ac:dyDescent="0.2">
      <c r="B612" t="str">
        <f>VLOOKUP(G612,PC!B:D,3,FALSE)</f>
        <v>RECEITA</v>
      </c>
      <c r="C612" s="22">
        <v>2023</v>
      </c>
      <c r="D612" t="s">
        <v>110</v>
      </c>
      <c r="F612" t="str">
        <f>VLOOKUP(G612,PC!B:D,2,FALSE)</f>
        <v>RECEITA</v>
      </c>
      <c r="G612" s="4" t="s">
        <v>54</v>
      </c>
      <c r="H612" s="1">
        <v>2100</v>
      </c>
    </row>
    <row r="613" spans="2:8" x14ac:dyDescent="0.2">
      <c r="B613" t="str">
        <f>VLOOKUP(G613,PC!B:D,3,FALSE)</f>
        <v>RECEITA</v>
      </c>
      <c r="C613" s="22">
        <v>2023</v>
      </c>
      <c r="D613" t="s">
        <v>110</v>
      </c>
      <c r="F613" t="str">
        <f>VLOOKUP(G613,PC!B:D,2,FALSE)</f>
        <v>RECEITA</v>
      </c>
      <c r="G613" s="4" t="s">
        <v>54</v>
      </c>
      <c r="H613" s="1">
        <v>525</v>
      </c>
    </row>
    <row r="614" spans="2:8" x14ac:dyDescent="0.2">
      <c r="B614" t="str">
        <f>VLOOKUP(G614,PC!B:D,3,FALSE)</f>
        <v>RECEITA</v>
      </c>
      <c r="C614" s="22">
        <v>2023</v>
      </c>
      <c r="D614" t="s">
        <v>110</v>
      </c>
      <c r="F614" t="str">
        <f>VLOOKUP(G614,PC!B:D,2,FALSE)</f>
        <v>RECEITA</v>
      </c>
      <c r="G614" s="4" t="s">
        <v>54</v>
      </c>
      <c r="H614" s="1">
        <v>1275</v>
      </c>
    </row>
    <row r="615" spans="2:8" x14ac:dyDescent="0.2">
      <c r="B615" t="str">
        <f>VLOOKUP(G615,PC!B:D,3,FALSE)</f>
        <v>CPV</v>
      </c>
      <c r="C615" s="22">
        <v>2023</v>
      </c>
      <c r="D615" t="s">
        <v>110</v>
      </c>
      <c r="E615" t="s">
        <v>129</v>
      </c>
      <c r="F615" t="str">
        <f>VLOOKUP(G615,PC!B:D,2,FALSE)</f>
        <v>COMIDA</v>
      </c>
      <c r="G615" s="4" t="s">
        <v>12</v>
      </c>
      <c r="H615" s="1">
        <v>138</v>
      </c>
    </row>
    <row r="616" spans="2:8" x14ac:dyDescent="0.2">
      <c r="B616" t="str">
        <f>VLOOKUP(G616,PC!B:D,3,FALSE)</f>
        <v>CPV</v>
      </c>
      <c r="C616" s="22">
        <v>2023</v>
      </c>
      <c r="D616" t="s">
        <v>110</v>
      </c>
      <c r="E616" t="s">
        <v>129</v>
      </c>
      <c r="F616" t="str">
        <f>VLOOKUP(G616,PC!B:D,2,FALSE)</f>
        <v>COMIDA</v>
      </c>
      <c r="G616" s="4" t="s">
        <v>18</v>
      </c>
      <c r="H616" s="1">
        <v>35</v>
      </c>
    </row>
    <row r="617" spans="2:8" x14ac:dyDescent="0.2">
      <c r="B617" t="str">
        <f>VLOOKUP(G617,PC!B:D,3,FALSE)</f>
        <v>RECEITA</v>
      </c>
      <c r="C617" s="22">
        <v>2023</v>
      </c>
      <c r="D617" t="s">
        <v>110</v>
      </c>
      <c r="F617" t="str">
        <f>VLOOKUP(G617,PC!B:D,2,FALSE)</f>
        <v>RECEITA</v>
      </c>
      <c r="G617" s="4" t="s">
        <v>54</v>
      </c>
      <c r="H617" s="1">
        <v>250</v>
      </c>
    </row>
    <row r="618" spans="2:8" x14ac:dyDescent="0.2">
      <c r="B618" t="str">
        <f>VLOOKUP(G618,PC!B:D,3,FALSE)</f>
        <v>CPV</v>
      </c>
      <c r="C618" s="22">
        <v>2023</v>
      </c>
      <c r="D618" t="s">
        <v>110</v>
      </c>
      <c r="E618" t="s">
        <v>129</v>
      </c>
      <c r="F618" t="str">
        <f>VLOOKUP(G618,PC!B:D,2,FALSE)</f>
        <v>COMIDA</v>
      </c>
      <c r="G618" s="4" t="s">
        <v>12</v>
      </c>
      <c r="H618" s="1">
        <v>146</v>
      </c>
    </row>
    <row r="619" spans="2:8" x14ac:dyDescent="0.2">
      <c r="B619" t="str">
        <f>VLOOKUP(G619,PC!B:D,3,FALSE)</f>
        <v>RECEITA</v>
      </c>
      <c r="C619" s="22">
        <v>2023</v>
      </c>
      <c r="D619" t="s">
        <v>110</v>
      </c>
      <c r="F619" t="str">
        <f>VLOOKUP(G619,PC!B:D,2,FALSE)</f>
        <v>RECEITA</v>
      </c>
      <c r="G619" s="4" t="s">
        <v>54</v>
      </c>
      <c r="H619" s="1">
        <v>420</v>
      </c>
    </row>
    <row r="620" spans="2:8" x14ac:dyDescent="0.2">
      <c r="B620" t="str">
        <f>VLOOKUP(G620,PC!B:D,3,FALSE)</f>
        <v>CPV</v>
      </c>
      <c r="C620" s="22">
        <v>2023</v>
      </c>
      <c r="D620" t="s">
        <v>110</v>
      </c>
      <c r="E620" t="s">
        <v>129</v>
      </c>
      <c r="F620" t="str">
        <f>VLOOKUP(G620,PC!B:D,2,FALSE)</f>
        <v>BEBIDAS</v>
      </c>
      <c r="G620" s="4" t="s">
        <v>48</v>
      </c>
      <c r="H620" s="1">
        <v>181.8</v>
      </c>
    </row>
    <row r="621" spans="2:8" x14ac:dyDescent="0.2">
      <c r="B621" t="str">
        <f>VLOOKUP(G621,PC!B:D,3,FALSE)</f>
        <v>CPV</v>
      </c>
      <c r="C621" s="22">
        <v>2023</v>
      </c>
      <c r="D621" t="s">
        <v>110</v>
      </c>
      <c r="E621" t="s">
        <v>129</v>
      </c>
      <c r="F621" t="str">
        <f>VLOOKUP(G621,PC!B:D,2,FALSE)</f>
        <v>BEBIDAS</v>
      </c>
      <c r="G621" s="4" t="s">
        <v>25</v>
      </c>
      <c r="H621" s="1">
        <v>175</v>
      </c>
    </row>
    <row r="622" spans="2:8" x14ac:dyDescent="0.2">
      <c r="B622" t="str">
        <f>VLOOKUP(G622,PC!B:D,3,FALSE)</f>
        <v>CPV</v>
      </c>
      <c r="C622" s="22">
        <v>2023</v>
      </c>
      <c r="D622" t="s">
        <v>110</v>
      </c>
      <c r="E622" t="s">
        <v>129</v>
      </c>
      <c r="F622" t="str">
        <f>VLOOKUP(G622,PC!B:D,2,FALSE)</f>
        <v>COMIDA</v>
      </c>
      <c r="G622" s="4" t="s">
        <v>18</v>
      </c>
      <c r="H622" s="1">
        <v>52.8</v>
      </c>
    </row>
    <row r="623" spans="2:8" x14ac:dyDescent="0.2">
      <c r="B623" t="str">
        <f>VLOOKUP(G623,PC!B:D,3,FALSE)</f>
        <v>RECEITA</v>
      </c>
      <c r="C623" s="22">
        <v>2023</v>
      </c>
      <c r="D623" t="s">
        <v>110</v>
      </c>
      <c r="F623" t="str">
        <f>VLOOKUP(G623,PC!B:D,2,FALSE)</f>
        <v>RECEITA</v>
      </c>
      <c r="G623" s="4" t="s">
        <v>54</v>
      </c>
      <c r="H623" s="1">
        <v>1900</v>
      </c>
    </row>
    <row r="624" spans="2:8" x14ac:dyDescent="0.2">
      <c r="B624" t="str">
        <f>VLOOKUP(G624,PC!B:D,3,FALSE)</f>
        <v>RECEITA</v>
      </c>
      <c r="C624" s="22">
        <v>2023</v>
      </c>
      <c r="D624" t="s">
        <v>110</v>
      </c>
      <c r="F624" t="str">
        <f>VLOOKUP(G624,PC!B:D,2,FALSE)</f>
        <v>RECEITA</v>
      </c>
      <c r="G624" s="4" t="s">
        <v>54</v>
      </c>
      <c r="H624" s="1">
        <v>500</v>
      </c>
    </row>
    <row r="625" spans="2:8" x14ac:dyDescent="0.2">
      <c r="B625" t="str">
        <f>VLOOKUP(G625,PC!B:D,3,FALSE)</f>
        <v>RECEITA</v>
      </c>
      <c r="C625" s="22">
        <v>2023</v>
      </c>
      <c r="D625" t="s">
        <v>110</v>
      </c>
      <c r="F625" t="str">
        <f>VLOOKUP(G625,PC!B:D,2,FALSE)</f>
        <v>RECEITA</v>
      </c>
      <c r="G625" s="4" t="s">
        <v>54</v>
      </c>
      <c r="H625" s="1">
        <v>728</v>
      </c>
    </row>
    <row r="626" spans="2:8" x14ac:dyDescent="0.2">
      <c r="B626" t="str">
        <f>VLOOKUP(G626,PC!B:D,3,FALSE)</f>
        <v>RECEITA</v>
      </c>
      <c r="C626" s="22">
        <v>2023</v>
      </c>
      <c r="D626" t="s">
        <v>110</v>
      </c>
      <c r="F626" t="str">
        <f>VLOOKUP(G626,PC!B:D,2,FALSE)</f>
        <v>RECEITA</v>
      </c>
      <c r="G626" s="4" t="s">
        <v>54</v>
      </c>
      <c r="H626" s="1">
        <v>1000</v>
      </c>
    </row>
    <row r="627" spans="2:8" x14ac:dyDescent="0.2">
      <c r="B627" t="str">
        <f>VLOOKUP(G627,PC!B:D,3,FALSE)</f>
        <v>DESPESA PESSOAL</v>
      </c>
      <c r="C627" s="22">
        <v>2023</v>
      </c>
      <c r="D627" t="s">
        <v>110</v>
      </c>
      <c r="F627" t="str">
        <f>VLOOKUP(G627,PC!B:D,2,FALSE)</f>
        <v>DESPESA PESSOAL</v>
      </c>
      <c r="G627" s="4" t="s">
        <v>56</v>
      </c>
      <c r="H627" s="1">
        <v>300</v>
      </c>
    </row>
    <row r="628" spans="2:8" x14ac:dyDescent="0.2">
      <c r="B628" t="str">
        <f>VLOOKUP(G628,PC!B:D,3,FALSE)</f>
        <v>RECEITA</v>
      </c>
      <c r="C628" s="22">
        <v>2023</v>
      </c>
      <c r="D628" t="s">
        <v>110</v>
      </c>
      <c r="F628" t="str">
        <f>VLOOKUP(G628,PC!B:D,2,FALSE)</f>
        <v>RECEITA</v>
      </c>
      <c r="G628" s="4" t="s">
        <v>54</v>
      </c>
      <c r="H628" s="1">
        <v>1900</v>
      </c>
    </row>
    <row r="629" spans="2:8" x14ac:dyDescent="0.2">
      <c r="B629" t="str">
        <f>VLOOKUP(G629,PC!B:D,3,FALSE)</f>
        <v>RECEITA</v>
      </c>
      <c r="C629" s="22">
        <v>2023</v>
      </c>
      <c r="D629" t="s">
        <v>110</v>
      </c>
      <c r="F629" t="str">
        <f>VLOOKUP(G629,PC!B:D,2,FALSE)</f>
        <v>RECEITA</v>
      </c>
      <c r="G629" s="4" t="s">
        <v>59</v>
      </c>
      <c r="H629" s="1">
        <v>338</v>
      </c>
    </row>
    <row r="630" spans="2:8" x14ac:dyDescent="0.2">
      <c r="B630" t="str">
        <f>VLOOKUP(G630,PC!B:D,3,FALSE)</f>
        <v>CPV</v>
      </c>
      <c r="C630" s="22">
        <v>2023</v>
      </c>
      <c r="D630" t="s">
        <v>110</v>
      </c>
      <c r="E630" t="s">
        <v>129</v>
      </c>
      <c r="F630" t="str">
        <f>VLOOKUP(G630,PC!B:D,2,FALSE)</f>
        <v>COMIDA</v>
      </c>
      <c r="G630" s="4" t="s">
        <v>152</v>
      </c>
      <c r="H630" s="1">
        <v>40.5</v>
      </c>
    </row>
    <row r="631" spans="2:8" x14ac:dyDescent="0.2">
      <c r="B631" t="str">
        <f>VLOOKUP(G631,PC!B:D,3,FALSE)</f>
        <v>RECEITA</v>
      </c>
      <c r="C631" s="22">
        <v>2023</v>
      </c>
      <c r="D631" t="s">
        <v>110</v>
      </c>
      <c r="F631" t="str">
        <f>VLOOKUP(G631,PC!B:D,2,FALSE)</f>
        <v>RECEITA</v>
      </c>
      <c r="G631" s="4" t="s">
        <v>54</v>
      </c>
      <c r="H631" s="1">
        <v>1550</v>
      </c>
    </row>
    <row r="632" spans="2:8" x14ac:dyDescent="0.2">
      <c r="B632" t="str">
        <f>VLOOKUP(G632,PC!B:D,3,FALSE)</f>
        <v>CPV</v>
      </c>
      <c r="C632" s="22">
        <v>2023</v>
      </c>
      <c r="D632" t="s">
        <v>110</v>
      </c>
      <c r="E632" t="s">
        <v>153</v>
      </c>
      <c r="F632" t="str">
        <f>VLOOKUP(G632,PC!B:D,2,FALSE)</f>
        <v>OUTROS</v>
      </c>
      <c r="G632" s="4" t="s">
        <v>37</v>
      </c>
      <c r="H632" s="1">
        <v>50</v>
      </c>
    </row>
    <row r="633" spans="2:8" x14ac:dyDescent="0.2">
      <c r="B633" t="str">
        <f>VLOOKUP(G633,PC!B:D,3,FALSE)</f>
        <v>DESPESA PESSOAL</v>
      </c>
      <c r="C633" s="22">
        <v>2023</v>
      </c>
      <c r="D633" t="s">
        <v>110</v>
      </c>
      <c r="F633" t="str">
        <f>VLOOKUP(G633,PC!B:D,2,FALSE)</f>
        <v>DESPESA PESSOAL</v>
      </c>
      <c r="G633" s="4" t="s">
        <v>56</v>
      </c>
      <c r="H633" s="1">
        <v>350</v>
      </c>
    </row>
    <row r="634" spans="2:8" x14ac:dyDescent="0.2">
      <c r="B634" t="str">
        <f>VLOOKUP(G634,PC!B:D,3,FALSE)</f>
        <v>RECEITA</v>
      </c>
      <c r="C634" s="22">
        <v>2023</v>
      </c>
      <c r="D634" t="s">
        <v>110</v>
      </c>
      <c r="F634" t="str">
        <f>VLOOKUP(G634,PC!B:D,2,FALSE)</f>
        <v>RECEITA</v>
      </c>
      <c r="G634" s="4" t="s">
        <v>54</v>
      </c>
      <c r="H634" s="1">
        <v>3400</v>
      </c>
    </row>
    <row r="635" spans="2:8" x14ac:dyDescent="0.2">
      <c r="B635" t="str">
        <f>VLOOKUP(G635,PC!B:D,3,FALSE)</f>
        <v>DESPESA PESSOAL</v>
      </c>
      <c r="C635" s="22">
        <v>2023</v>
      </c>
      <c r="D635" t="s">
        <v>110</v>
      </c>
      <c r="F635" t="str">
        <f>VLOOKUP(G635,PC!B:D,2,FALSE)</f>
        <v>DESPESA PESSOAL</v>
      </c>
      <c r="G635" s="4" t="s">
        <v>124</v>
      </c>
      <c r="H635" s="1">
        <v>600</v>
      </c>
    </row>
    <row r="636" spans="2:8" x14ac:dyDescent="0.2">
      <c r="B636" t="str">
        <f>VLOOKUP(G636,PC!B:D,3,FALSE)</f>
        <v>INVESTIMENTO</v>
      </c>
      <c r="C636" s="22">
        <v>2023</v>
      </c>
      <c r="D636" t="s">
        <v>110</v>
      </c>
      <c r="F636" t="str">
        <f>VLOOKUP(G636,PC!B:D,2,FALSE)</f>
        <v>INVESTIMENTO</v>
      </c>
      <c r="G636" s="4" t="s">
        <v>130</v>
      </c>
      <c r="H636" s="1">
        <v>500</v>
      </c>
    </row>
    <row r="637" spans="2:8" x14ac:dyDescent="0.2">
      <c r="B637" t="str">
        <f>VLOOKUP(G637,PC!B:D,3,FALSE)</f>
        <v>SERV.TERCEIROS</v>
      </c>
      <c r="C637" s="22">
        <v>2023</v>
      </c>
      <c r="D637" t="s">
        <v>110</v>
      </c>
      <c r="F637" t="str">
        <f>VLOOKUP(G637,PC!B:D,2,FALSE)</f>
        <v>SERV.TERCEIROS</v>
      </c>
      <c r="G637" s="4" t="s">
        <v>123</v>
      </c>
      <c r="H637" s="1">
        <v>160</v>
      </c>
    </row>
    <row r="638" spans="2:8" x14ac:dyDescent="0.2">
      <c r="B638" t="str">
        <f>VLOOKUP(G638,PC!B:D,3,FALSE)</f>
        <v>SERV.TERCEIROS</v>
      </c>
      <c r="C638" s="22">
        <v>2023</v>
      </c>
      <c r="D638" t="s">
        <v>110</v>
      </c>
      <c r="F638" t="str">
        <f>VLOOKUP(G638,PC!B:D,2,FALSE)</f>
        <v>SERV.TERCEIROS</v>
      </c>
      <c r="G638" s="4" t="s">
        <v>60</v>
      </c>
      <c r="H638" s="1">
        <v>380</v>
      </c>
    </row>
    <row r="639" spans="2:8" x14ac:dyDescent="0.2">
      <c r="B639" t="str">
        <f>VLOOKUP(G639,PC!B:D,3,FALSE)</f>
        <v>SERV. PUBLICOS</v>
      </c>
      <c r="C639" s="22">
        <v>2023</v>
      </c>
      <c r="D639" t="s">
        <v>109</v>
      </c>
      <c r="F639" t="str">
        <f>VLOOKUP(G639,PC!B:D,2,FALSE)</f>
        <v>SERV. PUBLICOS</v>
      </c>
      <c r="G639" s="4" t="s">
        <v>104</v>
      </c>
      <c r="H639" s="1">
        <v>200</v>
      </c>
    </row>
    <row r="640" spans="2:8" x14ac:dyDescent="0.2">
      <c r="B640" t="str">
        <f>VLOOKUP(G640,PC!B:D,3,FALSE)</f>
        <v>SERV. PUBLICOS</v>
      </c>
      <c r="C640" s="22">
        <v>2023</v>
      </c>
      <c r="D640" t="s">
        <v>110</v>
      </c>
      <c r="F640" t="str">
        <f>VLOOKUP(G640,PC!B:D,2,FALSE)</f>
        <v>SERV. PUBLICOS</v>
      </c>
      <c r="G640" s="4" t="s">
        <v>104</v>
      </c>
      <c r="H640" s="1">
        <v>200</v>
      </c>
    </row>
    <row r="641" spans="2:9" x14ac:dyDescent="0.2">
      <c r="B641" t="str">
        <f>VLOOKUP(G641,PC!B:D,3,FALSE)</f>
        <v>SERV. PUBLICOS</v>
      </c>
      <c r="C641" s="22">
        <v>2023</v>
      </c>
      <c r="D641" t="s">
        <v>110</v>
      </c>
      <c r="F641" t="str">
        <f>VLOOKUP(G641,PC!B:D,2,FALSE)</f>
        <v>SERV. PUBLICOS</v>
      </c>
      <c r="G641" s="4" t="s">
        <v>91</v>
      </c>
      <c r="H641" s="1">
        <v>1743.69</v>
      </c>
    </row>
    <row r="642" spans="2:9" x14ac:dyDescent="0.2">
      <c r="B642" t="str">
        <f>VLOOKUP(G642,PC!B:D,3,FALSE)</f>
        <v>DESPESA PESSOAL</v>
      </c>
      <c r="C642" s="22">
        <v>2023</v>
      </c>
      <c r="D642" t="s">
        <v>110</v>
      </c>
      <c r="F642" t="str">
        <f>VLOOKUP(G642,PC!B:D,2,FALSE)</f>
        <v>DESPESA PESSOAL</v>
      </c>
      <c r="G642" s="4" t="s">
        <v>124</v>
      </c>
      <c r="H642" s="1">
        <v>1200</v>
      </c>
    </row>
    <row r="643" spans="2:9" x14ac:dyDescent="0.2">
      <c r="B643" t="str">
        <f>VLOOKUP(G643,PC!B:D,3,FALSE)</f>
        <v>DESPESA PESSOAL</v>
      </c>
      <c r="C643" s="22">
        <v>2023</v>
      </c>
      <c r="D643" t="s">
        <v>110</v>
      </c>
      <c r="F643" t="str">
        <f>VLOOKUP(G643,PC!B:D,2,FALSE)</f>
        <v>DESPESA PESSOAL</v>
      </c>
      <c r="G643" s="4" t="s">
        <v>56</v>
      </c>
      <c r="H643" s="1">
        <v>772</v>
      </c>
      <c r="I643" s="7" t="s">
        <v>173</v>
      </c>
    </row>
    <row r="644" spans="2:9" x14ac:dyDescent="0.2">
      <c r="B644" t="str">
        <f>VLOOKUP(G644,PC!B:D,3,FALSE)</f>
        <v>DESPESA FINANCEIRA</v>
      </c>
      <c r="C644" s="22">
        <v>2023</v>
      </c>
      <c r="D644" t="s">
        <v>110</v>
      </c>
      <c r="F644" t="str">
        <f>VLOOKUP(G644,PC!B:D,2,FALSE)</f>
        <v>DESPESA FINANCEIRA</v>
      </c>
      <c r="G644" s="4" t="s">
        <v>90</v>
      </c>
      <c r="H644" s="1">
        <v>600</v>
      </c>
    </row>
    <row r="645" spans="2:9" x14ac:dyDescent="0.2">
      <c r="B645" t="str">
        <f>VLOOKUP(G645,PC!B:D,3,FALSE)</f>
        <v>DESPESA FINANCEIRA</v>
      </c>
      <c r="C645" s="22">
        <v>2023</v>
      </c>
      <c r="D645" t="s">
        <v>110</v>
      </c>
      <c r="F645" t="str">
        <f>VLOOKUP(G645,PC!B:D,2,FALSE)</f>
        <v>DESPESA FINANCEIRA</v>
      </c>
      <c r="G645" s="4" t="s">
        <v>125</v>
      </c>
      <c r="H645" s="1">
        <v>90</v>
      </c>
    </row>
    <row r="646" spans="2:9" x14ac:dyDescent="0.2">
      <c r="B646" t="str">
        <f>VLOOKUP(G646,PC!B:D,3,FALSE)</f>
        <v>DESCONTO DE FATURAMENTO</v>
      </c>
      <c r="C646" s="22">
        <v>2023</v>
      </c>
      <c r="D646" t="s">
        <v>110</v>
      </c>
      <c r="F646" t="str">
        <f>VLOOKUP(G646,PC!B:D,2,FALSE)</f>
        <v>IMPOSTO</v>
      </c>
      <c r="G646" s="4" t="s">
        <v>88</v>
      </c>
      <c r="H646" s="1">
        <v>5000</v>
      </c>
    </row>
    <row r="647" spans="2:9" x14ac:dyDescent="0.2">
      <c r="B647" t="str">
        <f>VLOOKUP(G647,PC!B:D,3,FALSE)</f>
        <v>RECEITA</v>
      </c>
      <c r="C647" s="22">
        <v>2023</v>
      </c>
      <c r="D647" t="s">
        <v>111</v>
      </c>
      <c r="F647" t="str">
        <f>VLOOKUP(G647,PC!B:D,2,FALSE)</f>
        <v>RECEITA</v>
      </c>
      <c r="G647" s="4" t="s">
        <v>54</v>
      </c>
      <c r="H647" s="1">
        <v>1000</v>
      </c>
    </row>
    <row r="648" spans="2:9" x14ac:dyDescent="0.2">
      <c r="B648" t="str">
        <f>VLOOKUP(G648,PC!B:D,3,FALSE)</f>
        <v>RECEITA</v>
      </c>
      <c r="C648" s="22">
        <v>2023</v>
      </c>
      <c r="D648" t="s">
        <v>111</v>
      </c>
      <c r="F648" t="str">
        <f>VLOOKUP(G648,PC!B:D,2,FALSE)</f>
        <v>RECEITA</v>
      </c>
      <c r="G648" s="4" t="s">
        <v>54</v>
      </c>
      <c r="H648" s="1">
        <v>2000</v>
      </c>
    </row>
    <row r="649" spans="2:9" x14ac:dyDescent="0.2">
      <c r="B649" t="str">
        <f>VLOOKUP(G649,PC!B:D,3,FALSE)</f>
        <v>RECEITA</v>
      </c>
      <c r="C649" s="22">
        <v>2023</v>
      </c>
      <c r="D649" t="s">
        <v>111</v>
      </c>
      <c r="F649" t="str">
        <f>VLOOKUP(G649,PC!B:D,2,FALSE)</f>
        <v>RECEITA</v>
      </c>
      <c r="G649" s="4" t="s">
        <v>54</v>
      </c>
      <c r="H649" s="1">
        <v>800</v>
      </c>
    </row>
    <row r="650" spans="2:9" x14ac:dyDescent="0.2">
      <c r="B650" t="str">
        <f>VLOOKUP(G650,PC!B:D,3,FALSE)</f>
        <v>CPV</v>
      </c>
      <c r="C650" s="22">
        <v>2023</v>
      </c>
      <c r="D650" t="s">
        <v>111</v>
      </c>
      <c r="E650" t="s">
        <v>129</v>
      </c>
      <c r="F650" t="str">
        <f>VLOOKUP(G650,PC!B:D,2,FALSE)</f>
        <v>BEBIDAS</v>
      </c>
      <c r="G650" s="4" t="s">
        <v>51</v>
      </c>
      <c r="H650" s="1">
        <v>450</v>
      </c>
    </row>
    <row r="651" spans="2:9" x14ac:dyDescent="0.2">
      <c r="B651" t="str">
        <f>VLOOKUP(G651,PC!B:D,3,FALSE)</f>
        <v>CPV</v>
      </c>
      <c r="C651" s="22">
        <v>2023</v>
      </c>
      <c r="D651" t="s">
        <v>111</v>
      </c>
      <c r="E651" t="s">
        <v>129</v>
      </c>
      <c r="F651" t="str">
        <f>VLOOKUP(G651,PC!B:D,2,FALSE)</f>
        <v>OUTROS</v>
      </c>
      <c r="G651" s="4" t="s">
        <v>37</v>
      </c>
      <c r="H651" s="1">
        <v>180</v>
      </c>
    </row>
    <row r="652" spans="2:9" x14ac:dyDescent="0.2">
      <c r="B652" t="str">
        <f>VLOOKUP(G652,PC!B:D,3,FALSE)</f>
        <v>CPV</v>
      </c>
      <c r="C652" s="22">
        <v>2023</v>
      </c>
      <c r="D652" t="s">
        <v>111</v>
      </c>
      <c r="E652" t="s">
        <v>129</v>
      </c>
      <c r="F652" t="str">
        <f>VLOOKUP(G652,PC!B:D,2,FALSE)</f>
        <v>COMIDA</v>
      </c>
      <c r="G652" s="4" t="s">
        <v>12</v>
      </c>
      <c r="H652" s="1">
        <v>27</v>
      </c>
    </row>
    <row r="653" spans="2:9" x14ac:dyDescent="0.2">
      <c r="B653" t="str">
        <f>VLOOKUP(G653,PC!B:D,3,FALSE)</f>
        <v>CPV</v>
      </c>
      <c r="C653" s="22">
        <v>2023</v>
      </c>
      <c r="D653" t="s">
        <v>111</v>
      </c>
      <c r="E653" t="s">
        <v>129</v>
      </c>
      <c r="F653" t="str">
        <f>VLOOKUP(G653,PC!B:D,2,FALSE)</f>
        <v>COMIDA</v>
      </c>
      <c r="G653" s="4" t="s">
        <v>12</v>
      </c>
      <c r="H653" s="1">
        <v>115</v>
      </c>
    </row>
    <row r="654" spans="2:9" x14ac:dyDescent="0.2">
      <c r="B654" t="str">
        <f>VLOOKUP(G654,PC!B:D,3,FALSE)</f>
        <v>RECEITA</v>
      </c>
      <c r="C654" s="22">
        <v>2023</v>
      </c>
      <c r="D654" t="s">
        <v>111</v>
      </c>
      <c r="F654" t="str">
        <f>VLOOKUP(G654,PC!B:D,2,FALSE)</f>
        <v>RECEITA</v>
      </c>
      <c r="G654" s="4" t="s">
        <v>54</v>
      </c>
      <c r="H654" s="1">
        <v>400</v>
      </c>
    </row>
    <row r="655" spans="2:9" x14ac:dyDescent="0.2">
      <c r="B655" t="str">
        <f>VLOOKUP(G655,PC!B:D,3,FALSE)</f>
        <v>RECEITA</v>
      </c>
      <c r="C655" s="22">
        <v>2023</v>
      </c>
      <c r="D655" t="s">
        <v>111</v>
      </c>
      <c r="F655" t="str">
        <f>VLOOKUP(G655,PC!B:D,2,FALSE)</f>
        <v>RECEITA</v>
      </c>
      <c r="G655" s="4" t="s">
        <v>54</v>
      </c>
      <c r="H655" s="1">
        <v>1000</v>
      </c>
    </row>
    <row r="656" spans="2:9" x14ac:dyDescent="0.2">
      <c r="B656" t="str">
        <f>VLOOKUP(G656,PC!B:D,3,FALSE)</f>
        <v>RECEITA</v>
      </c>
      <c r="C656" s="22">
        <v>2023</v>
      </c>
      <c r="D656" t="s">
        <v>111</v>
      </c>
      <c r="F656" t="str">
        <f>VLOOKUP(G656,PC!B:D,2,FALSE)</f>
        <v>RECEITA</v>
      </c>
      <c r="G656" s="4" t="s">
        <v>54</v>
      </c>
      <c r="H656" s="1">
        <v>2350</v>
      </c>
    </row>
    <row r="657" spans="2:8" x14ac:dyDescent="0.2">
      <c r="B657" t="str">
        <f>VLOOKUP(G657,PC!B:D,3,FALSE)</f>
        <v>RECEITA</v>
      </c>
      <c r="C657" s="22">
        <v>2023</v>
      </c>
      <c r="D657" t="s">
        <v>111</v>
      </c>
      <c r="F657" t="str">
        <f>VLOOKUP(G657,PC!B:D,2,FALSE)</f>
        <v>RECEITA</v>
      </c>
      <c r="G657" s="4" t="s">
        <v>54</v>
      </c>
      <c r="H657" s="1">
        <v>700</v>
      </c>
    </row>
    <row r="658" spans="2:8" x14ac:dyDescent="0.2">
      <c r="B658" t="str">
        <f>VLOOKUP(G658,PC!B:D,3,FALSE)</f>
        <v>CPV</v>
      </c>
      <c r="C658" s="22">
        <v>2023</v>
      </c>
      <c r="D658" t="s">
        <v>111</v>
      </c>
      <c r="E658" t="s">
        <v>129</v>
      </c>
      <c r="F658" t="str">
        <f>VLOOKUP(G658,PC!B:D,2,FALSE)</f>
        <v>BEBIDAS</v>
      </c>
      <c r="G658" s="4" t="s">
        <v>48</v>
      </c>
      <c r="H658" s="1">
        <v>60</v>
      </c>
    </row>
    <row r="659" spans="2:8" x14ac:dyDescent="0.2">
      <c r="B659" t="str">
        <f>VLOOKUP(G659,PC!B:D,3,FALSE)</f>
        <v>RECEITA</v>
      </c>
      <c r="C659" s="22">
        <v>2023</v>
      </c>
      <c r="D659" t="s">
        <v>111</v>
      </c>
      <c r="F659" t="str">
        <f>VLOOKUP(G659,PC!B:D,2,FALSE)</f>
        <v>RECEITA</v>
      </c>
      <c r="G659" s="4" t="s">
        <v>54</v>
      </c>
      <c r="H659" s="1">
        <v>772</v>
      </c>
    </row>
    <row r="660" spans="2:8" x14ac:dyDescent="0.2">
      <c r="B660" t="str">
        <f>VLOOKUP(G660,PC!B:D,3,FALSE)</f>
        <v>CPV</v>
      </c>
      <c r="C660" s="22">
        <v>2023</v>
      </c>
      <c r="D660" t="s">
        <v>111</v>
      </c>
      <c r="E660" t="s">
        <v>129</v>
      </c>
      <c r="F660" t="str">
        <f>VLOOKUP(G660,PC!B:D,2,FALSE)</f>
        <v>SOBREMESA</v>
      </c>
      <c r="G660" s="4" t="s">
        <v>7</v>
      </c>
      <c r="H660" s="1">
        <v>214</v>
      </c>
    </row>
    <row r="661" spans="2:8" x14ac:dyDescent="0.2">
      <c r="B661" t="str">
        <f>VLOOKUP(G661,PC!B:D,3,FALSE)</f>
        <v>DESPESA OPERACIONAL</v>
      </c>
      <c r="C661" s="22">
        <v>2023</v>
      </c>
      <c r="D661" t="s">
        <v>111</v>
      </c>
      <c r="F661" t="str">
        <f>VLOOKUP(G661,PC!B:D,2,FALSE)</f>
        <v>DESPESA OPERACIONAL</v>
      </c>
      <c r="G661" s="4" t="s">
        <v>70</v>
      </c>
      <c r="H661" s="1">
        <v>54</v>
      </c>
    </row>
    <row r="662" spans="2:8" x14ac:dyDescent="0.2">
      <c r="B662" t="str">
        <f>VLOOKUP(G662,PC!B:D,3,FALSE)</f>
        <v>RECEITA</v>
      </c>
      <c r="C662" s="22">
        <v>2023</v>
      </c>
      <c r="D662" t="s">
        <v>111</v>
      </c>
      <c r="F662" t="str">
        <f>VLOOKUP(G662,PC!B:D,2,FALSE)</f>
        <v>RECEITA</v>
      </c>
      <c r="G662" s="4" t="s">
        <v>54</v>
      </c>
      <c r="H662" s="1">
        <v>450</v>
      </c>
    </row>
    <row r="663" spans="2:8" x14ac:dyDescent="0.2">
      <c r="B663" t="str">
        <f>VLOOKUP(G663,PC!B:D,3,FALSE)</f>
        <v>CPV</v>
      </c>
      <c r="C663" s="22">
        <v>2023</v>
      </c>
      <c r="D663" t="s">
        <v>111</v>
      </c>
      <c r="E663" t="s">
        <v>129</v>
      </c>
      <c r="F663" t="str">
        <f>VLOOKUP(G663,PC!B:D,2,FALSE)</f>
        <v>SOBREMESA</v>
      </c>
      <c r="G663" s="4" t="s">
        <v>7</v>
      </c>
      <c r="H663" s="1">
        <v>113</v>
      </c>
    </row>
    <row r="664" spans="2:8" x14ac:dyDescent="0.2">
      <c r="B664" t="str">
        <f>VLOOKUP(G664,PC!B:D,3,FALSE)</f>
        <v>DESPESA PESSOAL</v>
      </c>
      <c r="C664" s="22">
        <v>2023</v>
      </c>
      <c r="D664" t="s">
        <v>111</v>
      </c>
      <c r="F664" t="str">
        <f>VLOOKUP(G664,PC!B:D,2,FALSE)</f>
        <v>DESPESA PESSOAL</v>
      </c>
      <c r="G664" s="4" t="s">
        <v>68</v>
      </c>
      <c r="H664" s="1">
        <v>120</v>
      </c>
    </row>
    <row r="665" spans="2:8" x14ac:dyDescent="0.2">
      <c r="B665" t="str">
        <f>VLOOKUP(G665,PC!B:D,3,FALSE)</f>
        <v>RECEITA</v>
      </c>
      <c r="C665" s="22">
        <v>2023</v>
      </c>
      <c r="D665" t="s">
        <v>111</v>
      </c>
      <c r="F665" t="str">
        <f>VLOOKUP(G665,PC!B:D,2,FALSE)</f>
        <v>RECEITA</v>
      </c>
      <c r="G665" s="4" t="s">
        <v>54</v>
      </c>
      <c r="H665" s="1">
        <v>800</v>
      </c>
    </row>
    <row r="666" spans="2:8" x14ac:dyDescent="0.2">
      <c r="B666" t="str">
        <f>VLOOKUP(G666,PC!B:D,3,FALSE)</f>
        <v>RECEITA</v>
      </c>
      <c r="C666" s="22">
        <v>2023</v>
      </c>
      <c r="D666" t="s">
        <v>111</v>
      </c>
      <c r="F666" t="str">
        <f>VLOOKUP(G666,PC!B:D,2,FALSE)</f>
        <v>RECEITA</v>
      </c>
      <c r="G666" s="4" t="s">
        <v>54</v>
      </c>
      <c r="H666" s="1">
        <v>1000</v>
      </c>
    </row>
    <row r="667" spans="2:8" x14ac:dyDescent="0.2">
      <c r="B667" t="str">
        <f>VLOOKUP(G667,PC!B:D,3,FALSE)</f>
        <v>RECEITA</v>
      </c>
      <c r="C667" s="22">
        <v>2023</v>
      </c>
      <c r="D667" t="s">
        <v>111</v>
      </c>
      <c r="F667" t="str">
        <f>VLOOKUP(G667,PC!B:D,2,FALSE)</f>
        <v>RECEITA</v>
      </c>
      <c r="G667" s="4" t="s">
        <v>54</v>
      </c>
      <c r="H667" s="1">
        <v>300</v>
      </c>
    </row>
    <row r="668" spans="2:8" x14ac:dyDescent="0.2">
      <c r="B668" t="str">
        <f>VLOOKUP(G668,PC!B:D,3,FALSE)</f>
        <v>RECEITA</v>
      </c>
      <c r="C668" s="22">
        <v>2023</v>
      </c>
      <c r="D668" t="s">
        <v>111</v>
      </c>
      <c r="F668" t="str">
        <f>VLOOKUP(G668,PC!B:D,2,FALSE)</f>
        <v>RECEITA</v>
      </c>
      <c r="G668" s="4" t="s">
        <v>54</v>
      </c>
      <c r="H668" s="1">
        <v>500</v>
      </c>
    </row>
    <row r="669" spans="2:8" x14ac:dyDescent="0.2">
      <c r="B669" t="str">
        <f>VLOOKUP(G669,PC!B:D,3,FALSE)</f>
        <v>CPV</v>
      </c>
      <c r="C669" s="22">
        <v>2023</v>
      </c>
      <c r="D669" t="s">
        <v>111</v>
      </c>
      <c r="E669" t="s">
        <v>129</v>
      </c>
      <c r="F669" t="str">
        <f>VLOOKUP(G669,PC!B:D,2,FALSE)</f>
        <v>COMIDA</v>
      </c>
      <c r="G669" s="4" t="s">
        <v>18</v>
      </c>
      <c r="H669" s="1">
        <v>48</v>
      </c>
    </row>
    <row r="670" spans="2:8" x14ac:dyDescent="0.2">
      <c r="B670" t="str">
        <f>VLOOKUP(G670,PC!B:D,3,FALSE)</f>
        <v>CPV</v>
      </c>
      <c r="C670" s="22">
        <v>2023</v>
      </c>
      <c r="D670" t="s">
        <v>111</v>
      </c>
      <c r="E670" t="s">
        <v>129</v>
      </c>
      <c r="F670" t="str">
        <f>VLOOKUP(G670,PC!B:D,2,FALSE)</f>
        <v>COMIDA</v>
      </c>
      <c r="G670" s="4" t="s">
        <v>34</v>
      </c>
      <c r="H670" s="1">
        <v>250</v>
      </c>
    </row>
    <row r="671" spans="2:8" x14ac:dyDescent="0.2">
      <c r="B671" t="str">
        <f>VLOOKUP(G671,PC!B:D,3,FALSE)</f>
        <v>DESPESA PESSOAL</v>
      </c>
      <c r="C671" s="22">
        <v>2023</v>
      </c>
      <c r="D671" t="s">
        <v>111</v>
      </c>
      <c r="F671" t="str">
        <f>VLOOKUP(G671,PC!B:D,2,FALSE)</f>
        <v>DESPESA PESSOAL</v>
      </c>
      <c r="G671" s="4" t="s">
        <v>68</v>
      </c>
      <c r="H671" s="1">
        <v>20</v>
      </c>
    </row>
    <row r="672" spans="2:8" x14ac:dyDescent="0.2">
      <c r="B672" t="str">
        <f>VLOOKUP(G672,PC!B:D,3,FALSE)</f>
        <v>CPV</v>
      </c>
      <c r="C672" s="22">
        <v>2023</v>
      </c>
      <c r="D672" t="s">
        <v>111</v>
      </c>
      <c r="E672" t="s">
        <v>129</v>
      </c>
      <c r="F672" t="str">
        <f>VLOOKUP(G672,PC!B:D,2,FALSE)</f>
        <v>COMIDA</v>
      </c>
      <c r="G672" s="4" t="s">
        <v>12</v>
      </c>
      <c r="H672" s="1">
        <v>119</v>
      </c>
    </row>
    <row r="673" spans="2:8" x14ac:dyDescent="0.2">
      <c r="B673" t="str">
        <f>VLOOKUP(G673,PC!B:D,3,FALSE)</f>
        <v>CPV</v>
      </c>
      <c r="C673" s="22">
        <v>2023</v>
      </c>
      <c r="D673" t="s">
        <v>111</v>
      </c>
      <c r="E673" t="s">
        <v>129</v>
      </c>
      <c r="F673" t="str">
        <f>VLOOKUP(G673,PC!B:D,2,FALSE)</f>
        <v>OUTROS</v>
      </c>
      <c r="G673" s="4" t="s">
        <v>58</v>
      </c>
      <c r="H673" s="1">
        <v>118</v>
      </c>
    </row>
    <row r="674" spans="2:8" x14ac:dyDescent="0.2">
      <c r="B674" t="str">
        <f>VLOOKUP(G674,PC!B:D,3,FALSE)</f>
        <v>CPV</v>
      </c>
      <c r="C674" s="22">
        <v>2023</v>
      </c>
      <c r="D674" t="s">
        <v>111</v>
      </c>
      <c r="E674" t="s">
        <v>129</v>
      </c>
      <c r="F674" t="str">
        <f>VLOOKUP(G674,PC!B:D,2,FALSE)</f>
        <v>COMIDA</v>
      </c>
      <c r="G674" s="4" t="s">
        <v>33</v>
      </c>
      <c r="H674" s="1">
        <v>90</v>
      </c>
    </row>
    <row r="675" spans="2:8" x14ac:dyDescent="0.2">
      <c r="B675" t="str">
        <f>VLOOKUP(G675,PC!B:D,3,FALSE)</f>
        <v>RECEITA</v>
      </c>
      <c r="C675" s="22">
        <v>2023</v>
      </c>
      <c r="D675" t="s">
        <v>111</v>
      </c>
      <c r="F675" t="str">
        <f>VLOOKUP(G675,PC!B:D,2,FALSE)</f>
        <v>RECEITA</v>
      </c>
      <c r="G675" s="4" t="s">
        <v>59</v>
      </c>
      <c r="H675" s="1">
        <v>2400</v>
      </c>
    </row>
    <row r="676" spans="2:8" x14ac:dyDescent="0.2">
      <c r="B676" t="str">
        <f>VLOOKUP(G676,PC!B:D,3,FALSE)</f>
        <v>RECEITA</v>
      </c>
      <c r="C676" s="22">
        <v>2023</v>
      </c>
      <c r="D676" t="s">
        <v>111</v>
      </c>
      <c r="F676" t="str">
        <f>VLOOKUP(G676,PC!B:D,2,FALSE)</f>
        <v>RECEITA</v>
      </c>
      <c r="G676" s="4" t="s">
        <v>54</v>
      </c>
      <c r="H676" s="1">
        <v>2200</v>
      </c>
    </row>
    <row r="677" spans="2:8" x14ac:dyDescent="0.2">
      <c r="B677" t="str">
        <f>VLOOKUP(G677,PC!B:D,3,FALSE)</f>
        <v>CPV</v>
      </c>
      <c r="C677" s="22">
        <v>2023</v>
      </c>
      <c r="D677" t="s">
        <v>111</v>
      </c>
      <c r="F677" t="str">
        <f>VLOOKUP(G677,PC!B:D,2,FALSE)</f>
        <v>SOBREMESA</v>
      </c>
      <c r="G677" s="4" t="s">
        <v>7</v>
      </c>
      <c r="H677" s="1">
        <v>30</v>
      </c>
    </row>
    <row r="678" spans="2:8" x14ac:dyDescent="0.2">
      <c r="B678" t="str">
        <f>VLOOKUP(G678,PC!B:D,3,FALSE)</f>
        <v>CPV</v>
      </c>
      <c r="C678" s="22">
        <v>2023</v>
      </c>
      <c r="D678" t="s">
        <v>111</v>
      </c>
      <c r="F678" t="str">
        <f>VLOOKUP(G678,PC!B:D,2,FALSE)</f>
        <v>OUTROS</v>
      </c>
      <c r="G678" s="4" t="s">
        <v>134</v>
      </c>
      <c r="H678" s="1">
        <v>100</v>
      </c>
    </row>
    <row r="679" spans="2:8" x14ac:dyDescent="0.2">
      <c r="B679" t="str">
        <f>VLOOKUP(G679,PC!B:D,3,FALSE)</f>
        <v>CPV</v>
      </c>
      <c r="C679" s="22">
        <v>2023</v>
      </c>
      <c r="D679" t="s">
        <v>111</v>
      </c>
      <c r="E679" t="s">
        <v>129</v>
      </c>
      <c r="F679" t="str">
        <f>VLOOKUP(G679,PC!B:D,2,FALSE)</f>
        <v>BEBIDAS</v>
      </c>
      <c r="G679" s="4" t="s">
        <v>46</v>
      </c>
      <c r="H679" s="1">
        <v>45</v>
      </c>
    </row>
    <row r="680" spans="2:8" x14ac:dyDescent="0.2">
      <c r="B680" t="str">
        <f>VLOOKUP(G680,PC!B:D,3,FALSE)</f>
        <v>CPV</v>
      </c>
      <c r="C680" s="22">
        <v>2023</v>
      </c>
      <c r="D680" t="s">
        <v>111</v>
      </c>
      <c r="E680" t="s">
        <v>129</v>
      </c>
      <c r="F680" t="str">
        <f>VLOOKUP(G680,PC!B:D,2,FALSE)</f>
        <v>COMIDA</v>
      </c>
      <c r="G680" s="4" t="s">
        <v>12</v>
      </c>
      <c r="H680" s="1">
        <v>150</v>
      </c>
    </row>
    <row r="681" spans="2:8" x14ac:dyDescent="0.2">
      <c r="B681" t="str">
        <f>VLOOKUP(G681,PC!B:D,3,FALSE)</f>
        <v>RECEITA</v>
      </c>
      <c r="C681" s="22">
        <v>2023</v>
      </c>
      <c r="D681" t="s">
        <v>111</v>
      </c>
      <c r="E681" t="s">
        <v>129</v>
      </c>
      <c r="F681" t="str">
        <f>VLOOKUP(G681,PC!B:D,2,FALSE)</f>
        <v>RECEITA</v>
      </c>
      <c r="G681" s="4" t="s">
        <v>54</v>
      </c>
      <c r="H681" s="1">
        <v>1050</v>
      </c>
    </row>
    <row r="682" spans="2:8" x14ac:dyDescent="0.2">
      <c r="B682" t="str">
        <f>VLOOKUP(G682,PC!B:D,3,FALSE)</f>
        <v>RECEITA</v>
      </c>
      <c r="C682" s="22">
        <v>2023</v>
      </c>
      <c r="D682" t="s">
        <v>111</v>
      </c>
      <c r="F682" t="str">
        <f>VLOOKUP(G682,PC!B:D,2,FALSE)</f>
        <v>RECEITA</v>
      </c>
      <c r="G682" s="4" t="s">
        <v>54</v>
      </c>
      <c r="H682" s="1">
        <v>1000</v>
      </c>
    </row>
    <row r="683" spans="2:8" x14ac:dyDescent="0.2">
      <c r="B683" t="str">
        <f>VLOOKUP(G683,PC!B:D,3,FALSE)</f>
        <v>CPV</v>
      </c>
      <c r="C683" s="22">
        <v>2023</v>
      </c>
      <c r="D683" t="s">
        <v>111</v>
      </c>
      <c r="E683" t="s">
        <v>129</v>
      </c>
      <c r="F683" t="str">
        <f>VLOOKUP(G683,PC!B:D,2,FALSE)</f>
        <v>CIGARRO</v>
      </c>
      <c r="G683" s="4" t="s">
        <v>57</v>
      </c>
      <c r="H683" s="1">
        <v>80</v>
      </c>
    </row>
    <row r="684" spans="2:8" x14ac:dyDescent="0.2">
      <c r="B684" t="str">
        <f>VLOOKUP(G684,PC!B:D,3,FALSE)</f>
        <v>RECEITA</v>
      </c>
      <c r="C684" s="22">
        <v>2023</v>
      </c>
      <c r="D684" t="s">
        <v>111</v>
      </c>
      <c r="F684" t="str">
        <f>VLOOKUP(G684,PC!B:D,2,FALSE)</f>
        <v>RECEITA</v>
      </c>
      <c r="G684" s="4" t="s">
        <v>54</v>
      </c>
      <c r="H684" s="1">
        <v>1000</v>
      </c>
    </row>
    <row r="685" spans="2:8" x14ac:dyDescent="0.2">
      <c r="B685" t="str">
        <f>VLOOKUP(G685,PC!B:D,3,FALSE)</f>
        <v>RECEITA</v>
      </c>
      <c r="C685" s="22">
        <v>2023</v>
      </c>
      <c r="D685" t="s">
        <v>111</v>
      </c>
      <c r="F685" t="str">
        <f>VLOOKUP(G685,PC!B:D,2,FALSE)</f>
        <v>RECEITA</v>
      </c>
      <c r="G685" s="4" t="s">
        <v>54</v>
      </c>
      <c r="H685" s="1">
        <v>1800</v>
      </c>
    </row>
    <row r="686" spans="2:8" x14ac:dyDescent="0.2">
      <c r="B686" t="str">
        <f>VLOOKUP(G686,PC!B:D,3,FALSE)</f>
        <v>CPV</v>
      </c>
      <c r="C686" s="22">
        <v>2023</v>
      </c>
      <c r="D686" t="s">
        <v>111</v>
      </c>
      <c r="E686" t="s">
        <v>129</v>
      </c>
      <c r="F686" t="str">
        <f>VLOOKUP(G686,PC!B:D,2,FALSE)</f>
        <v>COMIDA</v>
      </c>
      <c r="G686" s="4" t="s">
        <v>12</v>
      </c>
      <c r="H686" s="1">
        <v>158</v>
      </c>
    </row>
    <row r="687" spans="2:8" x14ac:dyDescent="0.2">
      <c r="B687" t="str">
        <f>VLOOKUP(G687,PC!B:D,3,FALSE)</f>
        <v>RECEITA</v>
      </c>
      <c r="C687" s="22">
        <v>2023</v>
      </c>
      <c r="D687" t="s">
        <v>111</v>
      </c>
      <c r="F687" t="str">
        <f>VLOOKUP(G687,PC!B:D,2,FALSE)</f>
        <v>RECEITA</v>
      </c>
      <c r="G687" s="4" t="s">
        <v>54</v>
      </c>
      <c r="H687" s="1">
        <v>158</v>
      </c>
    </row>
    <row r="688" spans="2:8" x14ac:dyDescent="0.2">
      <c r="B688" t="str">
        <f>VLOOKUP(G688,PC!B:D,3,FALSE)</f>
        <v>RECEITA</v>
      </c>
      <c r="C688" s="22">
        <v>2023</v>
      </c>
      <c r="D688" t="s">
        <v>111</v>
      </c>
      <c r="F688" t="str">
        <f>VLOOKUP(G688,PC!B:D,2,FALSE)</f>
        <v>RECEITA</v>
      </c>
      <c r="G688" s="4" t="s">
        <v>54</v>
      </c>
      <c r="H688" s="1">
        <v>1150</v>
      </c>
    </row>
    <row r="689" spans="2:9" x14ac:dyDescent="0.2">
      <c r="B689" t="str">
        <f>VLOOKUP(G689,PC!B:D,3,FALSE)</f>
        <v>CPV</v>
      </c>
      <c r="C689" s="22">
        <v>2023</v>
      </c>
      <c r="D689" t="s">
        <v>111</v>
      </c>
      <c r="E689" t="s">
        <v>129</v>
      </c>
      <c r="F689" t="str">
        <f>VLOOKUP(G689,PC!B:D,2,FALSE)</f>
        <v>COMIDA</v>
      </c>
      <c r="G689" s="4" t="s">
        <v>152</v>
      </c>
      <c r="H689" s="1">
        <v>54</v>
      </c>
    </row>
    <row r="690" spans="2:9" x14ac:dyDescent="0.2">
      <c r="B690" t="str">
        <f>VLOOKUP(G690,PC!B:D,3,FALSE)</f>
        <v>DESPESA PESSOAL</v>
      </c>
      <c r="C690" s="22">
        <v>2023</v>
      </c>
      <c r="D690" t="s">
        <v>111</v>
      </c>
      <c r="F690" t="str">
        <f>VLOOKUP(G690,PC!B:D,2,FALSE)</f>
        <v>DESPESA PESSOAL</v>
      </c>
      <c r="G690" s="4" t="s">
        <v>56</v>
      </c>
      <c r="H690" s="1">
        <v>300</v>
      </c>
    </row>
    <row r="691" spans="2:9" x14ac:dyDescent="0.2">
      <c r="B691" t="str">
        <f>VLOOKUP(G691,PC!B:D,3,FALSE)</f>
        <v>RECEITA</v>
      </c>
      <c r="C691" s="22">
        <v>2023</v>
      </c>
      <c r="D691" t="s">
        <v>111</v>
      </c>
      <c r="F691" t="str">
        <f>VLOOKUP(G691,PC!B:D,2,FALSE)</f>
        <v>RECEITA</v>
      </c>
      <c r="G691" s="4" t="s">
        <v>54</v>
      </c>
      <c r="H691" s="1">
        <v>300</v>
      </c>
    </row>
    <row r="692" spans="2:9" x14ac:dyDescent="0.2">
      <c r="B692" t="str">
        <f>VLOOKUP(G692,PC!B:D,3,FALSE)</f>
        <v>RECEITA</v>
      </c>
      <c r="C692" s="22">
        <v>2023</v>
      </c>
      <c r="D692" t="s">
        <v>111</v>
      </c>
      <c r="F692" t="str">
        <f>VLOOKUP(G692,PC!B:D,2,FALSE)</f>
        <v>RECEITA</v>
      </c>
      <c r="G692" s="4" t="s">
        <v>54</v>
      </c>
      <c r="H692" s="1">
        <v>1700</v>
      </c>
    </row>
    <row r="693" spans="2:9" x14ac:dyDescent="0.2">
      <c r="B693" t="str">
        <f>VLOOKUP(G693,PC!B:D,3,FALSE)</f>
        <v>DESPESA PESSOAL</v>
      </c>
      <c r="C693" s="22">
        <v>2023</v>
      </c>
      <c r="D693" t="s">
        <v>111</v>
      </c>
      <c r="F693" t="str">
        <f>VLOOKUP(G693,PC!B:D,2,FALSE)</f>
        <v>DESPESA PESSOAL</v>
      </c>
      <c r="G693" s="4" t="s">
        <v>56</v>
      </c>
      <c r="H693" s="1">
        <v>40</v>
      </c>
    </row>
    <row r="694" spans="2:9" x14ac:dyDescent="0.2">
      <c r="B694" t="str">
        <f>VLOOKUP(G694,PC!B:D,3,FALSE)</f>
        <v>RECEITA</v>
      </c>
      <c r="C694" s="22">
        <v>2023</v>
      </c>
      <c r="D694" t="s">
        <v>111</v>
      </c>
      <c r="F694" t="str">
        <f>VLOOKUP(G694,PC!B:D,2,FALSE)</f>
        <v>RECEITA</v>
      </c>
      <c r="G694" s="4" t="s">
        <v>54</v>
      </c>
      <c r="H694" s="1">
        <v>40</v>
      </c>
    </row>
    <row r="695" spans="2:9" x14ac:dyDescent="0.2">
      <c r="B695" t="str">
        <f>VLOOKUP(G695,PC!B:D,3,FALSE)</f>
        <v>RECEITA</v>
      </c>
      <c r="C695" s="22">
        <v>2023</v>
      </c>
      <c r="D695" t="s">
        <v>111</v>
      </c>
      <c r="F695" t="str">
        <f>VLOOKUP(G695,PC!B:D,2,FALSE)</f>
        <v>RECEITA</v>
      </c>
      <c r="G695" s="4" t="s">
        <v>54</v>
      </c>
      <c r="H695" s="1">
        <v>950</v>
      </c>
      <c r="I695" s="7" t="s">
        <v>174</v>
      </c>
    </row>
    <row r="696" spans="2:9" x14ac:dyDescent="0.2">
      <c r="B696" t="str">
        <f>VLOOKUP(G696,PC!B:D,3,FALSE)</f>
        <v>CPV</v>
      </c>
      <c r="C696" s="22">
        <v>2023</v>
      </c>
      <c r="D696" t="s">
        <v>111</v>
      </c>
      <c r="E696" t="s">
        <v>129</v>
      </c>
      <c r="F696" t="str">
        <f>VLOOKUP(G696,PC!B:D,2,FALSE)</f>
        <v>COMIDA</v>
      </c>
      <c r="G696" s="4" t="s">
        <v>12</v>
      </c>
      <c r="H696" s="1">
        <v>75</v>
      </c>
    </row>
    <row r="697" spans="2:9" x14ac:dyDescent="0.2">
      <c r="B697" t="str">
        <f>VLOOKUP(G697,PC!B:D,3,FALSE)</f>
        <v>CPV</v>
      </c>
      <c r="C697" s="22">
        <v>2023</v>
      </c>
      <c r="D697" t="s">
        <v>111</v>
      </c>
      <c r="E697" t="s">
        <v>129</v>
      </c>
      <c r="F697" t="str">
        <f>VLOOKUP(G697,PC!B:D,2,FALSE)</f>
        <v>COMIDA</v>
      </c>
      <c r="G697" s="4" t="s">
        <v>12</v>
      </c>
      <c r="H697" s="1">
        <v>500</v>
      </c>
    </row>
    <row r="698" spans="2:9" x14ac:dyDescent="0.2">
      <c r="B698" t="str">
        <f>VLOOKUP(G698,PC!B:D,3,FALSE)</f>
        <v>CPV</v>
      </c>
      <c r="C698" s="22">
        <v>2023</v>
      </c>
      <c r="D698" t="s">
        <v>111</v>
      </c>
      <c r="E698" t="s">
        <v>5</v>
      </c>
      <c r="F698" t="str">
        <f>VLOOKUP(G698,PC!B:D,2,FALSE)</f>
        <v>COMIDA</v>
      </c>
      <c r="G698" s="4" t="s">
        <v>18</v>
      </c>
      <c r="H698" s="1">
        <v>221.69</v>
      </c>
    </row>
    <row r="699" spans="2:9" x14ac:dyDescent="0.2">
      <c r="B699" t="str">
        <f>VLOOKUP(G699,PC!B:D,3,FALSE)</f>
        <v>DESPESA OPERACIONAL</v>
      </c>
      <c r="C699" s="22">
        <v>2023</v>
      </c>
      <c r="D699" t="s">
        <v>110</v>
      </c>
      <c r="F699" t="str">
        <f>VLOOKUP(G699,PC!B:D,2,FALSE)</f>
        <v>DESPESA OPERACIONAL</v>
      </c>
      <c r="G699" s="4" t="s">
        <v>93</v>
      </c>
      <c r="H699" s="1">
        <v>200</v>
      </c>
    </row>
    <row r="700" spans="2:9" x14ac:dyDescent="0.2">
      <c r="B700" t="str">
        <f>VLOOKUP(G700,PC!B:D,3,FALSE)</f>
        <v>CPV</v>
      </c>
      <c r="C700" s="22">
        <v>2023</v>
      </c>
      <c r="D700" t="s">
        <v>111</v>
      </c>
      <c r="E700" t="s">
        <v>77</v>
      </c>
      <c r="F700" t="str">
        <f>VLOOKUP(G700,PC!B:D,2,FALSE)</f>
        <v>OUTROS</v>
      </c>
      <c r="G700" s="4" t="s">
        <v>37</v>
      </c>
      <c r="H700" s="1">
        <v>283.16000000000003</v>
      </c>
    </row>
    <row r="701" spans="2:9" x14ac:dyDescent="0.2">
      <c r="B701" t="str">
        <f>VLOOKUP(G701,PC!B:D,3,FALSE)</f>
        <v>DESPESA OPERACIONAL</v>
      </c>
      <c r="C701" s="22">
        <v>2023</v>
      </c>
      <c r="D701" t="s">
        <v>111</v>
      </c>
      <c r="F701" t="str">
        <f>VLOOKUP(G701,PC!B:D,2,FALSE)</f>
        <v>DESPESA OPERACIONAL</v>
      </c>
      <c r="G701" s="4" t="s">
        <v>73</v>
      </c>
      <c r="H701" s="1">
        <v>1157.8800000000001</v>
      </c>
    </row>
    <row r="702" spans="2:9" x14ac:dyDescent="0.2">
      <c r="B702" t="str">
        <f>VLOOKUP(G702,PC!B:D,3,FALSE)</f>
        <v>RECEITA</v>
      </c>
      <c r="C702" s="22">
        <v>2023</v>
      </c>
      <c r="D702" t="s">
        <v>111</v>
      </c>
      <c r="F702" t="str">
        <f>VLOOKUP(G702,PC!B:D,2,FALSE)</f>
        <v>RECEITA</v>
      </c>
      <c r="G702" s="4" t="s">
        <v>64</v>
      </c>
      <c r="H702" s="1">
        <v>26.62</v>
      </c>
    </row>
    <row r="703" spans="2:9" x14ac:dyDescent="0.2">
      <c r="B703" t="str">
        <f>VLOOKUP(G703,PC!B:D,3,FALSE)</f>
        <v>CPV</v>
      </c>
      <c r="C703" s="22">
        <v>2023</v>
      </c>
      <c r="D703" t="s">
        <v>111</v>
      </c>
      <c r="E703" t="s">
        <v>129</v>
      </c>
      <c r="F703" t="str">
        <f>VLOOKUP(G703,PC!B:D,2,FALSE)</f>
        <v>BEBIDAS</v>
      </c>
      <c r="G703" s="4" t="s">
        <v>48</v>
      </c>
      <c r="H703" s="1">
        <v>184.8</v>
      </c>
    </row>
    <row r="704" spans="2:9" x14ac:dyDescent="0.2">
      <c r="B704" t="str">
        <f>VLOOKUP(G704,PC!B:D,3,FALSE)</f>
        <v>CPV</v>
      </c>
      <c r="C704" s="22">
        <v>2023</v>
      </c>
      <c r="D704" t="s">
        <v>111</v>
      </c>
      <c r="E704" t="s">
        <v>129</v>
      </c>
      <c r="F704" t="str">
        <f>VLOOKUP(G704,PC!B:D,2,FALSE)</f>
        <v>HIGIENE</v>
      </c>
      <c r="G704" s="4" t="s">
        <v>36</v>
      </c>
      <c r="H704" s="1">
        <v>440.4</v>
      </c>
    </row>
    <row r="705" spans="2:10" x14ac:dyDescent="0.2">
      <c r="B705" t="str">
        <f>VLOOKUP(G705,PC!B:D,3,FALSE)</f>
        <v>CPV</v>
      </c>
      <c r="C705" s="22">
        <v>2023</v>
      </c>
      <c r="D705" t="s">
        <v>111</v>
      </c>
      <c r="E705" t="s">
        <v>129</v>
      </c>
      <c r="F705" t="str">
        <f>VLOOKUP(G705,PC!B:D,2,FALSE)</f>
        <v>COMIDA</v>
      </c>
      <c r="G705" s="4" t="s">
        <v>155</v>
      </c>
      <c r="H705" s="1">
        <v>480</v>
      </c>
    </row>
    <row r="706" spans="2:10" x14ac:dyDescent="0.2">
      <c r="B706" t="str">
        <f>VLOOKUP(G706,PC!B:D,3,FALSE)</f>
        <v>CPV</v>
      </c>
      <c r="C706" s="22">
        <v>2023</v>
      </c>
      <c r="D706" t="s">
        <v>111</v>
      </c>
      <c r="E706" t="s">
        <v>129</v>
      </c>
      <c r="F706" t="str">
        <f>VLOOKUP(G706,PC!B:D,2,FALSE)</f>
        <v>BEBIDAS</v>
      </c>
      <c r="G706" s="4" t="s">
        <v>39</v>
      </c>
      <c r="H706" s="1">
        <v>94</v>
      </c>
    </row>
    <row r="707" spans="2:10" x14ac:dyDescent="0.2">
      <c r="B707" t="str">
        <f>VLOOKUP(G707,PC!B:D,3,FALSE)</f>
        <v>CPV</v>
      </c>
      <c r="C707" s="22">
        <v>2023</v>
      </c>
      <c r="D707" t="s">
        <v>111</v>
      </c>
      <c r="E707" t="s">
        <v>129</v>
      </c>
      <c r="F707" t="str">
        <f>VLOOKUP(G707,PC!B:D,2,FALSE)</f>
        <v>COMIDA</v>
      </c>
      <c r="G707" s="4" t="s">
        <v>38</v>
      </c>
      <c r="H707" s="1">
        <v>342</v>
      </c>
    </row>
    <row r="708" spans="2:10" x14ac:dyDescent="0.2">
      <c r="B708" t="str">
        <f>VLOOKUP(G708,PC!B:D,3,FALSE)</f>
        <v>CPV</v>
      </c>
      <c r="C708" s="22">
        <v>2023</v>
      </c>
      <c r="D708" t="s">
        <v>111</v>
      </c>
      <c r="E708" t="s">
        <v>78</v>
      </c>
      <c r="F708" t="str">
        <f>VLOOKUP(G708,PC!B:D,2,FALSE)</f>
        <v>OUTROS</v>
      </c>
      <c r="G708" s="4" t="s">
        <v>134</v>
      </c>
      <c r="H708" s="1">
        <v>38</v>
      </c>
    </row>
    <row r="709" spans="2:10" x14ac:dyDescent="0.2">
      <c r="B709" t="str">
        <f>VLOOKUP(G709,PC!B:D,3,FALSE)</f>
        <v>CPV</v>
      </c>
      <c r="C709" s="22">
        <v>2023</v>
      </c>
      <c r="D709" t="s">
        <v>111</v>
      </c>
      <c r="E709" t="s">
        <v>35</v>
      </c>
      <c r="F709" t="str">
        <f>VLOOKUP(G709,PC!B:D,2,FALSE)</f>
        <v>COMIDA</v>
      </c>
      <c r="G709" s="4" t="s">
        <v>38</v>
      </c>
      <c r="H709" s="1">
        <f>113.04+369.45+125.4+125.9+74.84+205.95+234.3</f>
        <v>1248.8799999999999</v>
      </c>
    </row>
    <row r="710" spans="2:10" x14ac:dyDescent="0.2">
      <c r="B710" t="str">
        <f>VLOOKUP(G710,PC!B:D,3,FALSE)</f>
        <v>CPV</v>
      </c>
      <c r="C710" s="22">
        <v>2023</v>
      </c>
      <c r="D710" t="s">
        <v>111</v>
      </c>
      <c r="E710" t="s">
        <v>35</v>
      </c>
      <c r="F710" t="str">
        <f>VLOOKUP(G710,PC!B:D,2,FALSE)</f>
        <v>SOBREMESA</v>
      </c>
      <c r="G710" s="4" t="s">
        <v>8</v>
      </c>
      <c r="H710" s="1">
        <f>(19.32*2)+81.56+31.18+62.36+(31.18*3)</f>
        <v>307.27999999999997</v>
      </c>
    </row>
    <row r="711" spans="2:10" x14ac:dyDescent="0.2">
      <c r="B711" t="str">
        <f>VLOOKUP(G711,PC!B:D,3,FALSE)</f>
        <v>CPV</v>
      </c>
      <c r="C711" s="22">
        <v>2023</v>
      </c>
      <c r="D711" t="s">
        <v>111</v>
      </c>
      <c r="E711" t="s">
        <v>35</v>
      </c>
      <c r="F711" t="str">
        <f>VLOOKUP(G711,PC!B:D,2,FALSE)</f>
        <v>OUTROS</v>
      </c>
      <c r="G711" s="4" t="s">
        <v>134</v>
      </c>
      <c r="H711" s="1">
        <f>122.98+89.89+(95.04*2)+124.56+98.44</f>
        <v>625.95000000000005</v>
      </c>
    </row>
    <row r="712" spans="2:10" x14ac:dyDescent="0.2">
      <c r="B712" t="str">
        <f>VLOOKUP(G712,PC!B:D,3,FALSE)</f>
        <v>CPV</v>
      </c>
      <c r="C712" s="22">
        <v>2023</v>
      </c>
      <c r="D712" t="s">
        <v>111</v>
      </c>
      <c r="E712" t="s">
        <v>175</v>
      </c>
      <c r="F712" t="str">
        <f>VLOOKUP(G712,PC!B:D,2,FALSE)</f>
        <v>BEBIDAS</v>
      </c>
      <c r="G712" s="4" t="s">
        <v>25</v>
      </c>
      <c r="H712" s="1">
        <v>45.5</v>
      </c>
    </row>
    <row r="713" spans="2:10" x14ac:dyDescent="0.2">
      <c r="B713" t="str">
        <f>VLOOKUP(G713,PC!B:D,3,FALSE)</f>
        <v>CPV</v>
      </c>
      <c r="C713" s="22">
        <v>2023</v>
      </c>
      <c r="D713" t="s">
        <v>111</v>
      </c>
      <c r="E713" t="s">
        <v>14</v>
      </c>
      <c r="F713" t="str">
        <f>VLOOKUP(G713,PC!B:D,2,FALSE)</f>
        <v>BEBIDAS</v>
      </c>
      <c r="G713" s="4" t="s">
        <v>26</v>
      </c>
      <c r="H713" s="1">
        <f>119.63+932.32</f>
        <v>1051.95</v>
      </c>
      <c r="J713" s="19"/>
    </row>
    <row r="714" spans="2:10" x14ac:dyDescent="0.2">
      <c r="B714" t="str">
        <f>VLOOKUP(G714,PC!B:D,3,FALSE)</f>
        <v>CPV</v>
      </c>
      <c r="C714" s="22">
        <v>2023</v>
      </c>
      <c r="D714" t="s">
        <v>111</v>
      </c>
      <c r="E714" t="s">
        <v>14</v>
      </c>
      <c r="F714" t="str">
        <f>VLOOKUP(G714,PC!B:D,2,FALSE)</f>
        <v>BEBIDAS</v>
      </c>
      <c r="G714" s="4" t="s">
        <v>46</v>
      </c>
      <c r="H714" s="1">
        <f>14.77+16.83</f>
        <v>31.599999999999998</v>
      </c>
    </row>
    <row r="715" spans="2:10" x14ac:dyDescent="0.2">
      <c r="B715" t="str">
        <f>VLOOKUP(G715,PC!B:D,3,FALSE)</f>
        <v>CPV</v>
      </c>
      <c r="C715" s="22">
        <v>2023</v>
      </c>
      <c r="D715" t="s">
        <v>111</v>
      </c>
      <c r="E715" t="s">
        <v>14</v>
      </c>
      <c r="F715" t="str">
        <f>VLOOKUP(G715,PC!B:D,2,FALSE)</f>
        <v>BEBIDAS</v>
      </c>
      <c r="G715" s="4" t="s">
        <v>25</v>
      </c>
      <c r="H715" s="1">
        <f>371.5+41.28</f>
        <v>412.78</v>
      </c>
    </row>
    <row r="716" spans="2:10" x14ac:dyDescent="0.2">
      <c r="B716" t="str">
        <f>VLOOKUP(G716,PC!B:D,3,FALSE)</f>
        <v>CPV</v>
      </c>
      <c r="C716" s="22">
        <v>2023</v>
      </c>
      <c r="D716" t="s">
        <v>111</v>
      </c>
      <c r="E716" t="s">
        <v>14</v>
      </c>
      <c r="F716" t="str">
        <f>VLOOKUP(G716,PC!B:D,2,FALSE)</f>
        <v>BEBIDAS</v>
      </c>
      <c r="G716" s="4" t="s">
        <v>25</v>
      </c>
      <c r="H716" s="1">
        <v>401.16</v>
      </c>
    </row>
    <row r="717" spans="2:10" x14ac:dyDescent="0.2">
      <c r="B717" t="str">
        <f>VLOOKUP(G717,PC!B:D,3,FALSE)</f>
        <v>CPV</v>
      </c>
      <c r="C717" s="22">
        <v>2023</v>
      </c>
      <c r="D717" t="s">
        <v>111</v>
      </c>
      <c r="E717" t="s">
        <v>16</v>
      </c>
      <c r="F717" t="str">
        <f>VLOOKUP(G717,PC!B:D,2,FALSE)</f>
        <v>COMIDA</v>
      </c>
      <c r="G717" s="4" t="s">
        <v>12</v>
      </c>
      <c r="H717" s="1">
        <v>620.36</v>
      </c>
    </row>
    <row r="718" spans="2:10" x14ac:dyDescent="0.2">
      <c r="B718" t="str">
        <f>VLOOKUP(G718,PC!B:D,3,FALSE)</f>
        <v>CPV</v>
      </c>
      <c r="C718" s="22">
        <v>2023</v>
      </c>
      <c r="D718" t="s">
        <v>111</v>
      </c>
      <c r="E718" t="s">
        <v>86</v>
      </c>
      <c r="F718" t="str">
        <f>VLOOKUP(G718,PC!B:D,2,FALSE)</f>
        <v>HIGIENE</v>
      </c>
      <c r="G718" s="4" t="s">
        <v>36</v>
      </c>
      <c r="H718" s="1">
        <v>823.39</v>
      </c>
    </row>
    <row r="719" spans="2:10" x14ac:dyDescent="0.2">
      <c r="B719" t="str">
        <f>VLOOKUP(G719,PC!B:D,3,FALSE)</f>
        <v>CPV</v>
      </c>
      <c r="C719" s="22">
        <v>2023</v>
      </c>
      <c r="D719" t="s">
        <v>111</v>
      </c>
      <c r="E719" t="s">
        <v>129</v>
      </c>
      <c r="F719" t="str">
        <f>VLOOKUP(G719,PC!B:D,2,FALSE)</f>
        <v>CIGARRO</v>
      </c>
      <c r="G719" s="4" t="s">
        <v>57</v>
      </c>
      <c r="H719" s="1">
        <v>1070</v>
      </c>
    </row>
    <row r="720" spans="2:10" x14ac:dyDescent="0.2">
      <c r="B720" t="str">
        <f>VLOOKUP(G720,PC!B:D,3,FALSE)</f>
        <v>CPV</v>
      </c>
      <c r="C720" s="22">
        <v>2023</v>
      </c>
      <c r="D720" t="s">
        <v>111</v>
      </c>
      <c r="E720" t="s">
        <v>14</v>
      </c>
      <c r="F720" t="str">
        <f>VLOOKUP(G720,PC!B:D,2,FALSE)</f>
        <v>BEBIDAS</v>
      </c>
      <c r="G720" s="4" t="s">
        <v>26</v>
      </c>
      <c r="H720" s="1">
        <v>688.34</v>
      </c>
    </row>
    <row r="721" spans="2:8" x14ac:dyDescent="0.2">
      <c r="B721" t="str">
        <f>VLOOKUP(G721,PC!B:D,3,FALSE)</f>
        <v>CPV</v>
      </c>
      <c r="C721" s="22">
        <v>2023</v>
      </c>
      <c r="D721" t="s">
        <v>111</v>
      </c>
      <c r="E721" t="s">
        <v>14</v>
      </c>
      <c r="F721" t="str">
        <f>VLOOKUP(G721,PC!B:D,2,FALSE)</f>
        <v>BEBIDAS</v>
      </c>
      <c r="G721" s="4" t="s">
        <v>25</v>
      </c>
      <c r="H721" s="1">
        <v>1139.95</v>
      </c>
    </row>
    <row r="722" spans="2:8" x14ac:dyDescent="0.2">
      <c r="B722" t="str">
        <f>VLOOKUP(G722,PC!B:D,3,FALSE)</f>
        <v>CPV</v>
      </c>
      <c r="C722" s="22">
        <v>2023</v>
      </c>
      <c r="D722" t="s">
        <v>111</v>
      </c>
      <c r="E722" t="s">
        <v>28</v>
      </c>
      <c r="F722" t="str">
        <f>VLOOKUP(G722,PC!B:D,2,FALSE)</f>
        <v>BEBIDAS</v>
      </c>
      <c r="G722" s="4" t="s">
        <v>25</v>
      </c>
      <c r="H722" s="1">
        <v>156.02000000000001</v>
      </c>
    </row>
    <row r="723" spans="2:8" x14ac:dyDescent="0.2">
      <c r="B723" t="str">
        <f>VLOOKUP(G723,PC!B:D,3,FALSE)</f>
        <v>CPV</v>
      </c>
      <c r="C723" s="22">
        <v>2023</v>
      </c>
      <c r="D723" t="s">
        <v>111</v>
      </c>
      <c r="E723" t="s">
        <v>159</v>
      </c>
      <c r="F723" t="str">
        <f>VLOOKUP(G723,PC!B:D,2,FALSE)</f>
        <v>COMIDA</v>
      </c>
      <c r="G723" s="4" t="s">
        <v>145</v>
      </c>
      <c r="H723" s="1">
        <v>71.5</v>
      </c>
    </row>
    <row r="724" spans="2:8" x14ac:dyDescent="0.2">
      <c r="B724" t="str">
        <f>VLOOKUP(G724,PC!B:D,3,FALSE)</f>
        <v>CPV</v>
      </c>
      <c r="C724" s="22">
        <v>2023</v>
      </c>
      <c r="D724" t="s">
        <v>111</v>
      </c>
      <c r="E724" t="s">
        <v>159</v>
      </c>
      <c r="F724" t="str">
        <f>VLOOKUP(G724,PC!B:D,2,FALSE)</f>
        <v>COMIDA</v>
      </c>
      <c r="G724" s="4" t="s">
        <v>145</v>
      </c>
      <c r="H724" s="1">
        <v>132.76</v>
      </c>
    </row>
    <row r="725" spans="2:8" x14ac:dyDescent="0.2">
      <c r="B725" t="str">
        <f>VLOOKUP(G725,PC!B:D,3,FALSE)</f>
        <v>DESPESA OPERACIONAL</v>
      </c>
      <c r="C725" s="22">
        <v>2023</v>
      </c>
      <c r="D725" t="s">
        <v>111</v>
      </c>
      <c r="F725" t="str">
        <f>VLOOKUP(G725,PC!B:D,2,FALSE)</f>
        <v>DESPESA OPERACIONAL</v>
      </c>
      <c r="G725" s="4" t="s">
        <v>73</v>
      </c>
      <c r="H725" s="1">
        <v>2105.08</v>
      </c>
    </row>
    <row r="726" spans="2:8" x14ac:dyDescent="0.2">
      <c r="B726" t="str">
        <f>VLOOKUP(G726,PC!B:D,3,FALSE)</f>
        <v>RECEITA</v>
      </c>
      <c r="C726" s="22">
        <v>2023</v>
      </c>
      <c r="D726" t="s">
        <v>111</v>
      </c>
      <c r="F726" t="str">
        <f>VLOOKUP(G726,PC!B:D,2,FALSE)</f>
        <v>RECEITA</v>
      </c>
      <c r="G726" s="4" t="s">
        <v>64</v>
      </c>
      <c r="H726" s="1">
        <v>2152</v>
      </c>
    </row>
    <row r="727" spans="2:8" x14ac:dyDescent="0.2">
      <c r="B727" t="str">
        <f>VLOOKUP(G727,PC!B:D,3,FALSE)</f>
        <v>CPV</v>
      </c>
      <c r="C727" s="22">
        <v>2023</v>
      </c>
      <c r="D727" t="s">
        <v>111</v>
      </c>
      <c r="E727" t="s">
        <v>78</v>
      </c>
      <c r="F727" t="str">
        <f>VLOOKUP(G727,PC!B:D,2,FALSE)</f>
        <v>CIGARRO</v>
      </c>
      <c r="G727" s="4" t="s">
        <v>82</v>
      </c>
      <c r="H727" s="1">
        <v>99.18</v>
      </c>
    </row>
    <row r="728" spans="2:8" x14ac:dyDescent="0.2">
      <c r="B728" t="str">
        <f>VLOOKUP(G728,PC!B:D,3,FALSE)</f>
        <v>CPV</v>
      </c>
      <c r="C728" s="22">
        <v>2023</v>
      </c>
      <c r="D728" t="s">
        <v>111</v>
      </c>
      <c r="E728" t="s">
        <v>78</v>
      </c>
      <c r="F728" t="str">
        <f>VLOOKUP(G728,PC!B:D,2,FALSE)</f>
        <v>CIGARRO</v>
      </c>
      <c r="G728" s="4" t="s">
        <v>82</v>
      </c>
      <c r="H728" s="1">
        <v>57.44</v>
      </c>
    </row>
    <row r="729" spans="2:8" x14ac:dyDescent="0.2">
      <c r="B729" t="str">
        <f>VLOOKUP(G729,PC!B:D,3,FALSE)</f>
        <v>CPV</v>
      </c>
      <c r="C729" s="22">
        <v>2023</v>
      </c>
      <c r="D729" t="s">
        <v>111</v>
      </c>
      <c r="E729" t="s">
        <v>28</v>
      </c>
      <c r="F729" t="str">
        <f>VLOOKUP(G729,PC!B:D,2,FALSE)</f>
        <v>BEBIDAS</v>
      </c>
      <c r="G729" s="4" t="s">
        <v>26</v>
      </c>
      <c r="H729" s="1">
        <v>1803.36</v>
      </c>
    </row>
    <row r="730" spans="2:8" x14ac:dyDescent="0.2">
      <c r="B730" t="str">
        <f>VLOOKUP(G730,PC!B:D,3,FALSE)</f>
        <v>CPV</v>
      </c>
      <c r="C730" s="22">
        <v>2023</v>
      </c>
      <c r="D730" t="s">
        <v>111</v>
      </c>
      <c r="E730" t="s">
        <v>49</v>
      </c>
      <c r="F730" t="str">
        <f>VLOOKUP(G730,PC!B:D,2,FALSE)</f>
        <v>CIGARRO</v>
      </c>
      <c r="G730" s="4" t="s">
        <v>52</v>
      </c>
      <c r="H730" s="1">
        <v>4061.69</v>
      </c>
    </row>
    <row r="731" spans="2:8" x14ac:dyDescent="0.2">
      <c r="B731" t="str">
        <f>VLOOKUP(G731,PC!B:D,3,FALSE)</f>
        <v>CPV</v>
      </c>
      <c r="C731" s="22">
        <v>2023</v>
      </c>
      <c r="D731" t="s">
        <v>111</v>
      </c>
      <c r="E731" t="s">
        <v>21</v>
      </c>
      <c r="F731" t="str">
        <f>VLOOKUP(G731,PC!B:D,2,FALSE)</f>
        <v>COMIDA</v>
      </c>
      <c r="G731" s="4" t="s">
        <v>38</v>
      </c>
      <c r="H731" s="1">
        <v>129.18</v>
      </c>
    </row>
    <row r="732" spans="2:8" x14ac:dyDescent="0.2">
      <c r="B732" t="str">
        <f>VLOOKUP(G732,PC!B:D,3,FALSE)</f>
        <v>CPV</v>
      </c>
      <c r="C732" s="22">
        <v>2023</v>
      </c>
      <c r="D732" t="s">
        <v>111</v>
      </c>
      <c r="E732" t="s">
        <v>40</v>
      </c>
      <c r="F732" t="str">
        <f>VLOOKUP(G732,PC!B:D,2,FALSE)</f>
        <v>BEBIDAS</v>
      </c>
      <c r="G732" s="4" t="s">
        <v>51</v>
      </c>
      <c r="H732" s="1">
        <v>17</v>
      </c>
    </row>
    <row r="733" spans="2:8" x14ac:dyDescent="0.2">
      <c r="B733" t="str">
        <f>VLOOKUP(G733,PC!B:D,3,FALSE)</f>
        <v>CPV</v>
      </c>
      <c r="C733" s="22">
        <v>2023</v>
      </c>
      <c r="D733" t="s">
        <v>111</v>
      </c>
      <c r="E733" t="s">
        <v>20</v>
      </c>
      <c r="F733" t="str">
        <f>VLOOKUP(G733,PC!B:D,2,FALSE)</f>
        <v>COMIDA</v>
      </c>
      <c r="G733" s="4" t="s">
        <v>29</v>
      </c>
      <c r="H733" s="1">
        <v>57.8</v>
      </c>
    </row>
    <row r="734" spans="2:8" x14ac:dyDescent="0.2">
      <c r="B734" t="str">
        <f>VLOOKUP(G734,PC!B:D,3,FALSE)</f>
        <v>CPV</v>
      </c>
      <c r="C734" s="22">
        <v>2023</v>
      </c>
      <c r="D734" t="s">
        <v>111</v>
      </c>
      <c r="E734" t="s">
        <v>28</v>
      </c>
      <c r="F734" t="str">
        <f>VLOOKUP(G734,PC!B:D,2,FALSE)</f>
        <v>BEBIDAS</v>
      </c>
      <c r="G734" s="4" t="s">
        <v>26</v>
      </c>
      <c r="H734" s="1">
        <f>447.34+4871.97</f>
        <v>5319.31</v>
      </c>
    </row>
    <row r="735" spans="2:8" x14ac:dyDescent="0.2">
      <c r="B735" t="str">
        <f>VLOOKUP(G735,PC!B:D,3,FALSE)</f>
        <v>CPV</v>
      </c>
      <c r="C735" s="22">
        <v>2023</v>
      </c>
      <c r="D735" t="s">
        <v>111</v>
      </c>
      <c r="E735" t="s">
        <v>11</v>
      </c>
      <c r="F735" t="str">
        <f>VLOOKUP(G735,PC!B:D,2,FALSE)</f>
        <v>LIMPEZA</v>
      </c>
      <c r="G735" s="4" t="s">
        <v>43</v>
      </c>
      <c r="H735" s="1">
        <v>237.15</v>
      </c>
    </row>
    <row r="736" spans="2:8" x14ac:dyDescent="0.2">
      <c r="B736" t="e">
        <f>VLOOKUP(G736,PC!B:D,3,FALSE)</f>
        <v>#N/A</v>
      </c>
      <c r="C736" s="22">
        <v>2023</v>
      </c>
      <c r="D736" t="s">
        <v>111</v>
      </c>
      <c r="E736" t="s">
        <v>11</v>
      </c>
      <c r="F736" t="e">
        <f>VLOOKUP(G736,PC!B:D,2,FALSE)</f>
        <v>#N/A</v>
      </c>
      <c r="G736" s="4" t="s">
        <v>176</v>
      </c>
      <c r="H736" s="1">
        <v>68.73</v>
      </c>
    </row>
    <row r="737" spans="2:8" x14ac:dyDescent="0.2">
      <c r="B737" t="str">
        <f>VLOOKUP(G737,PC!B:D,3,FALSE)</f>
        <v>CPV</v>
      </c>
      <c r="C737" s="22">
        <v>2023</v>
      </c>
      <c r="D737" t="s">
        <v>111</v>
      </c>
      <c r="E737" t="s">
        <v>14</v>
      </c>
      <c r="F737" t="str">
        <f>VLOOKUP(G737,PC!B:D,2,FALSE)</f>
        <v>BEBIDAS</v>
      </c>
      <c r="G737" s="4" t="s">
        <v>25</v>
      </c>
      <c r="H737" s="1">
        <v>1914.73</v>
      </c>
    </row>
    <row r="738" spans="2:8" x14ac:dyDescent="0.2">
      <c r="B738" t="str">
        <f>VLOOKUP(G738,PC!B:D,3,FALSE)</f>
        <v>CPV</v>
      </c>
      <c r="C738" s="22">
        <v>2023</v>
      </c>
      <c r="D738" t="s">
        <v>111</v>
      </c>
      <c r="E738" t="s">
        <v>14</v>
      </c>
      <c r="F738" t="str">
        <f>VLOOKUP(G738,PC!B:D,2,FALSE)</f>
        <v>BEBIDAS</v>
      </c>
      <c r="G738" s="4" t="s">
        <v>26</v>
      </c>
      <c r="H738" s="1">
        <v>928.44</v>
      </c>
    </row>
    <row r="739" spans="2:8" x14ac:dyDescent="0.2">
      <c r="B739" t="str">
        <f>VLOOKUP(G739,PC!B:D,3,FALSE)</f>
        <v>CPV</v>
      </c>
      <c r="C739" s="22">
        <v>2023</v>
      </c>
      <c r="D739" t="s">
        <v>111</v>
      </c>
      <c r="E739" t="s">
        <v>14</v>
      </c>
      <c r="F739" t="str">
        <f>VLOOKUP(G739,PC!B:D,2,FALSE)</f>
        <v>BEBIDAS</v>
      </c>
      <c r="G739" s="4" t="s">
        <v>46</v>
      </c>
      <c r="H739" s="1">
        <v>13.16</v>
      </c>
    </row>
    <row r="740" spans="2:8" x14ac:dyDescent="0.2">
      <c r="B740" t="str">
        <f>VLOOKUP(G740,PC!B:D,3,FALSE)</f>
        <v>CPV</v>
      </c>
      <c r="C740" s="22">
        <v>2023</v>
      </c>
      <c r="D740" t="s">
        <v>111</v>
      </c>
      <c r="E740" t="s">
        <v>28</v>
      </c>
      <c r="F740" t="str">
        <f>VLOOKUP(G740,PC!B:D,2,FALSE)</f>
        <v>BEBIDAS</v>
      </c>
      <c r="G740" s="4" t="s">
        <v>26</v>
      </c>
      <c r="H740" s="1">
        <v>668.9</v>
      </c>
    </row>
    <row r="741" spans="2:8" x14ac:dyDescent="0.2">
      <c r="B741" t="str">
        <f>VLOOKUP(G741,PC!B:D,3,FALSE)</f>
        <v>CPV</v>
      </c>
      <c r="C741" s="22">
        <v>2023</v>
      </c>
      <c r="D741" t="s">
        <v>111</v>
      </c>
      <c r="E741" t="s">
        <v>159</v>
      </c>
      <c r="F741" t="str">
        <f>VLOOKUP(G741,PC!B:D,2,FALSE)</f>
        <v>BEBIDAS</v>
      </c>
      <c r="G741" s="4" t="s">
        <v>46</v>
      </c>
      <c r="H741" s="1">
        <v>79.48</v>
      </c>
    </row>
    <row r="742" spans="2:8" x14ac:dyDescent="0.2">
      <c r="B742" t="str">
        <f>VLOOKUP(G742,PC!B:D,3,FALSE)</f>
        <v>CPV</v>
      </c>
      <c r="C742" s="22">
        <v>2023</v>
      </c>
      <c r="D742" t="s">
        <v>111</v>
      </c>
      <c r="E742" t="s">
        <v>159</v>
      </c>
      <c r="F742" t="str">
        <f>VLOOKUP(G742,PC!B:D,2,FALSE)</f>
        <v>COMIDA</v>
      </c>
      <c r="G742" s="4" t="s">
        <v>145</v>
      </c>
      <c r="H742" s="1">
        <f>71.5+19.38</f>
        <v>90.88</v>
      </c>
    </row>
    <row r="743" spans="2:8" x14ac:dyDescent="0.2">
      <c r="B743" t="str">
        <f>VLOOKUP(G743,PC!B:D,3,FALSE)</f>
        <v>CPV</v>
      </c>
      <c r="C743" s="22">
        <v>2023</v>
      </c>
      <c r="D743" t="s">
        <v>111</v>
      </c>
      <c r="E743" t="s">
        <v>159</v>
      </c>
      <c r="F743" t="str">
        <f>VLOOKUP(G743,PC!B:D,2,FALSE)</f>
        <v>COMIDA</v>
      </c>
      <c r="G743" s="4" t="s">
        <v>38</v>
      </c>
      <c r="H743" s="1">
        <v>42.12</v>
      </c>
    </row>
    <row r="744" spans="2:8" x14ac:dyDescent="0.2">
      <c r="B744" t="str">
        <f>VLOOKUP(G744,PC!B:D,3,FALSE)</f>
        <v>CPV</v>
      </c>
      <c r="C744" s="22">
        <v>2023</v>
      </c>
      <c r="D744" t="s">
        <v>111</v>
      </c>
      <c r="E744" t="s">
        <v>35</v>
      </c>
      <c r="F744" t="str">
        <f>VLOOKUP(G744,PC!B:D,2,FALSE)</f>
        <v>BEBIDAS</v>
      </c>
      <c r="G744" s="4" t="s">
        <v>39</v>
      </c>
      <c r="H744" s="1">
        <f>264.42+176.28</f>
        <v>440.70000000000005</v>
      </c>
    </row>
    <row r="745" spans="2:8" x14ac:dyDescent="0.2">
      <c r="B745" t="str">
        <f>VLOOKUP(G745,PC!B:D,3,FALSE)</f>
        <v>CPV</v>
      </c>
      <c r="C745" s="22">
        <v>2023</v>
      </c>
      <c r="D745" t="s">
        <v>111</v>
      </c>
      <c r="E745" t="s">
        <v>35</v>
      </c>
      <c r="F745" t="str">
        <f>VLOOKUP(G745,PC!B:D,2,FALSE)</f>
        <v>OUTROS</v>
      </c>
      <c r="G745" s="4" t="s">
        <v>133</v>
      </c>
      <c r="H745" s="1">
        <v>56.36</v>
      </c>
    </row>
    <row r="746" spans="2:8" x14ac:dyDescent="0.2">
      <c r="B746" t="str">
        <f>VLOOKUP(G746,PC!B:D,3,FALSE)</f>
        <v>CPV</v>
      </c>
      <c r="C746" s="22">
        <v>2023</v>
      </c>
      <c r="D746" t="s">
        <v>111</v>
      </c>
      <c r="E746" t="s">
        <v>35</v>
      </c>
      <c r="F746" t="str">
        <f>VLOOKUP(G746,PC!B:D,2,FALSE)</f>
        <v>OUTROS</v>
      </c>
      <c r="G746" s="4" t="s">
        <v>133</v>
      </c>
      <c r="H746" s="1">
        <f>1078.86-H745-H744-H747</f>
        <v>223.23999999999984</v>
      </c>
    </row>
    <row r="747" spans="2:8" x14ac:dyDescent="0.2">
      <c r="B747" t="str">
        <f>VLOOKUP(G747,PC!B:D,3,FALSE)</f>
        <v>CPV</v>
      </c>
      <c r="C747" s="22">
        <v>2023</v>
      </c>
      <c r="D747" t="s">
        <v>111</v>
      </c>
      <c r="E747" t="s">
        <v>35</v>
      </c>
      <c r="F747" t="str">
        <f>VLOOKUP(G747,PC!B:D,2,FALSE)</f>
        <v>CIGARRO</v>
      </c>
      <c r="G747" s="4" t="s">
        <v>131</v>
      </c>
      <c r="H747" s="1">
        <v>358.56</v>
      </c>
    </row>
    <row r="748" spans="2:8" x14ac:dyDescent="0.2">
      <c r="B748" t="str">
        <f>VLOOKUP(G748,PC!B:D,3,FALSE)</f>
        <v>CPV</v>
      </c>
      <c r="C748" s="22">
        <v>2023</v>
      </c>
      <c r="D748" t="s">
        <v>111</v>
      </c>
      <c r="E748" t="s">
        <v>129</v>
      </c>
      <c r="F748" t="str">
        <f>VLOOKUP(G748,PC!B:D,2,FALSE)</f>
        <v>COMIDA</v>
      </c>
      <c r="G748" s="4" t="s">
        <v>145</v>
      </c>
      <c r="H748" s="1">
        <v>68.8</v>
      </c>
    </row>
    <row r="749" spans="2:8" x14ac:dyDescent="0.2">
      <c r="B749" t="str">
        <f>VLOOKUP(G749,PC!B:D,3,FALSE)</f>
        <v>DESPESA OPERACIONAL</v>
      </c>
      <c r="C749" s="22">
        <v>2023</v>
      </c>
      <c r="D749" t="s">
        <v>111</v>
      </c>
      <c r="F749" t="str">
        <f>VLOOKUP(G749,PC!B:D,2,FALSE)</f>
        <v>DESPESA OPERACIONAL</v>
      </c>
      <c r="G749" s="4" t="s">
        <v>73</v>
      </c>
      <c r="H749" s="1">
        <v>1725.81</v>
      </c>
    </row>
    <row r="750" spans="2:8" x14ac:dyDescent="0.2">
      <c r="B750" t="str">
        <f>VLOOKUP(G750,PC!B:D,3,FALSE)</f>
        <v>CPV</v>
      </c>
      <c r="C750" s="22">
        <v>2023</v>
      </c>
      <c r="D750" t="s">
        <v>111</v>
      </c>
      <c r="E750" t="s">
        <v>95</v>
      </c>
      <c r="F750" t="str">
        <f>VLOOKUP(G750,PC!B:D,2,FALSE)</f>
        <v>BEBIDAS</v>
      </c>
      <c r="G750" s="4" t="s">
        <v>144</v>
      </c>
      <c r="H750" s="1">
        <v>325.81</v>
      </c>
    </row>
    <row r="751" spans="2:8" x14ac:dyDescent="0.2">
      <c r="B751" t="str">
        <f>VLOOKUP(G751,PC!B:D,3,FALSE)</f>
        <v>CPV</v>
      </c>
      <c r="C751" s="22">
        <v>2023</v>
      </c>
      <c r="D751" t="s">
        <v>111</v>
      </c>
      <c r="E751" t="s">
        <v>129</v>
      </c>
      <c r="F751" t="str">
        <f>VLOOKUP(G751,PC!B:D,2,FALSE)</f>
        <v>BEBIDAS</v>
      </c>
      <c r="G751" s="4" t="s">
        <v>48</v>
      </c>
      <c r="H751" s="1">
        <v>315</v>
      </c>
    </row>
    <row r="752" spans="2:8" x14ac:dyDescent="0.2">
      <c r="B752" t="str">
        <f>VLOOKUP(G752,PC!B:D,3,FALSE)</f>
        <v>DESPESA OPERACIONAL</v>
      </c>
      <c r="C752" s="22">
        <v>2023</v>
      </c>
      <c r="D752" t="s">
        <v>111</v>
      </c>
      <c r="F752" t="str">
        <f>VLOOKUP(G752,PC!B:D,2,FALSE)</f>
        <v>DESPESA OPERACIONAL</v>
      </c>
      <c r="G752" s="4" t="s">
        <v>73</v>
      </c>
      <c r="H752" s="1">
        <v>1239.99</v>
      </c>
    </row>
    <row r="753" spans="2:8" x14ac:dyDescent="0.2">
      <c r="B753" t="str">
        <f>VLOOKUP(G753,PC!B:D,3,FALSE)</f>
        <v>RECEITA</v>
      </c>
      <c r="C753" s="22">
        <v>2023</v>
      </c>
      <c r="D753" t="s">
        <v>111</v>
      </c>
      <c r="F753" t="str">
        <f>VLOOKUP(G753,PC!B:D,2,FALSE)</f>
        <v>RECEITA</v>
      </c>
      <c r="G753" s="4" t="s">
        <v>64</v>
      </c>
      <c r="H753" s="1">
        <v>28.51</v>
      </c>
    </row>
    <row r="754" spans="2:8" x14ac:dyDescent="0.2">
      <c r="B754" t="str">
        <f>VLOOKUP(G754,PC!B:D,3,FALSE)</f>
        <v>CPV</v>
      </c>
      <c r="C754" s="22">
        <v>2023</v>
      </c>
      <c r="D754" t="s">
        <v>111</v>
      </c>
      <c r="E754" t="s">
        <v>6</v>
      </c>
      <c r="F754" t="str">
        <f>VLOOKUP(G754,PC!B:D,2,FALSE)</f>
        <v>COMIDA</v>
      </c>
      <c r="G754" s="4" t="s">
        <v>145</v>
      </c>
      <c r="H754" s="1">
        <v>46.08</v>
      </c>
    </row>
    <row r="755" spans="2:8" x14ac:dyDescent="0.2">
      <c r="B755" t="str">
        <f>VLOOKUP(G755,PC!B:D,3,FALSE)</f>
        <v>CPV</v>
      </c>
      <c r="C755" s="22">
        <v>2023</v>
      </c>
      <c r="D755" t="s">
        <v>111</v>
      </c>
      <c r="E755" t="s">
        <v>45</v>
      </c>
      <c r="F755" t="str">
        <f>VLOOKUP(G755,PC!B:D,2,FALSE)</f>
        <v>OUTROS</v>
      </c>
      <c r="G755" s="4" t="s">
        <v>37</v>
      </c>
      <c r="H755" s="1">
        <v>941.15</v>
      </c>
    </row>
    <row r="756" spans="2:8" x14ac:dyDescent="0.2">
      <c r="B756" t="str">
        <f>VLOOKUP(G756,PC!B:D,3,FALSE)</f>
        <v>CPV</v>
      </c>
      <c r="C756" s="22">
        <v>2023</v>
      </c>
      <c r="D756" t="s">
        <v>111</v>
      </c>
      <c r="E756" t="s">
        <v>20</v>
      </c>
      <c r="F756" t="str">
        <f>VLOOKUP(G756,PC!B:D,2,FALSE)</f>
        <v>COMIDA</v>
      </c>
      <c r="G756" s="4" t="s">
        <v>29</v>
      </c>
      <c r="H756" s="1">
        <v>232.4</v>
      </c>
    </row>
    <row r="757" spans="2:8" x14ac:dyDescent="0.2">
      <c r="B757" t="str">
        <f>VLOOKUP(G757,PC!B:D,3,FALSE)</f>
        <v>CPV</v>
      </c>
      <c r="C757" s="22">
        <v>2023</v>
      </c>
      <c r="D757" t="s">
        <v>111</v>
      </c>
      <c r="E757" t="s">
        <v>24</v>
      </c>
      <c r="F757" t="str">
        <f>VLOOKUP(G757,PC!B:D,2,FALSE)</f>
        <v>COMIDA</v>
      </c>
      <c r="G757" s="4" t="s">
        <v>33</v>
      </c>
      <c r="H757" s="1">
        <v>551.82000000000005</v>
      </c>
    </row>
    <row r="758" spans="2:8" x14ac:dyDescent="0.2">
      <c r="B758" t="str">
        <f>VLOOKUP(G758,PC!B:D,3,FALSE)</f>
        <v>CPV</v>
      </c>
      <c r="C758" s="22">
        <v>2023</v>
      </c>
      <c r="D758" t="s">
        <v>111</v>
      </c>
      <c r="E758" t="s">
        <v>28</v>
      </c>
      <c r="F758" t="str">
        <f>VLOOKUP(G758,PC!B:D,2,FALSE)</f>
        <v>BEBIDAS</v>
      </c>
      <c r="G758" s="4" t="s">
        <v>26</v>
      </c>
      <c r="H758" s="1">
        <v>2704.37</v>
      </c>
    </row>
    <row r="759" spans="2:8" x14ac:dyDescent="0.2">
      <c r="B759" t="str">
        <f>VLOOKUP(G759,PC!B:D,3,FALSE)</f>
        <v>CPV</v>
      </c>
      <c r="C759" s="22">
        <v>2023</v>
      </c>
      <c r="D759" t="s">
        <v>111</v>
      </c>
      <c r="E759" t="s">
        <v>28</v>
      </c>
      <c r="F759" t="str">
        <f>VLOOKUP(G759,PC!B:D,2,FALSE)</f>
        <v>BEBIDAS</v>
      </c>
      <c r="G759" s="4" t="s">
        <v>26</v>
      </c>
      <c r="H759" s="1">
        <v>1514.93</v>
      </c>
    </row>
    <row r="760" spans="2:8" x14ac:dyDescent="0.2">
      <c r="B760" t="str">
        <f>VLOOKUP(G760,PC!B:D,3,FALSE)</f>
        <v>CPV</v>
      </c>
      <c r="C760" s="22">
        <v>2023</v>
      </c>
      <c r="D760" t="s">
        <v>111</v>
      </c>
      <c r="E760" t="s">
        <v>28</v>
      </c>
      <c r="F760" t="str">
        <f>VLOOKUP(G760,PC!B:D,2,FALSE)</f>
        <v>BEBIDAS</v>
      </c>
      <c r="G760" s="4" t="s">
        <v>26</v>
      </c>
      <c r="H760" s="1">
        <v>239.4</v>
      </c>
    </row>
    <row r="761" spans="2:8" x14ac:dyDescent="0.2">
      <c r="B761" t="str">
        <f>VLOOKUP(G761,PC!B:D,3,FALSE)</f>
        <v>CPV</v>
      </c>
      <c r="C761" s="22">
        <v>2023</v>
      </c>
      <c r="D761" t="s">
        <v>111</v>
      </c>
      <c r="E761" t="s">
        <v>129</v>
      </c>
      <c r="F761" t="str">
        <f>VLOOKUP(G761,PC!B:D,2,FALSE)</f>
        <v>COMIDA</v>
      </c>
      <c r="G761" s="4" t="s">
        <v>155</v>
      </c>
      <c r="H761" s="1">
        <v>465</v>
      </c>
    </row>
    <row r="762" spans="2:8" x14ac:dyDescent="0.2">
      <c r="B762" t="str">
        <f>VLOOKUP(G762,PC!B:D,3,FALSE)</f>
        <v>CPV</v>
      </c>
      <c r="C762" s="22">
        <v>2023</v>
      </c>
      <c r="D762" t="s">
        <v>111</v>
      </c>
      <c r="E762" t="s">
        <v>28</v>
      </c>
      <c r="F762" t="str">
        <f>VLOOKUP(G762,PC!B:D,2,FALSE)</f>
        <v>BEBIDAS</v>
      </c>
      <c r="G762" s="4" t="s">
        <v>26</v>
      </c>
      <c r="H762" s="1">
        <v>599</v>
      </c>
    </row>
    <row r="763" spans="2:8" x14ac:dyDescent="0.2">
      <c r="B763" t="str">
        <f>VLOOKUP(G763,PC!B:D,3,FALSE)</f>
        <v>CPV</v>
      </c>
      <c r="C763" s="22">
        <v>2023</v>
      </c>
      <c r="D763" t="s">
        <v>111</v>
      </c>
      <c r="E763" t="s">
        <v>49</v>
      </c>
      <c r="F763" t="str">
        <f>VLOOKUP(G763,PC!B:D,2,FALSE)</f>
        <v>CIGARRO</v>
      </c>
      <c r="G763" s="4" t="s">
        <v>52</v>
      </c>
      <c r="H763" s="1">
        <v>6398.69</v>
      </c>
    </row>
    <row r="764" spans="2:8" x14ac:dyDescent="0.2">
      <c r="B764" t="str">
        <f>VLOOKUP(G764,PC!B:D,3,FALSE)</f>
        <v>CPV</v>
      </c>
      <c r="C764" s="22">
        <v>2023</v>
      </c>
      <c r="D764" t="s">
        <v>111</v>
      </c>
      <c r="E764" t="s">
        <v>163</v>
      </c>
      <c r="F764" t="str">
        <f>VLOOKUP(G764,PC!B:D,2,FALSE)</f>
        <v>LIMPEZA</v>
      </c>
      <c r="G764" s="4" t="s">
        <v>43</v>
      </c>
      <c r="H764" s="1">
        <v>503.05</v>
      </c>
    </row>
    <row r="765" spans="2:8" x14ac:dyDescent="0.2">
      <c r="B765" t="str">
        <f>VLOOKUP(G765,PC!B:D,3,FALSE)</f>
        <v>CPV</v>
      </c>
      <c r="C765" s="22">
        <v>2023</v>
      </c>
      <c r="D765" t="s">
        <v>111</v>
      </c>
      <c r="E765" t="s">
        <v>129</v>
      </c>
      <c r="F765" t="str">
        <f>VLOOKUP(G765,PC!B:D,2,FALSE)</f>
        <v>CIGARRO</v>
      </c>
      <c r="G765" s="4" t="s">
        <v>55</v>
      </c>
      <c r="H765" s="1">
        <v>939</v>
      </c>
    </row>
    <row r="766" spans="2:8" x14ac:dyDescent="0.2">
      <c r="B766" t="str">
        <f>VLOOKUP(G766,PC!B:D,3,FALSE)</f>
        <v>CPV</v>
      </c>
      <c r="C766" s="22">
        <v>2023</v>
      </c>
      <c r="D766" t="s">
        <v>111</v>
      </c>
      <c r="E766" t="s">
        <v>14</v>
      </c>
      <c r="F766" t="str">
        <f>VLOOKUP(G766,PC!B:D,2,FALSE)</f>
        <v>BEBIDAS</v>
      </c>
      <c r="G766" s="4" t="s">
        <v>25</v>
      </c>
      <c r="H766" s="1">
        <v>731.05</v>
      </c>
    </row>
    <row r="767" spans="2:8" x14ac:dyDescent="0.2">
      <c r="B767" t="str">
        <f>VLOOKUP(G767,PC!B:D,3,FALSE)</f>
        <v>CPV</v>
      </c>
      <c r="C767" s="22">
        <v>2023</v>
      </c>
      <c r="D767" t="s">
        <v>111</v>
      </c>
      <c r="E767" t="s">
        <v>96</v>
      </c>
      <c r="F767" t="str">
        <f>VLOOKUP(G767,PC!B:D,2,FALSE)</f>
        <v>SOBREMESA</v>
      </c>
      <c r="G767" s="4" t="s">
        <v>8</v>
      </c>
      <c r="H767" s="1">
        <f>249.12-H768</f>
        <v>112.31</v>
      </c>
    </row>
    <row r="768" spans="2:8" x14ac:dyDescent="0.2">
      <c r="B768" t="str">
        <f>VLOOKUP(G768,PC!B:D,3,FALSE)</f>
        <v>CPV</v>
      </c>
      <c r="C768" s="22">
        <v>2023</v>
      </c>
      <c r="D768" t="s">
        <v>111</v>
      </c>
      <c r="E768" t="s">
        <v>96</v>
      </c>
      <c r="F768" t="str">
        <f>VLOOKUP(G768,PC!B:D,2,FALSE)</f>
        <v>OUTROS</v>
      </c>
      <c r="G768" s="4" t="s">
        <v>37</v>
      </c>
      <c r="H768" s="1">
        <v>136.81</v>
      </c>
    </row>
    <row r="769" spans="2:8" x14ac:dyDescent="0.2">
      <c r="B769" t="str">
        <f>VLOOKUP(G769,PC!B:D,3,FALSE)</f>
        <v>CPV</v>
      </c>
      <c r="C769" s="22">
        <v>2023</v>
      </c>
      <c r="D769" t="s">
        <v>111</v>
      </c>
      <c r="E769" t="s">
        <v>159</v>
      </c>
      <c r="F769" t="str">
        <f>VLOOKUP(G769,PC!B:D,2,FALSE)</f>
        <v>LIMPEZA</v>
      </c>
      <c r="G769" s="4" t="s">
        <v>43</v>
      </c>
      <c r="H769" s="1">
        <f>104.4</f>
        <v>104.4</v>
      </c>
    </row>
    <row r="770" spans="2:8" x14ac:dyDescent="0.2">
      <c r="B770" t="str">
        <f>VLOOKUP(G770,PC!B:D,3,FALSE)</f>
        <v>CPV</v>
      </c>
      <c r="C770" s="22">
        <v>2023</v>
      </c>
      <c r="D770" t="s">
        <v>111</v>
      </c>
      <c r="E770" t="s">
        <v>159</v>
      </c>
      <c r="F770" t="str">
        <f>VLOOKUP(G770,PC!B:D,2,FALSE)</f>
        <v>COMIDA</v>
      </c>
      <c r="G770" s="4" t="s">
        <v>12</v>
      </c>
      <c r="H770" s="1">
        <f>183.34-H769</f>
        <v>78.94</v>
      </c>
    </row>
    <row r="771" spans="2:8" x14ac:dyDescent="0.2">
      <c r="B771" t="str">
        <f>VLOOKUP(G771,PC!B:D,3,FALSE)</f>
        <v>CPV</v>
      </c>
      <c r="C771" s="22">
        <v>2023</v>
      </c>
      <c r="D771" t="s">
        <v>111</v>
      </c>
      <c r="E771" t="s">
        <v>159</v>
      </c>
      <c r="F771" t="str">
        <f>VLOOKUP(G771,PC!B:D,2,FALSE)</f>
        <v>COMIDA</v>
      </c>
      <c r="G771" s="4" t="s">
        <v>34</v>
      </c>
      <c r="H771" s="1">
        <v>95.26</v>
      </c>
    </row>
    <row r="772" spans="2:8" x14ac:dyDescent="0.2">
      <c r="B772" t="str">
        <f>VLOOKUP(G772,PC!B:D,3,FALSE)</f>
        <v>RECEITA</v>
      </c>
      <c r="C772" s="22">
        <v>2023</v>
      </c>
      <c r="D772" t="s">
        <v>111</v>
      </c>
      <c r="F772" t="str">
        <f>VLOOKUP(G772,PC!B:D,2,FALSE)</f>
        <v>RECEITA</v>
      </c>
      <c r="G772" s="4" t="s">
        <v>54</v>
      </c>
      <c r="H772" s="1">
        <v>2400</v>
      </c>
    </row>
    <row r="773" spans="2:8" x14ac:dyDescent="0.2">
      <c r="B773" t="str">
        <f>VLOOKUP(G773,PC!B:D,3,FALSE)</f>
        <v>RECEITA</v>
      </c>
      <c r="C773" s="22">
        <v>2023</v>
      </c>
      <c r="D773" t="s">
        <v>111</v>
      </c>
      <c r="F773" t="str">
        <f>VLOOKUP(G773,PC!B:D,2,FALSE)</f>
        <v>RECEITA</v>
      </c>
      <c r="G773" s="4" t="s">
        <v>54</v>
      </c>
      <c r="H773" s="1">
        <v>300</v>
      </c>
    </row>
    <row r="774" spans="2:8" x14ac:dyDescent="0.2">
      <c r="B774" t="str">
        <f>VLOOKUP(G774,PC!B:D,3,FALSE)</f>
        <v>DESPESA PESSOAL</v>
      </c>
      <c r="C774" s="22">
        <v>2023</v>
      </c>
      <c r="D774" t="s">
        <v>111</v>
      </c>
      <c r="F774" t="str">
        <f>VLOOKUP(G774,PC!B:D,2,FALSE)</f>
        <v>DESPESA PESSOAL</v>
      </c>
      <c r="G774" s="4" t="s">
        <v>56</v>
      </c>
      <c r="H774" s="1">
        <v>350</v>
      </c>
    </row>
    <row r="775" spans="2:8" x14ac:dyDescent="0.2">
      <c r="B775" t="str">
        <f>VLOOKUP(G775,PC!B:D,3,FALSE)</f>
        <v>DESPESA PESSOAL</v>
      </c>
      <c r="C775" s="22">
        <v>2023</v>
      </c>
      <c r="D775" t="s">
        <v>111</v>
      </c>
      <c r="F775" t="str">
        <f>VLOOKUP(G775,PC!B:D,2,FALSE)</f>
        <v>DESPESA PESSOAL</v>
      </c>
      <c r="G775" s="4" t="s">
        <v>124</v>
      </c>
      <c r="H775" s="1">
        <v>600</v>
      </c>
    </row>
    <row r="776" spans="2:8" x14ac:dyDescent="0.2">
      <c r="B776" t="str">
        <f>VLOOKUP(G776,PC!B:D,3,FALSE)</f>
        <v>RECEITA</v>
      </c>
      <c r="C776" s="22">
        <v>2023</v>
      </c>
      <c r="D776" t="s">
        <v>111</v>
      </c>
      <c r="F776" t="str">
        <f>VLOOKUP(G776,PC!B:D,2,FALSE)</f>
        <v>RECEITA</v>
      </c>
      <c r="G776" s="4" t="s">
        <v>54</v>
      </c>
      <c r="H776" s="1">
        <v>1900</v>
      </c>
    </row>
    <row r="777" spans="2:8" x14ac:dyDescent="0.2">
      <c r="B777" t="str">
        <f>VLOOKUP(G777,PC!B:D,3,FALSE)</f>
        <v>RECEITA</v>
      </c>
      <c r="C777" s="22">
        <v>2023</v>
      </c>
      <c r="D777" t="s">
        <v>111</v>
      </c>
      <c r="F777" t="str">
        <f>VLOOKUP(G777,PC!B:D,2,FALSE)</f>
        <v>RECEITA</v>
      </c>
      <c r="G777" s="4" t="s">
        <v>54</v>
      </c>
      <c r="H777" s="1">
        <v>800</v>
      </c>
    </row>
    <row r="778" spans="2:8" x14ac:dyDescent="0.2">
      <c r="B778" t="str">
        <f>VLOOKUP(G778,PC!B:D,3,FALSE)</f>
        <v>RECEITA</v>
      </c>
      <c r="C778" s="22">
        <v>2023</v>
      </c>
      <c r="D778" t="s">
        <v>111</v>
      </c>
      <c r="F778" t="str">
        <f>VLOOKUP(G778,PC!B:D,2,FALSE)</f>
        <v>RECEITA</v>
      </c>
      <c r="G778" s="4" t="s">
        <v>54</v>
      </c>
      <c r="H778" s="1">
        <v>1250</v>
      </c>
    </row>
    <row r="779" spans="2:8" x14ac:dyDescent="0.2">
      <c r="B779" t="str">
        <f>VLOOKUP(G779,PC!B:D,3,FALSE)</f>
        <v>RECEITA</v>
      </c>
      <c r="C779" s="22">
        <v>2023</v>
      </c>
      <c r="D779" t="s">
        <v>111</v>
      </c>
      <c r="F779" t="str">
        <f>VLOOKUP(G779,PC!B:D,2,FALSE)</f>
        <v>RECEITA</v>
      </c>
      <c r="G779" s="4" t="s">
        <v>54</v>
      </c>
      <c r="H779" s="1">
        <v>2500</v>
      </c>
    </row>
    <row r="780" spans="2:8" x14ac:dyDescent="0.2">
      <c r="B780" t="str">
        <f>VLOOKUP(G780,PC!B:D,3,FALSE)</f>
        <v>RECEITA</v>
      </c>
      <c r="C780" s="22">
        <v>2023</v>
      </c>
      <c r="D780" t="s">
        <v>111</v>
      </c>
      <c r="F780" t="str">
        <f>VLOOKUP(G780,PC!B:D,2,FALSE)</f>
        <v>RECEITA</v>
      </c>
      <c r="G780" s="4" t="s">
        <v>54</v>
      </c>
      <c r="H780" s="1">
        <v>400</v>
      </c>
    </row>
    <row r="781" spans="2:8" x14ac:dyDescent="0.2">
      <c r="B781" t="str">
        <f>VLOOKUP(G781,PC!B:D,3,FALSE)</f>
        <v>RECEITA</v>
      </c>
      <c r="C781" s="22">
        <v>2023</v>
      </c>
      <c r="D781" t="s">
        <v>111</v>
      </c>
      <c r="F781" t="str">
        <f>VLOOKUP(G781,PC!B:D,2,FALSE)</f>
        <v>RECEITA</v>
      </c>
      <c r="G781" s="4" t="s">
        <v>54</v>
      </c>
      <c r="H781" s="1">
        <f>165+66.8+48</f>
        <v>279.8</v>
      </c>
    </row>
    <row r="782" spans="2:8" x14ac:dyDescent="0.2">
      <c r="B782" t="str">
        <f>VLOOKUP(G782,PC!B:D,3,FALSE)</f>
        <v>CPV</v>
      </c>
      <c r="C782" s="22">
        <v>2023</v>
      </c>
      <c r="D782" t="s">
        <v>111</v>
      </c>
      <c r="E782" t="s">
        <v>129</v>
      </c>
      <c r="F782" t="str">
        <f>VLOOKUP(G782,PC!B:D,2,FALSE)</f>
        <v>COMIDA</v>
      </c>
      <c r="G782" s="4" t="s">
        <v>12</v>
      </c>
      <c r="H782" s="1">
        <v>48</v>
      </c>
    </row>
    <row r="783" spans="2:8" x14ac:dyDescent="0.2">
      <c r="B783" t="str">
        <f>VLOOKUP(G783,PC!B:D,3,FALSE)</f>
        <v>CPV</v>
      </c>
      <c r="C783" s="22">
        <v>2023</v>
      </c>
      <c r="D783" t="s">
        <v>111</v>
      </c>
      <c r="E783" t="s">
        <v>129</v>
      </c>
      <c r="F783" t="str">
        <f>VLOOKUP(G783,PC!B:D,2,FALSE)</f>
        <v>SOBREMESA</v>
      </c>
      <c r="G783" s="4" t="s">
        <v>7</v>
      </c>
      <c r="H783" s="1">
        <f>190</f>
        <v>190</v>
      </c>
    </row>
    <row r="784" spans="2:8" x14ac:dyDescent="0.2">
      <c r="B784" t="str">
        <f>VLOOKUP(G784,PC!B:D,3,FALSE)</f>
        <v>CPV</v>
      </c>
      <c r="C784" s="22">
        <v>2023</v>
      </c>
      <c r="D784" t="s">
        <v>111</v>
      </c>
      <c r="E784" t="s">
        <v>129</v>
      </c>
      <c r="F784" t="str">
        <f>VLOOKUP(G784,PC!B:D,2,FALSE)</f>
        <v>COMIDA</v>
      </c>
      <c r="G784" s="4" t="s">
        <v>12</v>
      </c>
      <c r="H784" s="1">
        <v>46</v>
      </c>
    </row>
    <row r="785" spans="2:9" x14ac:dyDescent="0.2">
      <c r="B785" t="str">
        <f>VLOOKUP(G785,PC!B:D,3,FALSE)</f>
        <v>DESPESA OPERACIONAL</v>
      </c>
      <c r="C785" s="22">
        <v>2023</v>
      </c>
      <c r="D785" t="s">
        <v>111</v>
      </c>
      <c r="F785" t="str">
        <f>VLOOKUP(G785,PC!B:D,2,FALSE)</f>
        <v>DESPESA OPERACIONAL</v>
      </c>
      <c r="G785" s="4" t="s">
        <v>70</v>
      </c>
      <c r="H785" s="1">
        <v>91</v>
      </c>
    </row>
    <row r="786" spans="2:9" x14ac:dyDescent="0.2">
      <c r="B786" t="str">
        <f>VLOOKUP(G786,PC!B:D,3,FALSE)</f>
        <v>RECEITA</v>
      </c>
      <c r="C786" s="22">
        <v>2023</v>
      </c>
      <c r="D786" t="s">
        <v>111</v>
      </c>
      <c r="F786" t="str">
        <f>VLOOKUP(G786,PC!B:D,2,FALSE)</f>
        <v>RECEITA</v>
      </c>
      <c r="G786" s="4" t="s">
        <v>54</v>
      </c>
      <c r="H786" s="1">
        <v>830</v>
      </c>
    </row>
    <row r="787" spans="2:9" x14ac:dyDescent="0.2">
      <c r="B787" t="str">
        <f>VLOOKUP(G787,PC!B:D,3,FALSE)</f>
        <v>RECEITA</v>
      </c>
      <c r="C787" s="22">
        <v>2023</v>
      </c>
      <c r="D787" t="s">
        <v>111</v>
      </c>
      <c r="F787" t="str">
        <f>VLOOKUP(G787,PC!B:D,2,FALSE)</f>
        <v>RECEITA</v>
      </c>
      <c r="G787" s="4" t="s">
        <v>54</v>
      </c>
      <c r="H787" s="1">
        <v>90</v>
      </c>
    </row>
    <row r="788" spans="2:9" x14ac:dyDescent="0.2">
      <c r="B788" t="str">
        <f>VLOOKUP(G788,PC!B:D,3,FALSE)</f>
        <v>RECEITA</v>
      </c>
      <c r="C788" s="22">
        <v>2023</v>
      </c>
      <c r="D788" t="s">
        <v>111</v>
      </c>
      <c r="F788" t="str">
        <f>VLOOKUP(G788,PC!B:D,2,FALSE)</f>
        <v>RECEITA</v>
      </c>
      <c r="G788" s="4" t="s">
        <v>54</v>
      </c>
      <c r="H788" s="1">
        <f>H782+H783+H784+H785</f>
        <v>375</v>
      </c>
    </row>
    <row r="789" spans="2:9" x14ac:dyDescent="0.2">
      <c r="B789" t="str">
        <f>VLOOKUP(G789,PC!B:D,3,FALSE)</f>
        <v>CPV</v>
      </c>
      <c r="C789" s="22">
        <v>2023</v>
      </c>
      <c r="D789" t="s">
        <v>111</v>
      </c>
      <c r="E789" t="s">
        <v>129</v>
      </c>
      <c r="F789" t="str">
        <f>VLOOKUP(G789,PC!B:D,2,FALSE)</f>
        <v>SOBREMESA</v>
      </c>
      <c r="G789" s="4" t="s">
        <v>7</v>
      </c>
      <c r="H789" s="1">
        <v>80</v>
      </c>
    </row>
    <row r="790" spans="2:9" x14ac:dyDescent="0.2">
      <c r="B790" t="str">
        <f>VLOOKUP(G790,PC!B:D,3,FALSE)</f>
        <v>CPV</v>
      </c>
      <c r="C790" s="22">
        <v>2023</v>
      </c>
      <c r="D790" t="s">
        <v>111</v>
      </c>
      <c r="E790" t="s">
        <v>129</v>
      </c>
      <c r="F790" t="str">
        <f>VLOOKUP(G790,PC!B:D,2,FALSE)</f>
        <v>COMIDA</v>
      </c>
      <c r="G790" s="4" t="s">
        <v>34</v>
      </c>
      <c r="H790" s="1">
        <v>39</v>
      </c>
    </row>
    <row r="791" spans="2:9" x14ac:dyDescent="0.2">
      <c r="B791" t="str">
        <f>VLOOKUP(G791,PC!B:D,3,FALSE)</f>
        <v>DESPESA PESSOAL</v>
      </c>
      <c r="C791" s="22">
        <v>2023</v>
      </c>
      <c r="D791" t="s">
        <v>111</v>
      </c>
      <c r="F791" t="str">
        <f>VLOOKUP(G791,PC!B:D,2,FALSE)</f>
        <v>DESPESA PESSOAL</v>
      </c>
      <c r="G791" s="4" t="s">
        <v>68</v>
      </c>
      <c r="H791" s="1">
        <v>15</v>
      </c>
    </row>
    <row r="792" spans="2:9" x14ac:dyDescent="0.2">
      <c r="B792" t="str">
        <f>VLOOKUP(G792,PC!B:D,3,FALSE)</f>
        <v>RECEITA</v>
      </c>
      <c r="C792" s="22">
        <v>2023</v>
      </c>
      <c r="D792" t="s">
        <v>111</v>
      </c>
      <c r="F792" t="str">
        <f>VLOOKUP(G792,PC!B:D,2,FALSE)</f>
        <v>RECEITA</v>
      </c>
      <c r="G792" s="4" t="s">
        <v>54</v>
      </c>
      <c r="H792" s="1">
        <v>1400</v>
      </c>
    </row>
    <row r="793" spans="2:9" x14ac:dyDescent="0.2">
      <c r="B793" t="str">
        <f>VLOOKUP(G793,PC!B:D,3,FALSE)</f>
        <v>RECEITA</v>
      </c>
      <c r="C793" s="22">
        <v>2023</v>
      </c>
      <c r="D793" t="s">
        <v>111</v>
      </c>
      <c r="F793" t="str">
        <f>VLOOKUP(G793,PC!B:D,2,FALSE)</f>
        <v>RECEITA</v>
      </c>
      <c r="G793" s="4" t="s">
        <v>54</v>
      </c>
      <c r="H793" s="1">
        <v>600</v>
      </c>
    </row>
    <row r="794" spans="2:9" x14ac:dyDescent="0.2">
      <c r="B794" t="str">
        <f>VLOOKUP(G794,PC!B:D,3,FALSE)</f>
        <v>RECEITA</v>
      </c>
      <c r="C794" s="22">
        <v>2023</v>
      </c>
      <c r="D794" t="s">
        <v>111</v>
      </c>
      <c r="F794" t="str">
        <f>VLOOKUP(G794,PC!B:D,2,FALSE)</f>
        <v>RECEITA</v>
      </c>
      <c r="G794" s="4" t="s">
        <v>54</v>
      </c>
      <c r="H794" s="1">
        <v>700</v>
      </c>
    </row>
    <row r="795" spans="2:9" x14ac:dyDescent="0.2">
      <c r="B795" t="str">
        <f>VLOOKUP(G795,PC!B:D,3,FALSE)</f>
        <v>RECEITA</v>
      </c>
      <c r="C795" s="22">
        <v>2023</v>
      </c>
      <c r="D795" t="s">
        <v>111</v>
      </c>
      <c r="F795" t="str">
        <f>VLOOKUP(G795,PC!B:D,2,FALSE)</f>
        <v>RECEITA</v>
      </c>
      <c r="G795" s="4" t="s">
        <v>54</v>
      </c>
      <c r="H795" s="1">
        <f>H789+H790+H791</f>
        <v>134</v>
      </c>
      <c r="I795" s="7" t="s">
        <v>177</v>
      </c>
    </row>
    <row r="796" spans="2:9" x14ac:dyDescent="0.2">
      <c r="B796" t="str">
        <f>VLOOKUP(G796,PC!B:D,3,FALSE)</f>
        <v>CPV</v>
      </c>
      <c r="C796" s="22">
        <v>2023</v>
      </c>
      <c r="D796" t="s">
        <v>111</v>
      </c>
      <c r="E796" t="s">
        <v>129</v>
      </c>
      <c r="F796" t="str">
        <f>VLOOKUP(G796,PC!B:D,2,FALSE)</f>
        <v>COMIDA</v>
      </c>
      <c r="G796" s="4" t="s">
        <v>18</v>
      </c>
      <c r="H796" s="1">
        <v>32</v>
      </c>
    </row>
    <row r="797" spans="2:9" x14ac:dyDescent="0.2">
      <c r="B797" t="str">
        <f>VLOOKUP(G797,PC!B:D,3,FALSE)</f>
        <v>DESPESA PESSOAL</v>
      </c>
      <c r="C797" s="22">
        <v>2023</v>
      </c>
      <c r="D797" t="s">
        <v>111</v>
      </c>
      <c r="E797" t="s">
        <v>129</v>
      </c>
      <c r="F797" t="str">
        <f>VLOOKUP(G797,PC!B:D,2,FALSE)</f>
        <v>DESPESA PESSOAL</v>
      </c>
      <c r="G797" s="4" t="s">
        <v>68</v>
      </c>
      <c r="H797" s="1">
        <v>15</v>
      </c>
    </row>
    <row r="798" spans="2:9" x14ac:dyDescent="0.2">
      <c r="B798" t="str">
        <f>VLOOKUP(G798,PC!B:D,3,FALSE)</f>
        <v>CPV</v>
      </c>
      <c r="C798" s="22">
        <v>2023</v>
      </c>
      <c r="D798" t="s">
        <v>111</v>
      </c>
      <c r="E798" t="s">
        <v>129</v>
      </c>
      <c r="F798" t="str">
        <f>VLOOKUP(G798,PC!B:D,2,FALSE)</f>
        <v>COMIDA</v>
      </c>
      <c r="G798" s="4" t="s">
        <v>12</v>
      </c>
      <c r="H798" s="1">
        <v>90</v>
      </c>
    </row>
    <row r="799" spans="2:9" x14ac:dyDescent="0.2">
      <c r="B799" t="str">
        <f>VLOOKUP(G799,PC!B:D,3,FALSE)</f>
        <v>RECEITA</v>
      </c>
      <c r="C799" s="22">
        <v>2023</v>
      </c>
      <c r="D799" t="s">
        <v>111</v>
      </c>
      <c r="F799" t="str">
        <f>VLOOKUP(G799,PC!B:D,2,FALSE)</f>
        <v>RECEITA</v>
      </c>
      <c r="G799" s="4" t="s">
        <v>54</v>
      </c>
      <c r="H799" s="1">
        <v>1500</v>
      </c>
    </row>
    <row r="800" spans="2:9" x14ac:dyDescent="0.2">
      <c r="B800" t="str">
        <f>VLOOKUP(G800,PC!B:D,3,FALSE)</f>
        <v>CPV</v>
      </c>
      <c r="C800" s="22">
        <v>2023</v>
      </c>
      <c r="D800" t="s">
        <v>111</v>
      </c>
      <c r="E800" t="s">
        <v>129</v>
      </c>
      <c r="F800" t="str">
        <f>VLOOKUP(G800,PC!B:D,2,FALSE)</f>
        <v>COMIDA</v>
      </c>
      <c r="G800" s="4" t="s">
        <v>22</v>
      </c>
      <c r="H800" s="1">
        <v>84.25</v>
      </c>
    </row>
    <row r="801" spans="2:9" x14ac:dyDescent="0.2">
      <c r="B801" t="str">
        <f>VLOOKUP(G801,PC!B:D,3,FALSE)</f>
        <v>SERV.TERCEIROS</v>
      </c>
      <c r="C801" s="22">
        <v>2023</v>
      </c>
      <c r="D801" t="s">
        <v>111</v>
      </c>
      <c r="F801" t="str">
        <f>VLOOKUP(G801,PC!B:D,2,FALSE)</f>
        <v>SERV.TERCEIROS</v>
      </c>
      <c r="G801" s="4" t="s">
        <v>60</v>
      </c>
      <c r="H801" s="1">
        <v>81.3</v>
      </c>
    </row>
    <row r="802" spans="2:9" x14ac:dyDescent="0.2">
      <c r="B802" t="str">
        <f>VLOOKUP(G802,PC!B:D,3,FALSE)</f>
        <v>RECEITA</v>
      </c>
      <c r="C802" s="22">
        <v>2023</v>
      </c>
      <c r="D802" t="s">
        <v>111</v>
      </c>
      <c r="F802" t="str">
        <f>VLOOKUP(G802,PC!B:D,2,FALSE)</f>
        <v>RECEITA</v>
      </c>
      <c r="G802" s="4" t="s">
        <v>54</v>
      </c>
      <c r="H802" s="1">
        <v>2150</v>
      </c>
    </row>
    <row r="803" spans="2:9" x14ac:dyDescent="0.2">
      <c r="B803" t="str">
        <f>VLOOKUP(G803,PC!B:D,3,FALSE)</f>
        <v>RECEITA</v>
      </c>
      <c r="C803" s="22">
        <v>2023</v>
      </c>
      <c r="D803" t="s">
        <v>111</v>
      </c>
      <c r="F803" t="str">
        <f>VLOOKUP(G803,PC!B:D,2,FALSE)</f>
        <v>RECEITA</v>
      </c>
      <c r="G803" s="4" t="s">
        <v>54</v>
      </c>
      <c r="H803" s="1">
        <v>500</v>
      </c>
      <c r="I803" s="20"/>
    </row>
    <row r="804" spans="2:9" x14ac:dyDescent="0.2">
      <c r="B804" t="str">
        <f>VLOOKUP(G804,PC!B:D,3,FALSE)</f>
        <v>RECEITA</v>
      </c>
      <c r="C804" s="22">
        <v>2023</v>
      </c>
      <c r="D804" t="s">
        <v>111</v>
      </c>
      <c r="F804" t="str">
        <f>VLOOKUP(G804,PC!B:D,2,FALSE)</f>
        <v>RECEITA</v>
      </c>
      <c r="G804" s="4" t="s">
        <v>54</v>
      </c>
      <c r="H804" s="1">
        <f>H796+H797+H798+H800+H801+313.4</f>
        <v>615.95000000000005</v>
      </c>
    </row>
    <row r="805" spans="2:9" x14ac:dyDescent="0.2">
      <c r="B805" t="str">
        <f>VLOOKUP(G805,PC!B:D,3,FALSE)</f>
        <v>RECEITA</v>
      </c>
      <c r="C805" s="22">
        <v>2023</v>
      </c>
      <c r="D805" t="s">
        <v>111</v>
      </c>
      <c r="F805" t="str">
        <f>VLOOKUP(G805,PC!B:D,2,FALSE)</f>
        <v>RECEITA</v>
      </c>
      <c r="G805" s="4" t="s">
        <v>54</v>
      </c>
      <c r="H805" s="1">
        <v>500</v>
      </c>
      <c r="I805" s="20"/>
    </row>
    <row r="806" spans="2:9" x14ac:dyDescent="0.2">
      <c r="B806" t="str">
        <f>VLOOKUP(G806,PC!B:D,3,FALSE)</f>
        <v>CPV</v>
      </c>
      <c r="C806" s="22">
        <v>2023</v>
      </c>
      <c r="D806" t="s">
        <v>111</v>
      </c>
      <c r="E806" t="s">
        <v>129</v>
      </c>
      <c r="F806" t="str">
        <f>VLOOKUP(G806,PC!B:D,2,FALSE)</f>
        <v>COMIDA</v>
      </c>
      <c r="G806" s="4" t="s">
        <v>18</v>
      </c>
      <c r="H806" s="1">
        <v>44</v>
      </c>
    </row>
    <row r="807" spans="2:9" x14ac:dyDescent="0.2">
      <c r="B807" t="str">
        <f>VLOOKUP(G807,PC!B:D,3,FALSE)</f>
        <v>CPV</v>
      </c>
      <c r="C807" s="22">
        <v>2023</v>
      </c>
      <c r="D807" t="s">
        <v>111</v>
      </c>
      <c r="E807" t="s">
        <v>129</v>
      </c>
      <c r="F807" t="str">
        <f>VLOOKUP(G807,PC!B:D,2,FALSE)</f>
        <v>SOBREMESA</v>
      </c>
      <c r="G807" s="4" t="s">
        <v>7</v>
      </c>
      <c r="H807" s="1">
        <v>30</v>
      </c>
    </row>
    <row r="808" spans="2:9" x14ac:dyDescent="0.2">
      <c r="B808" t="str">
        <f>VLOOKUP(G808,PC!B:D,3,FALSE)</f>
        <v>DESPESA PESSOAL</v>
      </c>
      <c r="C808" s="22">
        <v>2023</v>
      </c>
      <c r="D808" t="s">
        <v>111</v>
      </c>
      <c r="F808" t="str">
        <f>VLOOKUP(G808,PC!B:D,2,FALSE)</f>
        <v>DESPESA PESSOAL</v>
      </c>
      <c r="G808" s="4" t="s">
        <v>68</v>
      </c>
      <c r="H808" s="1">
        <v>150</v>
      </c>
    </row>
    <row r="809" spans="2:9" x14ac:dyDescent="0.2">
      <c r="B809" t="str">
        <f>VLOOKUP(G809,PC!B:D,3,FALSE)</f>
        <v>RECEITA</v>
      </c>
      <c r="C809" s="22">
        <v>2023</v>
      </c>
      <c r="D809" t="s">
        <v>111</v>
      </c>
      <c r="F809" t="str">
        <f>VLOOKUP(G809,PC!B:D,2,FALSE)</f>
        <v>RECEITA</v>
      </c>
      <c r="G809" s="4" t="s">
        <v>54</v>
      </c>
      <c r="H809" s="1">
        <v>1500</v>
      </c>
    </row>
    <row r="810" spans="2:9" x14ac:dyDescent="0.2">
      <c r="B810" t="str">
        <f>VLOOKUP(G810,PC!B:D,3,FALSE)</f>
        <v>RECEITA</v>
      </c>
      <c r="C810" s="22">
        <v>2023</v>
      </c>
      <c r="D810" t="s">
        <v>111</v>
      </c>
      <c r="F810" t="str">
        <f>VLOOKUP(G810,PC!B:D,2,FALSE)</f>
        <v>RECEITA</v>
      </c>
      <c r="G810" s="4" t="s">
        <v>54</v>
      </c>
      <c r="H810" s="1">
        <v>1400</v>
      </c>
    </row>
    <row r="811" spans="2:9" x14ac:dyDescent="0.2">
      <c r="B811" t="str">
        <f>VLOOKUP(G811,PC!B:D,3,FALSE)</f>
        <v>RECEITA</v>
      </c>
      <c r="C811" s="22">
        <v>2023</v>
      </c>
      <c r="D811" t="s">
        <v>111</v>
      </c>
      <c r="F811" t="str">
        <f>VLOOKUP(G811,PC!B:D,2,FALSE)</f>
        <v>RECEITA</v>
      </c>
      <c r="G811" s="4" t="s">
        <v>54</v>
      </c>
      <c r="H811" s="1">
        <v>300</v>
      </c>
    </row>
    <row r="812" spans="2:9" x14ac:dyDescent="0.2">
      <c r="B812" t="str">
        <f>VLOOKUP(G812,PC!B:D,3,FALSE)</f>
        <v>RECEITA</v>
      </c>
      <c r="C812" s="22">
        <v>2023</v>
      </c>
      <c r="D812" t="s">
        <v>111</v>
      </c>
      <c r="F812" t="str">
        <f>VLOOKUP(G812,PC!B:D,2,FALSE)</f>
        <v>RECEITA</v>
      </c>
      <c r="G812" s="4" t="s">
        <v>54</v>
      </c>
      <c r="H812" s="1">
        <f>44+25+30+30+150</f>
        <v>279</v>
      </c>
    </row>
    <row r="813" spans="2:9" x14ac:dyDescent="0.2">
      <c r="B813" t="str">
        <f>VLOOKUP(G813,PC!B:D,3,FALSE)</f>
        <v>CPV</v>
      </c>
      <c r="C813" s="22">
        <v>2023</v>
      </c>
      <c r="D813" t="s">
        <v>111</v>
      </c>
      <c r="E813" t="s">
        <v>129</v>
      </c>
      <c r="F813" t="str">
        <f>VLOOKUP(G813,PC!B:D,2,FALSE)</f>
        <v>COMIDA</v>
      </c>
      <c r="G813" s="4" t="s">
        <v>12</v>
      </c>
      <c r="H813" s="1">
        <v>163</v>
      </c>
    </row>
    <row r="814" spans="2:9" x14ac:dyDescent="0.2">
      <c r="B814" t="str">
        <f>VLOOKUP(G814,PC!B:D,3,FALSE)</f>
        <v>DESPESA PESSOAL</v>
      </c>
      <c r="C814" s="22">
        <v>2023</v>
      </c>
      <c r="D814" t="s">
        <v>111</v>
      </c>
      <c r="F814" t="str">
        <f>VLOOKUP(G814,PC!B:D,2,FALSE)</f>
        <v>DESPESA PESSOAL</v>
      </c>
      <c r="G814" s="4" t="s">
        <v>56</v>
      </c>
      <c r="H814" s="1">
        <v>300</v>
      </c>
    </row>
    <row r="815" spans="2:9" x14ac:dyDescent="0.2">
      <c r="B815" t="str">
        <f>VLOOKUP(G815,PC!B:D,3,FALSE)</f>
        <v>RECEITA</v>
      </c>
      <c r="C815" s="22">
        <v>2023</v>
      </c>
      <c r="D815" t="s">
        <v>111</v>
      </c>
      <c r="F815" t="str">
        <f>VLOOKUP(G815,PC!B:D,2,FALSE)</f>
        <v>RECEITA</v>
      </c>
      <c r="G815" s="4" t="s">
        <v>59</v>
      </c>
      <c r="H815" s="1">
        <v>359</v>
      </c>
    </row>
    <row r="816" spans="2:9" x14ac:dyDescent="0.2">
      <c r="B816" t="str">
        <f>VLOOKUP(G816,PC!B:D,3,FALSE)</f>
        <v>CPV</v>
      </c>
      <c r="C816" s="22">
        <v>2023</v>
      </c>
      <c r="D816" t="s">
        <v>111</v>
      </c>
      <c r="E816" t="s">
        <v>129</v>
      </c>
      <c r="F816" t="str">
        <f>VLOOKUP(G816,PC!B:D,2,FALSE)</f>
        <v>COMIDA</v>
      </c>
      <c r="G816" s="4" t="s">
        <v>152</v>
      </c>
      <c r="H816" s="1">
        <v>40.590000000000003</v>
      </c>
    </row>
    <row r="817" spans="2:9" x14ac:dyDescent="0.2">
      <c r="B817" t="str">
        <f>VLOOKUP(G817,PC!B:D,3,FALSE)</f>
        <v>RECEITA</v>
      </c>
      <c r="C817" s="22">
        <v>2023</v>
      </c>
      <c r="D817" t="s">
        <v>111</v>
      </c>
      <c r="F817" t="str">
        <f>VLOOKUP(G817,PC!B:D,2,FALSE)</f>
        <v>RECEITA</v>
      </c>
      <c r="G817" s="4" t="s">
        <v>54</v>
      </c>
      <c r="H817" s="1">
        <v>1400</v>
      </c>
    </row>
    <row r="818" spans="2:9" x14ac:dyDescent="0.2">
      <c r="B818" t="str">
        <f>VLOOKUP(G818,PC!B:D,3,FALSE)</f>
        <v>RECEITA</v>
      </c>
      <c r="C818" s="22">
        <v>2023</v>
      </c>
      <c r="D818" t="s">
        <v>111</v>
      </c>
      <c r="F818" t="str">
        <f>VLOOKUP(G818,PC!B:D,2,FALSE)</f>
        <v>RECEITA</v>
      </c>
      <c r="G818" s="4" t="s">
        <v>54</v>
      </c>
      <c r="H818" s="1">
        <v>1500</v>
      </c>
    </row>
    <row r="819" spans="2:9" x14ac:dyDescent="0.2">
      <c r="B819" t="str">
        <f>VLOOKUP(G819,PC!B:D,3,FALSE)</f>
        <v>RECEITA</v>
      </c>
      <c r="C819" s="22">
        <v>2023</v>
      </c>
      <c r="D819" t="s">
        <v>111</v>
      </c>
      <c r="F819" t="str">
        <f>VLOOKUP(G819,PC!B:D,2,FALSE)</f>
        <v>RECEITA</v>
      </c>
      <c r="G819" s="4" t="s">
        <v>54</v>
      </c>
      <c r="H819" s="1">
        <f>163+2000+300+257.1+40.5</f>
        <v>2760.6</v>
      </c>
      <c r="I819" s="7" t="s">
        <v>168</v>
      </c>
    </row>
    <row r="820" spans="2:9" x14ac:dyDescent="0.2">
      <c r="B820" t="str">
        <f>VLOOKUP(G820,PC!B:D,3,FALSE)</f>
        <v>CPV</v>
      </c>
      <c r="C820" s="22">
        <v>2023</v>
      </c>
      <c r="D820" t="s">
        <v>111</v>
      </c>
      <c r="E820" t="s">
        <v>10</v>
      </c>
      <c r="F820" t="str">
        <f>VLOOKUP(G820,PC!B:D,2,FALSE)</f>
        <v>COMIDA</v>
      </c>
      <c r="G820" s="4" t="s">
        <v>33</v>
      </c>
      <c r="H820" s="1">
        <v>325.93</v>
      </c>
    </row>
    <row r="821" spans="2:9" x14ac:dyDescent="0.2">
      <c r="B821" t="str">
        <f>VLOOKUP(G821,PC!B:D,3,FALSE)</f>
        <v>CPV</v>
      </c>
      <c r="C821" s="22">
        <v>2023</v>
      </c>
      <c r="D821" t="s">
        <v>111</v>
      </c>
      <c r="E821" t="s">
        <v>156</v>
      </c>
      <c r="F821" t="str">
        <f>VLOOKUP(G821,PC!B:D,2,FALSE)</f>
        <v>BEBIDAS</v>
      </c>
      <c r="G821" s="4" t="s">
        <v>26</v>
      </c>
      <c r="H821" s="1">
        <v>257.10000000000002</v>
      </c>
    </row>
    <row r="822" spans="2:9" x14ac:dyDescent="0.2">
      <c r="B822" t="str">
        <f>VLOOKUP(G822,PC!B:D,3,FALSE)</f>
        <v>RECEITA</v>
      </c>
      <c r="C822" s="22">
        <v>2023</v>
      </c>
      <c r="D822" t="s">
        <v>111</v>
      </c>
      <c r="E822" t="s">
        <v>156</v>
      </c>
      <c r="F822" t="str">
        <f>VLOOKUP(G822,PC!B:D,2,FALSE)</f>
        <v>RECEITA</v>
      </c>
      <c r="G822" s="4" t="s">
        <v>83</v>
      </c>
      <c r="H822" s="1">
        <v>43.06</v>
      </c>
    </row>
    <row r="823" spans="2:9" x14ac:dyDescent="0.2">
      <c r="B823" t="str">
        <f>VLOOKUP(G823,PC!B:D,3,FALSE)</f>
        <v>CPV</v>
      </c>
      <c r="C823" s="22">
        <v>2023</v>
      </c>
      <c r="D823" t="s">
        <v>111</v>
      </c>
      <c r="E823" t="s">
        <v>14</v>
      </c>
      <c r="F823" t="str">
        <f>VLOOKUP(G823,PC!B:D,2,FALSE)</f>
        <v>BEBIDAS</v>
      </c>
      <c r="G823" s="4" t="s">
        <v>25</v>
      </c>
      <c r="H823" s="1">
        <v>444.12</v>
      </c>
    </row>
    <row r="824" spans="2:9" x14ac:dyDescent="0.2">
      <c r="B824" t="str">
        <f>VLOOKUP(G824,PC!B:D,3,FALSE)</f>
        <v>CPV</v>
      </c>
      <c r="C824" s="22">
        <v>2023</v>
      </c>
      <c r="D824" t="s">
        <v>111</v>
      </c>
      <c r="E824" t="s">
        <v>14</v>
      </c>
      <c r="F824" t="str">
        <f>VLOOKUP(G824,PC!B:D,2,FALSE)</f>
        <v>BEBIDAS</v>
      </c>
      <c r="G824" s="4" t="s">
        <v>26</v>
      </c>
      <c r="H824" s="1">
        <v>581.17999999999995</v>
      </c>
    </row>
    <row r="825" spans="2:9" x14ac:dyDescent="0.2">
      <c r="B825" t="str">
        <f>VLOOKUP(G825,PC!B:D,3,FALSE)</f>
        <v>CPV</v>
      </c>
      <c r="C825" s="22">
        <v>2023</v>
      </c>
      <c r="D825" t="s">
        <v>111</v>
      </c>
      <c r="E825" t="s">
        <v>156</v>
      </c>
      <c r="F825" t="str">
        <f>VLOOKUP(G825,PC!B:D,2,FALSE)</f>
        <v>BEBIDAS</v>
      </c>
      <c r="G825" s="4" t="s">
        <v>41</v>
      </c>
      <c r="H825" s="1">
        <v>41.8</v>
      </c>
    </row>
    <row r="826" spans="2:9" x14ac:dyDescent="0.2">
      <c r="B826" t="str">
        <f>VLOOKUP(G826,PC!B:D,3,FALSE)</f>
        <v>CPV</v>
      </c>
      <c r="C826" s="22">
        <v>2023</v>
      </c>
      <c r="D826" t="s">
        <v>111</v>
      </c>
      <c r="E826" t="s">
        <v>156</v>
      </c>
      <c r="F826" t="str">
        <f>VLOOKUP(G826,PC!B:D,2,FALSE)</f>
        <v>BEBIDAS</v>
      </c>
      <c r="G826" s="4" t="s">
        <v>26</v>
      </c>
      <c r="H826" s="1">
        <v>215.3</v>
      </c>
    </row>
    <row r="827" spans="2:9" x14ac:dyDescent="0.2">
      <c r="B827" t="str">
        <f>VLOOKUP(G827,PC!B:D,3,FALSE)</f>
        <v>RECEITA</v>
      </c>
      <c r="C827" s="22">
        <v>2023</v>
      </c>
      <c r="D827" t="s">
        <v>111</v>
      </c>
      <c r="E827" t="s">
        <v>156</v>
      </c>
      <c r="F827" t="str">
        <f>VLOOKUP(G827,PC!B:D,2,FALSE)</f>
        <v>RECEITA</v>
      </c>
      <c r="G827" s="4" t="s">
        <v>83</v>
      </c>
      <c r="H827" s="1">
        <v>43</v>
      </c>
    </row>
    <row r="828" spans="2:9" x14ac:dyDescent="0.2">
      <c r="B828" t="str">
        <f>VLOOKUP(G828,PC!B:D,3,FALSE)</f>
        <v>CPV</v>
      </c>
      <c r="C828" s="22">
        <v>2023</v>
      </c>
      <c r="D828" t="s">
        <v>111</v>
      </c>
      <c r="E828" t="s">
        <v>100</v>
      </c>
      <c r="F828" t="str">
        <f>VLOOKUP(G828,PC!B:D,2,FALSE)</f>
        <v>COMIDA</v>
      </c>
      <c r="G828" s="4" t="s">
        <v>18</v>
      </c>
      <c r="H828" s="1">
        <v>197.85</v>
      </c>
    </row>
    <row r="829" spans="2:9" x14ac:dyDescent="0.2">
      <c r="B829" t="str">
        <f>VLOOKUP(G829,PC!B:D,3,FALSE)</f>
        <v>CPV</v>
      </c>
      <c r="C829" s="22">
        <v>2023</v>
      </c>
      <c r="D829" t="s">
        <v>111</v>
      </c>
      <c r="E829" t="s">
        <v>159</v>
      </c>
      <c r="F829" t="str">
        <f>VLOOKUP(G829,PC!B:D,2,FALSE)</f>
        <v>HIGIENE</v>
      </c>
      <c r="G829" s="4" t="s">
        <v>36</v>
      </c>
      <c r="H829" s="1">
        <v>104.4</v>
      </c>
    </row>
    <row r="830" spans="2:9" x14ac:dyDescent="0.2">
      <c r="B830" t="str">
        <f>VLOOKUP(G830,PC!B:D,3,FALSE)</f>
        <v>CPV</v>
      </c>
      <c r="C830" s="22">
        <v>2023</v>
      </c>
      <c r="D830" t="s">
        <v>111</v>
      </c>
      <c r="E830" t="s">
        <v>159</v>
      </c>
      <c r="F830" t="str">
        <f>VLOOKUP(G830,PC!B:D,2,FALSE)</f>
        <v>COMIDA</v>
      </c>
      <c r="G830" s="4" t="s">
        <v>34</v>
      </c>
      <c r="H830" s="1">
        <v>95.26</v>
      </c>
    </row>
    <row r="831" spans="2:9" x14ac:dyDescent="0.2">
      <c r="B831" t="str">
        <f>VLOOKUP(G831,PC!B:D,3,FALSE)</f>
        <v>CPV</v>
      </c>
      <c r="C831" s="22">
        <v>2023</v>
      </c>
      <c r="D831" t="s">
        <v>111</v>
      </c>
      <c r="E831" t="s">
        <v>159</v>
      </c>
      <c r="F831" t="str">
        <f>VLOOKUP(G831,PC!B:D,2,FALSE)</f>
        <v>SOBREMESA</v>
      </c>
      <c r="G831" s="4" t="s">
        <v>23</v>
      </c>
      <c r="H831" s="1">
        <v>80</v>
      </c>
    </row>
    <row r="832" spans="2:9" x14ac:dyDescent="0.2">
      <c r="B832" t="str">
        <f>VLOOKUP(G832,PC!B:D,3,FALSE)</f>
        <v>CPV</v>
      </c>
      <c r="C832" s="22">
        <v>2023</v>
      </c>
      <c r="D832" t="s">
        <v>111</v>
      </c>
      <c r="E832" t="s">
        <v>96</v>
      </c>
      <c r="F832" t="str">
        <f>VLOOKUP(G832,PC!B:D,2,FALSE)</f>
        <v>OUTROS</v>
      </c>
      <c r="G832" s="4" t="s">
        <v>37</v>
      </c>
      <c r="H832" s="1">
        <v>134.07</v>
      </c>
    </row>
    <row r="833" spans="2:8" x14ac:dyDescent="0.2">
      <c r="B833" t="str">
        <f>VLOOKUP(G833,PC!B:D,3,FALSE)</f>
        <v>CPV</v>
      </c>
      <c r="C833" s="22">
        <v>2023</v>
      </c>
      <c r="D833" t="s">
        <v>111</v>
      </c>
      <c r="E833" t="s">
        <v>21</v>
      </c>
      <c r="F833" t="str">
        <f>VLOOKUP(G833,PC!B:D,2,FALSE)</f>
        <v>SOBREMESA</v>
      </c>
      <c r="G833" s="4" t="s">
        <v>23</v>
      </c>
      <c r="H833" s="1">
        <v>99.95</v>
      </c>
    </row>
    <row r="834" spans="2:8" x14ac:dyDescent="0.2">
      <c r="B834" t="str">
        <f>VLOOKUP(G834,PC!B:D,3,FALSE)</f>
        <v>CPV</v>
      </c>
      <c r="C834" s="22">
        <v>2023</v>
      </c>
      <c r="D834" t="s">
        <v>111</v>
      </c>
      <c r="E834" t="s">
        <v>49</v>
      </c>
      <c r="F834" t="str">
        <f>VLOOKUP(G834,PC!B:D,2,FALSE)</f>
        <v>CIGARRO</v>
      </c>
      <c r="G834" s="4" t="s">
        <v>52</v>
      </c>
      <c r="H834" s="1">
        <v>7014.72</v>
      </c>
    </row>
    <row r="835" spans="2:8" x14ac:dyDescent="0.2">
      <c r="B835" t="str">
        <f>VLOOKUP(G835,PC!B:D,3,FALSE)</f>
        <v>CPV</v>
      </c>
      <c r="C835" s="22">
        <v>2023</v>
      </c>
      <c r="D835" t="s">
        <v>111</v>
      </c>
      <c r="E835" t="s">
        <v>27</v>
      </c>
      <c r="F835" t="str">
        <f>VLOOKUP(G835,PC!B:D,2,FALSE)</f>
        <v>COMIDA</v>
      </c>
      <c r="G835" s="4" t="s">
        <v>12</v>
      </c>
      <c r="H835" s="1">
        <v>170.15</v>
      </c>
    </row>
    <row r="836" spans="2:8" x14ac:dyDescent="0.2">
      <c r="B836" t="str">
        <f>VLOOKUP(G836,PC!B:D,3,FALSE)</f>
        <v>CPV</v>
      </c>
      <c r="C836" s="22">
        <v>2023</v>
      </c>
      <c r="D836" t="s">
        <v>111</v>
      </c>
      <c r="E836" t="s">
        <v>21</v>
      </c>
      <c r="F836" t="str">
        <f>VLOOKUP(G836,PC!B:D,2,FALSE)</f>
        <v>COMIDA</v>
      </c>
      <c r="G836" s="4" t="s">
        <v>18</v>
      </c>
      <c r="H836" s="1">
        <v>179.34</v>
      </c>
    </row>
    <row r="837" spans="2:8" x14ac:dyDescent="0.2">
      <c r="B837" t="str">
        <f>VLOOKUP(G837,PC!B:D,3,FALSE)</f>
        <v>CPV</v>
      </c>
      <c r="C837" s="22">
        <v>2023</v>
      </c>
      <c r="D837" t="s">
        <v>111</v>
      </c>
      <c r="E837" t="s">
        <v>14</v>
      </c>
      <c r="F837" t="str">
        <f>VLOOKUP(G837,PC!B:D,2,FALSE)</f>
        <v>BEBIDAS</v>
      </c>
      <c r="G837" s="4" t="s">
        <v>25</v>
      </c>
      <c r="H837" s="1">
        <v>25.68</v>
      </c>
    </row>
    <row r="838" spans="2:8" x14ac:dyDescent="0.2">
      <c r="B838" t="str">
        <f>VLOOKUP(G838,PC!B:D,3,FALSE)</f>
        <v>CPV</v>
      </c>
      <c r="C838" s="22">
        <v>2023</v>
      </c>
      <c r="D838" t="s">
        <v>111</v>
      </c>
      <c r="E838" t="s">
        <v>14</v>
      </c>
      <c r="F838" t="str">
        <f>VLOOKUP(G838,PC!B:D,2,FALSE)</f>
        <v>BEBIDAS</v>
      </c>
      <c r="G838" s="4" t="s">
        <v>51</v>
      </c>
      <c r="H838" s="1">
        <v>10.130000000000001</v>
      </c>
    </row>
    <row r="839" spans="2:8" x14ac:dyDescent="0.2">
      <c r="B839" t="str">
        <f>VLOOKUP(G839,PC!B:D,3,FALSE)</f>
        <v>CPV</v>
      </c>
      <c r="C839" s="22">
        <v>2023</v>
      </c>
      <c r="D839" t="s">
        <v>111</v>
      </c>
      <c r="E839" t="s">
        <v>14</v>
      </c>
      <c r="F839" t="str">
        <f>VLOOKUP(G839,PC!B:D,2,FALSE)</f>
        <v>BEBIDAS</v>
      </c>
      <c r="G839" s="4" t="s">
        <v>25</v>
      </c>
      <c r="H839" s="1">
        <v>104.59</v>
      </c>
    </row>
    <row r="840" spans="2:8" x14ac:dyDescent="0.2">
      <c r="B840" t="str">
        <f>VLOOKUP(G840,PC!B:D,3,FALSE)</f>
        <v>CPV</v>
      </c>
      <c r="C840" s="22">
        <v>2023</v>
      </c>
      <c r="D840" t="s">
        <v>111</v>
      </c>
      <c r="E840" t="s">
        <v>14</v>
      </c>
      <c r="F840" t="str">
        <f>VLOOKUP(G840,PC!B:D,2,FALSE)</f>
        <v>BEBIDAS</v>
      </c>
      <c r="G840" s="4" t="s">
        <v>46</v>
      </c>
      <c r="H840" s="1">
        <v>208.3</v>
      </c>
    </row>
    <row r="841" spans="2:8" x14ac:dyDescent="0.2">
      <c r="B841" t="str">
        <f>VLOOKUP(G841,PC!B:D,3,FALSE)</f>
        <v>CPV</v>
      </c>
      <c r="C841" s="22">
        <v>2023</v>
      </c>
      <c r="D841" t="s">
        <v>111</v>
      </c>
      <c r="E841" t="s">
        <v>28</v>
      </c>
      <c r="F841" t="str">
        <f>VLOOKUP(G841,PC!B:D,2,FALSE)</f>
        <v>BEBIDAS</v>
      </c>
      <c r="G841" s="4" t="s">
        <v>26</v>
      </c>
      <c r="H841" s="1">
        <v>8059.44</v>
      </c>
    </row>
    <row r="842" spans="2:8" x14ac:dyDescent="0.2">
      <c r="B842" t="str">
        <f>VLOOKUP(G842,PC!B:D,3,FALSE)</f>
        <v>CPV</v>
      </c>
      <c r="C842" s="22">
        <v>2023</v>
      </c>
      <c r="D842" t="s">
        <v>111</v>
      </c>
      <c r="E842" t="s">
        <v>14</v>
      </c>
      <c r="F842" t="str">
        <f>VLOOKUP(G842,PC!B:D,2,FALSE)</f>
        <v>BEBIDAS</v>
      </c>
      <c r="G842" s="4" t="s">
        <v>25</v>
      </c>
      <c r="H842" s="1">
        <v>1042.18</v>
      </c>
    </row>
    <row r="843" spans="2:8" x14ac:dyDescent="0.2">
      <c r="B843" t="str">
        <f>VLOOKUP(G843,PC!B:D,3,FALSE)</f>
        <v>CPV</v>
      </c>
      <c r="C843" s="22">
        <v>2023</v>
      </c>
      <c r="D843" t="s">
        <v>111</v>
      </c>
      <c r="E843" t="s">
        <v>24</v>
      </c>
      <c r="F843" t="str">
        <f>VLOOKUP(G843,PC!B:D,2,FALSE)</f>
        <v>COMIDA</v>
      </c>
      <c r="G843" s="4" t="s">
        <v>33</v>
      </c>
      <c r="H843" s="1">
        <v>451.42</v>
      </c>
    </row>
    <row r="844" spans="2:8" x14ac:dyDescent="0.2">
      <c r="B844" t="str">
        <f>VLOOKUP(G844,PC!B:D,3,FALSE)</f>
        <v>CPV</v>
      </c>
      <c r="C844" s="22">
        <v>2023</v>
      </c>
      <c r="D844" t="s">
        <v>111</v>
      </c>
      <c r="E844" t="s">
        <v>6</v>
      </c>
      <c r="F844" t="str">
        <f>VLOOKUP(G844,PC!B:D,2,FALSE)</f>
        <v>COMIDA</v>
      </c>
      <c r="G844" s="4" t="s">
        <v>145</v>
      </c>
      <c r="H844" s="1">
        <v>75.599999999999994</v>
      </c>
    </row>
    <row r="845" spans="2:8" x14ac:dyDescent="0.2">
      <c r="B845" t="str">
        <f>VLOOKUP(G845,PC!B:D,3,FALSE)</f>
        <v>CPV</v>
      </c>
      <c r="C845" s="22">
        <v>2023</v>
      </c>
      <c r="D845" t="s">
        <v>111</v>
      </c>
      <c r="E845" t="s">
        <v>16</v>
      </c>
      <c r="F845" t="str">
        <f>VLOOKUP(G845,PC!B:D,2,FALSE)</f>
        <v>COMIDA</v>
      </c>
      <c r="G845" s="4" t="s">
        <v>12</v>
      </c>
      <c r="H845" s="1">
        <v>486.88</v>
      </c>
    </row>
    <row r="846" spans="2:8" x14ac:dyDescent="0.2">
      <c r="B846" t="str">
        <f>VLOOKUP(G846,PC!B:D,3,FALSE)</f>
        <v>CPV</v>
      </c>
      <c r="C846" s="22">
        <v>2023</v>
      </c>
      <c r="D846" t="s">
        <v>111</v>
      </c>
      <c r="E846" t="s">
        <v>45</v>
      </c>
      <c r="F846" t="str">
        <f>VLOOKUP(G846,PC!B:D,2,FALSE)</f>
        <v>HIGIENE</v>
      </c>
      <c r="G846" s="4" t="s">
        <v>36</v>
      </c>
      <c r="H846" s="1">
        <f>78.14+113.42+78.14</f>
        <v>269.7</v>
      </c>
    </row>
    <row r="847" spans="2:8" x14ac:dyDescent="0.2">
      <c r="B847" t="str">
        <f>VLOOKUP(G847,PC!B:D,3,FALSE)</f>
        <v>CPV</v>
      </c>
      <c r="C847" s="22">
        <v>2023</v>
      </c>
      <c r="D847" t="s">
        <v>111</v>
      </c>
      <c r="E847" t="s">
        <v>45</v>
      </c>
      <c r="F847" t="str">
        <f>VLOOKUP(G847,PC!B:D,2,FALSE)</f>
        <v>SOBREMESA</v>
      </c>
      <c r="G847" s="4" t="s">
        <v>23</v>
      </c>
      <c r="H847" s="1">
        <v>102.37</v>
      </c>
    </row>
    <row r="848" spans="2:8" x14ac:dyDescent="0.2">
      <c r="B848" t="str">
        <f>VLOOKUP(G848,PC!B:D,3,FALSE)</f>
        <v>CPV</v>
      </c>
      <c r="C848" s="22">
        <v>2023</v>
      </c>
      <c r="D848" t="s">
        <v>111</v>
      </c>
      <c r="E848" t="s">
        <v>45</v>
      </c>
      <c r="F848" t="str">
        <f>VLOOKUP(G848,PC!B:D,2,FALSE)</f>
        <v>COMIDA</v>
      </c>
      <c r="G848" s="4" t="s">
        <v>38</v>
      </c>
      <c r="H848" s="1">
        <f>114.77+28.82</f>
        <v>143.59</v>
      </c>
    </row>
    <row r="849" spans="2:8" x14ac:dyDescent="0.2">
      <c r="B849" t="str">
        <f>VLOOKUP(G849,PC!B:D,3,FALSE)</f>
        <v>CPV</v>
      </c>
      <c r="C849" s="22">
        <v>2023</v>
      </c>
      <c r="D849" t="s">
        <v>111</v>
      </c>
      <c r="E849" t="s">
        <v>13</v>
      </c>
      <c r="F849" t="str">
        <f>VLOOKUP(G849,PC!B:D,2,FALSE)</f>
        <v>COMIDA</v>
      </c>
      <c r="G849" s="4" t="s">
        <v>33</v>
      </c>
      <c r="H849" s="1">
        <v>288.11</v>
      </c>
    </row>
    <row r="850" spans="2:8" x14ac:dyDescent="0.2">
      <c r="B850" t="str">
        <f>VLOOKUP(G850,PC!B:D,3,FALSE)</f>
        <v>CPV</v>
      </c>
      <c r="C850" s="22">
        <v>2023</v>
      </c>
      <c r="D850" t="s">
        <v>111</v>
      </c>
      <c r="E850" t="s">
        <v>89</v>
      </c>
      <c r="F850" t="str">
        <f>VLOOKUP(G850,PC!B:D,2,FALSE)</f>
        <v>OUTROS</v>
      </c>
      <c r="G850" s="4" t="s">
        <v>37</v>
      </c>
      <c r="H850" s="1">
        <v>279.48</v>
      </c>
    </row>
    <row r="851" spans="2:8" x14ac:dyDescent="0.2">
      <c r="B851" t="str">
        <f>VLOOKUP(G851,PC!B:D,3,FALSE)</f>
        <v>CPV</v>
      </c>
      <c r="C851" s="22">
        <v>2023</v>
      </c>
      <c r="D851" t="s">
        <v>111</v>
      </c>
      <c r="E851" t="s">
        <v>77</v>
      </c>
      <c r="F851" t="str">
        <f>VLOOKUP(G851,PC!B:D,2,FALSE)</f>
        <v>OUTROS</v>
      </c>
      <c r="G851" s="4" t="s">
        <v>37</v>
      </c>
      <c r="H851" s="1">
        <v>769.92</v>
      </c>
    </row>
    <row r="852" spans="2:8" x14ac:dyDescent="0.2">
      <c r="B852" t="str">
        <f>VLOOKUP(G852,PC!B:D,3,FALSE)</f>
        <v>CPV</v>
      </c>
      <c r="C852" s="22">
        <v>2023</v>
      </c>
      <c r="D852" t="s">
        <v>111</v>
      </c>
      <c r="E852" t="s">
        <v>89</v>
      </c>
      <c r="F852" t="str">
        <f>VLOOKUP(G852,PC!B:D,2,FALSE)</f>
        <v>OUTROS</v>
      </c>
      <c r="G852" s="4" t="s">
        <v>37</v>
      </c>
      <c r="H852" s="1">
        <v>232.52</v>
      </c>
    </row>
    <row r="853" spans="2:8" x14ac:dyDescent="0.2">
      <c r="B853" t="str">
        <f>VLOOKUP(G853,PC!B:D,3,FALSE)</f>
        <v>CPV</v>
      </c>
      <c r="C853" s="22">
        <v>2023</v>
      </c>
      <c r="D853" t="s">
        <v>111</v>
      </c>
      <c r="E853" t="s">
        <v>89</v>
      </c>
      <c r="F853" t="str">
        <f>VLOOKUP(G853,PC!B:D,2,FALSE)</f>
        <v>COMIDA</v>
      </c>
      <c r="G853" s="4" t="s">
        <v>146</v>
      </c>
      <c r="H853" s="1">
        <v>44.6</v>
      </c>
    </row>
    <row r="854" spans="2:8" x14ac:dyDescent="0.2">
      <c r="B854" t="str">
        <f>VLOOKUP(G854,PC!B:D,3,FALSE)</f>
        <v>CPV</v>
      </c>
      <c r="C854" s="22">
        <v>2023</v>
      </c>
      <c r="D854" t="s">
        <v>111</v>
      </c>
      <c r="E854" t="s">
        <v>89</v>
      </c>
      <c r="F854" t="str">
        <f>VLOOKUP(G854,PC!B:D,2,FALSE)</f>
        <v>COMIDA</v>
      </c>
      <c r="G854" s="4" t="s">
        <v>146</v>
      </c>
      <c r="H854" s="1">
        <v>49.52</v>
      </c>
    </row>
    <row r="855" spans="2:8" x14ac:dyDescent="0.2">
      <c r="B855" t="str">
        <f>VLOOKUP(G855,PC!B:D,3,FALSE)</f>
        <v>CPV</v>
      </c>
      <c r="C855" s="22">
        <v>2023</v>
      </c>
      <c r="D855" t="s">
        <v>111</v>
      </c>
      <c r="E855" t="s">
        <v>77</v>
      </c>
      <c r="F855" t="str">
        <f>VLOOKUP(G855,PC!B:D,2,FALSE)</f>
        <v>OUTROS</v>
      </c>
      <c r="G855" s="4" t="s">
        <v>37</v>
      </c>
      <c r="H855" s="1">
        <v>630</v>
      </c>
    </row>
    <row r="856" spans="2:8" x14ac:dyDescent="0.2">
      <c r="B856" t="str">
        <f>VLOOKUP(G856,PC!B:D,3,FALSE)</f>
        <v>CPV</v>
      </c>
      <c r="C856" s="22">
        <v>2023</v>
      </c>
      <c r="D856" t="s">
        <v>111</v>
      </c>
      <c r="E856" t="s">
        <v>77</v>
      </c>
      <c r="F856" t="str">
        <f>VLOOKUP(G856,PC!B:D,2,FALSE)</f>
        <v>COMIDA</v>
      </c>
      <c r="G856" s="4" t="s">
        <v>12</v>
      </c>
      <c r="H856" s="1">
        <v>155.62</v>
      </c>
    </row>
    <row r="857" spans="2:8" x14ac:dyDescent="0.2">
      <c r="B857" t="str">
        <f>VLOOKUP(G857,PC!B:D,3,FALSE)</f>
        <v>CPV</v>
      </c>
      <c r="C857" s="22">
        <v>2023</v>
      </c>
      <c r="D857" t="s">
        <v>111</v>
      </c>
      <c r="E857" t="s">
        <v>5</v>
      </c>
      <c r="F857" t="str">
        <f>VLOOKUP(G857,PC!B:D,2,FALSE)</f>
        <v>COMIDA</v>
      </c>
      <c r="G857" s="4" t="s">
        <v>18</v>
      </c>
      <c r="H857" s="1">
        <v>268.05</v>
      </c>
    </row>
    <row r="858" spans="2:8" x14ac:dyDescent="0.2">
      <c r="B858" t="str">
        <f>VLOOKUP(G858,PC!B:D,3,FALSE)</f>
        <v>RECEITA</v>
      </c>
      <c r="C858" s="22">
        <v>2023</v>
      </c>
      <c r="D858" t="s">
        <v>111</v>
      </c>
      <c r="F858" t="str">
        <f>VLOOKUP(G858,PC!B:D,2,FALSE)</f>
        <v>RECEITA</v>
      </c>
      <c r="G858" s="4" t="s">
        <v>54</v>
      </c>
      <c r="H858" s="1">
        <v>3200</v>
      </c>
    </row>
    <row r="859" spans="2:8" x14ac:dyDescent="0.2">
      <c r="B859" t="str">
        <f>VLOOKUP(G859,PC!B:D,3,FALSE)</f>
        <v>DESPESA PESSOAL</v>
      </c>
      <c r="C859" s="22">
        <v>2023</v>
      </c>
      <c r="D859" t="s">
        <v>111</v>
      </c>
      <c r="F859" t="str">
        <f>VLOOKUP(G859,PC!B:D,2,FALSE)</f>
        <v>DESPESA PESSOAL</v>
      </c>
      <c r="G859" s="4" t="s">
        <v>56</v>
      </c>
      <c r="H859" s="1">
        <v>350</v>
      </c>
    </row>
    <row r="860" spans="2:8" x14ac:dyDescent="0.2">
      <c r="B860" t="str">
        <f>VLOOKUP(G860,PC!B:D,3,FALSE)</f>
        <v>DESPESA PESSOAL</v>
      </c>
      <c r="C860" s="22">
        <v>2023</v>
      </c>
      <c r="D860" t="s">
        <v>111</v>
      </c>
      <c r="F860" t="str">
        <f>VLOOKUP(G860,PC!B:D,2,FALSE)</f>
        <v>DESPESA PESSOAL</v>
      </c>
      <c r="G860" s="4" t="s">
        <v>124</v>
      </c>
      <c r="H860" s="1">
        <v>600</v>
      </c>
    </row>
    <row r="861" spans="2:8" x14ac:dyDescent="0.2">
      <c r="B861" t="str">
        <f>VLOOKUP(G861,PC!B:D,3,FALSE)</f>
        <v>CPV</v>
      </c>
      <c r="C861" s="22">
        <v>2023</v>
      </c>
      <c r="D861" t="s">
        <v>111</v>
      </c>
      <c r="E861" t="s">
        <v>129</v>
      </c>
      <c r="F861" t="str">
        <f>VLOOKUP(G861,PC!B:D,2,FALSE)</f>
        <v>COMIDA</v>
      </c>
      <c r="G861" s="4" t="s">
        <v>145</v>
      </c>
      <c r="H861" s="1">
        <v>71.2</v>
      </c>
    </row>
    <row r="862" spans="2:8" x14ac:dyDescent="0.2">
      <c r="B862" t="str">
        <f>VLOOKUP(G862,PC!B:D,3,FALSE)</f>
        <v>CPV</v>
      </c>
      <c r="C862" s="22">
        <v>2023</v>
      </c>
      <c r="D862" t="s">
        <v>111</v>
      </c>
      <c r="E862" t="s">
        <v>129</v>
      </c>
      <c r="F862" t="str">
        <f>VLOOKUP(G862,PC!B:D,2,FALSE)</f>
        <v>COMIDA</v>
      </c>
      <c r="G862" s="4" t="s">
        <v>33</v>
      </c>
      <c r="H862" s="1">
        <v>90</v>
      </c>
    </row>
    <row r="863" spans="2:8" x14ac:dyDescent="0.2">
      <c r="B863" t="str">
        <f>VLOOKUP(G863,PC!B:D,3,FALSE)</f>
        <v>RECEITA</v>
      </c>
      <c r="C863" s="22">
        <v>2023</v>
      </c>
      <c r="D863" t="s">
        <v>111</v>
      </c>
      <c r="F863" t="str">
        <f>VLOOKUP(G863,PC!B:D,2,FALSE)</f>
        <v>RECEITA</v>
      </c>
      <c r="G863" s="4" t="s">
        <v>54</v>
      </c>
      <c r="H863" s="1">
        <f>1000</f>
        <v>1000</v>
      </c>
    </row>
    <row r="864" spans="2:8" x14ac:dyDescent="0.2">
      <c r="B864" t="str">
        <f>VLOOKUP(G864,PC!B:D,3,FALSE)</f>
        <v>RECEITA</v>
      </c>
      <c r="C864" s="22">
        <v>2023</v>
      </c>
      <c r="D864" t="s">
        <v>111</v>
      </c>
      <c r="F864" t="str">
        <f>VLOOKUP(G864,PC!B:D,2,FALSE)</f>
        <v>RECEITA</v>
      </c>
      <c r="G864" s="4" t="s">
        <v>54</v>
      </c>
      <c r="H864" s="1">
        <v>1800</v>
      </c>
    </row>
    <row r="865" spans="2:8" x14ac:dyDescent="0.2">
      <c r="B865" t="str">
        <f>VLOOKUP(G865,PC!B:D,3,FALSE)</f>
        <v>RECEITA</v>
      </c>
      <c r="C865" s="22">
        <v>2023</v>
      </c>
      <c r="D865" t="s">
        <v>111</v>
      </c>
      <c r="F865" t="str">
        <f>VLOOKUP(G865,PC!B:D,2,FALSE)</f>
        <v>RECEITA</v>
      </c>
      <c r="G865" s="4" t="s">
        <v>54</v>
      </c>
      <c r="H865" s="1">
        <f>H861+H862</f>
        <v>161.19999999999999</v>
      </c>
    </row>
    <row r="866" spans="2:8" x14ac:dyDescent="0.2">
      <c r="B866" t="str">
        <f>VLOOKUP(G866,PC!B:D,3,FALSE)</f>
        <v>CPV</v>
      </c>
      <c r="C866" s="22">
        <v>2023</v>
      </c>
      <c r="D866" t="s">
        <v>111</v>
      </c>
      <c r="E866" t="s">
        <v>129</v>
      </c>
      <c r="F866" t="str">
        <f>VLOOKUP(G866,PC!B:D,2,FALSE)</f>
        <v>OUTROS</v>
      </c>
      <c r="G866" s="4" t="s">
        <v>37</v>
      </c>
      <c r="H866" s="1">
        <v>32</v>
      </c>
    </row>
    <row r="867" spans="2:8" x14ac:dyDescent="0.2">
      <c r="B867" t="str">
        <f>VLOOKUP(G867,PC!B:D,3,FALSE)</f>
        <v>RECEITA</v>
      </c>
      <c r="C867" s="22">
        <v>2023</v>
      </c>
      <c r="D867" t="s">
        <v>111</v>
      </c>
      <c r="F867" t="str">
        <f>VLOOKUP(G867,PC!B:D,2,FALSE)</f>
        <v>RECEITA</v>
      </c>
      <c r="G867" s="4" t="s">
        <v>54</v>
      </c>
      <c r="H867" s="1">
        <v>2200</v>
      </c>
    </row>
    <row r="868" spans="2:8" x14ac:dyDescent="0.2">
      <c r="B868" t="str">
        <f>VLOOKUP(G868,PC!B:D,3,FALSE)</f>
        <v>RECEITA</v>
      </c>
      <c r="C868" s="22">
        <v>2023</v>
      </c>
      <c r="D868" t="s">
        <v>111</v>
      </c>
      <c r="F868" t="str">
        <f>VLOOKUP(G868,PC!B:D,2,FALSE)</f>
        <v>RECEITA</v>
      </c>
      <c r="G868" s="4" t="s">
        <v>54</v>
      </c>
      <c r="H868" s="1">
        <v>950</v>
      </c>
    </row>
    <row r="869" spans="2:8" x14ac:dyDescent="0.2">
      <c r="B869" t="str">
        <f>VLOOKUP(G869,PC!B:D,3,FALSE)</f>
        <v>RECEITA</v>
      </c>
      <c r="C869" s="22">
        <v>2023</v>
      </c>
      <c r="D869" t="s">
        <v>111</v>
      </c>
      <c r="F869" t="str">
        <f>VLOOKUP(G869,PC!B:D,2,FALSE)</f>
        <v>RECEITA</v>
      </c>
      <c r="G869" s="4" t="s">
        <v>54</v>
      </c>
      <c r="H869" s="1">
        <v>32</v>
      </c>
    </row>
    <row r="870" spans="2:8" x14ac:dyDescent="0.2">
      <c r="B870" t="str">
        <f>VLOOKUP(G870,PC!B:D,3,FALSE)</f>
        <v>CPV</v>
      </c>
      <c r="C870" s="22">
        <v>2023</v>
      </c>
      <c r="D870" t="s">
        <v>111</v>
      </c>
      <c r="E870" t="s">
        <v>129</v>
      </c>
      <c r="F870" t="str">
        <f>VLOOKUP(G870,PC!B:D,2,FALSE)</f>
        <v>COMIDA</v>
      </c>
      <c r="G870" s="4" t="s">
        <v>12</v>
      </c>
      <c r="H870" s="1">
        <v>56</v>
      </c>
    </row>
    <row r="871" spans="2:8" x14ac:dyDescent="0.2">
      <c r="B871" t="str">
        <f>VLOOKUP(G871,PC!B:D,3,FALSE)</f>
        <v>CPV</v>
      </c>
      <c r="C871" s="22">
        <v>2023</v>
      </c>
      <c r="D871" t="s">
        <v>111</v>
      </c>
      <c r="E871" t="s">
        <v>129</v>
      </c>
      <c r="F871" t="str">
        <f>VLOOKUP(G871,PC!B:D,2,FALSE)</f>
        <v>SOBREMESA</v>
      </c>
      <c r="G871" s="4" t="s">
        <v>7</v>
      </c>
      <c r="H871" s="1">
        <v>204</v>
      </c>
    </row>
    <row r="872" spans="2:8" x14ac:dyDescent="0.2">
      <c r="B872" t="str">
        <f>VLOOKUP(G872,PC!B:D,3,FALSE)</f>
        <v>CPV</v>
      </c>
      <c r="C872" s="22">
        <v>2023</v>
      </c>
      <c r="D872" t="s">
        <v>111</v>
      </c>
      <c r="E872" t="s">
        <v>129</v>
      </c>
      <c r="F872" t="str">
        <f>VLOOKUP(G872,PC!B:D,2,FALSE)</f>
        <v>COMIDA</v>
      </c>
      <c r="G872" s="4" t="s">
        <v>12</v>
      </c>
      <c r="H872" s="1">
        <v>51.3</v>
      </c>
    </row>
    <row r="873" spans="2:8" x14ac:dyDescent="0.2">
      <c r="B873" t="str">
        <f>VLOOKUP(G873,PC!B:D,3,FALSE)</f>
        <v>DESPESA OPERACIONAL</v>
      </c>
      <c r="C873" s="22">
        <v>2023</v>
      </c>
      <c r="D873" t="s">
        <v>111</v>
      </c>
      <c r="F873" t="str">
        <f>VLOOKUP(G873,PC!B:D,2,FALSE)</f>
        <v>DESPESA OPERACIONAL</v>
      </c>
      <c r="G873" s="4" t="s">
        <v>70</v>
      </c>
      <c r="H873" s="1">
        <v>152</v>
      </c>
    </row>
    <row r="874" spans="2:8" x14ac:dyDescent="0.2">
      <c r="B874" t="str">
        <f>VLOOKUP(G874,PC!B:D,3,FALSE)</f>
        <v>CPV</v>
      </c>
      <c r="C874" s="22">
        <v>2023</v>
      </c>
      <c r="D874" t="s">
        <v>111</v>
      </c>
      <c r="E874" t="s">
        <v>129</v>
      </c>
      <c r="F874" t="str">
        <f>VLOOKUP(G874,PC!B:D,2,FALSE)</f>
        <v>SOBREMESA</v>
      </c>
      <c r="G874" s="4" t="s">
        <v>7</v>
      </c>
      <c r="H874" s="1">
        <v>79</v>
      </c>
    </row>
    <row r="875" spans="2:8" x14ac:dyDescent="0.2">
      <c r="B875" t="str">
        <f>VLOOKUP(G875,PC!B:D,3,FALSE)</f>
        <v>RECEITA</v>
      </c>
      <c r="C875" s="22">
        <v>2023</v>
      </c>
      <c r="D875" t="s">
        <v>111</v>
      </c>
      <c r="F875" t="str">
        <f>VLOOKUP(G875,PC!B:D,2,FALSE)</f>
        <v>RECEITA</v>
      </c>
      <c r="G875" s="4" t="s">
        <v>54</v>
      </c>
      <c r="H875" s="1">
        <f>H870+H871+H872+H873+H874</f>
        <v>542.29999999999995</v>
      </c>
    </row>
    <row r="876" spans="2:8" x14ac:dyDescent="0.2">
      <c r="B876" t="str">
        <f>VLOOKUP(G876,PC!B:D,3,FALSE)</f>
        <v>RECEITA</v>
      </c>
      <c r="C876" s="22">
        <v>2023</v>
      </c>
      <c r="D876" t="s">
        <v>111</v>
      </c>
      <c r="F876" t="str">
        <f>VLOOKUP(G876,PC!B:D,2,FALSE)</f>
        <v>RECEITA</v>
      </c>
      <c r="G876" s="4" t="s">
        <v>54</v>
      </c>
      <c r="H876" s="1">
        <v>1400</v>
      </c>
    </row>
    <row r="877" spans="2:8" x14ac:dyDescent="0.2">
      <c r="B877" t="str">
        <f>VLOOKUP(G877,PC!B:D,3,FALSE)</f>
        <v>RECEITA</v>
      </c>
      <c r="C877" s="22">
        <v>2023</v>
      </c>
      <c r="D877" t="s">
        <v>111</v>
      </c>
      <c r="F877" t="str">
        <f>VLOOKUP(G877,PC!B:D,2,FALSE)</f>
        <v>RECEITA</v>
      </c>
      <c r="G877" s="4" t="s">
        <v>54</v>
      </c>
      <c r="H877" s="1">
        <v>650</v>
      </c>
    </row>
    <row r="878" spans="2:8" x14ac:dyDescent="0.2">
      <c r="B878" t="str">
        <f>VLOOKUP(G878,PC!B:D,3,FALSE)</f>
        <v>RECEITA</v>
      </c>
      <c r="C878" s="22">
        <v>2023</v>
      </c>
      <c r="D878" t="s">
        <v>111</v>
      </c>
      <c r="F878" t="str">
        <f>VLOOKUP(G878,PC!B:D,2,FALSE)</f>
        <v>RECEITA</v>
      </c>
      <c r="G878" s="4" t="s">
        <v>54</v>
      </c>
      <c r="H878" s="1">
        <v>2000</v>
      </c>
    </row>
    <row r="879" spans="2:8" x14ac:dyDescent="0.2">
      <c r="B879" t="str">
        <f>VLOOKUP(G879,PC!B:D,3,FALSE)</f>
        <v>DESPESA PESSOAL</v>
      </c>
      <c r="C879" s="22">
        <v>2023</v>
      </c>
      <c r="D879" t="s">
        <v>111</v>
      </c>
      <c r="F879" t="str">
        <f>VLOOKUP(G879,PC!B:D,2,FALSE)</f>
        <v>DESPESA PESSOAL</v>
      </c>
      <c r="G879" s="4" t="s">
        <v>68</v>
      </c>
      <c r="H879" s="1">
        <v>20</v>
      </c>
    </row>
    <row r="880" spans="2:8" x14ac:dyDescent="0.2">
      <c r="B880" t="str">
        <f>VLOOKUP(G880,PC!B:D,3,FALSE)</f>
        <v>CPV</v>
      </c>
      <c r="C880" s="22">
        <v>2023</v>
      </c>
      <c r="D880" t="s">
        <v>111</v>
      </c>
      <c r="E880" t="s">
        <v>129</v>
      </c>
      <c r="F880" t="str">
        <f>VLOOKUP(G880,PC!B:D,2,FALSE)</f>
        <v>COMIDA</v>
      </c>
      <c r="G880" s="4" t="s">
        <v>12</v>
      </c>
      <c r="H880" s="1">
        <v>24</v>
      </c>
    </row>
    <row r="881" spans="2:8" x14ac:dyDescent="0.2">
      <c r="B881" t="str">
        <f>VLOOKUP(G881,PC!B:D,3,FALSE)</f>
        <v>CPV</v>
      </c>
      <c r="C881" s="22">
        <v>2023</v>
      </c>
      <c r="D881" t="s">
        <v>111</v>
      </c>
      <c r="E881" t="s">
        <v>129</v>
      </c>
      <c r="F881" t="str">
        <f>VLOOKUP(G881,PC!B:D,2,FALSE)</f>
        <v>OUTROS</v>
      </c>
      <c r="G881" s="4" t="s">
        <v>37</v>
      </c>
      <c r="H881" s="1">
        <v>412</v>
      </c>
    </row>
    <row r="882" spans="2:8" x14ac:dyDescent="0.2">
      <c r="B882" t="str">
        <f>VLOOKUP(G882,PC!B:D,3,FALSE)</f>
        <v>CPV</v>
      </c>
      <c r="C882" s="22">
        <v>2023</v>
      </c>
      <c r="D882" t="s">
        <v>111</v>
      </c>
      <c r="E882" t="s">
        <v>129</v>
      </c>
      <c r="F882" t="str">
        <f>VLOOKUP(G882,PC!B:D,2,FALSE)</f>
        <v>BEBIDAS</v>
      </c>
      <c r="G882" s="4" t="s">
        <v>39</v>
      </c>
      <c r="H882" s="1">
        <v>94</v>
      </c>
    </row>
    <row r="883" spans="2:8" x14ac:dyDescent="0.2">
      <c r="B883" t="str">
        <f>VLOOKUP(G883,PC!B:D,3,FALSE)</f>
        <v>CPV</v>
      </c>
      <c r="C883" s="22">
        <v>2023</v>
      </c>
      <c r="D883" t="s">
        <v>111</v>
      </c>
      <c r="E883" t="s">
        <v>129</v>
      </c>
      <c r="F883" t="str">
        <f>VLOOKUP(G883,PC!B:D,2,FALSE)</f>
        <v>BEBIDAS</v>
      </c>
      <c r="G883" s="4" t="s">
        <v>48</v>
      </c>
      <c r="H883" s="1">
        <v>30</v>
      </c>
    </row>
    <row r="884" spans="2:8" x14ac:dyDescent="0.2">
      <c r="B884" t="str">
        <f>VLOOKUP(G884,PC!B:D,3,FALSE)</f>
        <v>CPV</v>
      </c>
      <c r="C884" s="22">
        <v>2023</v>
      </c>
      <c r="D884" t="s">
        <v>111</v>
      </c>
      <c r="E884" t="s">
        <v>129</v>
      </c>
      <c r="F884" t="str">
        <f>VLOOKUP(G884,PC!B:D,2,FALSE)</f>
        <v>OUTROS</v>
      </c>
      <c r="G884" s="4" t="s">
        <v>149</v>
      </c>
      <c r="H884" s="1">
        <v>268</v>
      </c>
    </row>
    <row r="885" spans="2:8" x14ac:dyDescent="0.2">
      <c r="B885" t="str">
        <f>VLOOKUP(G885,PC!B:D,3,FALSE)</f>
        <v>CPV</v>
      </c>
      <c r="C885" s="22">
        <v>2023</v>
      </c>
      <c r="D885" t="s">
        <v>111</v>
      </c>
      <c r="E885" t="s">
        <v>129</v>
      </c>
      <c r="F885" t="str">
        <f>VLOOKUP(G885,PC!B:D,2,FALSE)</f>
        <v>COMIDA</v>
      </c>
      <c r="G885" s="4" t="s">
        <v>12</v>
      </c>
      <c r="H885" s="1">
        <v>140</v>
      </c>
    </row>
    <row r="886" spans="2:8" x14ac:dyDescent="0.2">
      <c r="B886" t="str">
        <f>VLOOKUP(G886,PC!B:D,3,FALSE)</f>
        <v>RECEITA</v>
      </c>
      <c r="C886" s="22">
        <v>2023</v>
      </c>
      <c r="D886" t="s">
        <v>111</v>
      </c>
      <c r="F886" t="str">
        <f>VLOOKUP(G886,PC!B:D,2,FALSE)</f>
        <v>RECEITA</v>
      </c>
      <c r="G886" s="4" t="s">
        <v>54</v>
      </c>
      <c r="H886" s="1">
        <f>SUM(H879:H885)</f>
        <v>988</v>
      </c>
    </row>
    <row r="887" spans="2:8" x14ac:dyDescent="0.2">
      <c r="B887" t="str">
        <f>VLOOKUP(G887,PC!B:D,3,FALSE)</f>
        <v>RECEITA</v>
      </c>
      <c r="C887" s="22">
        <v>2023</v>
      </c>
      <c r="D887" t="s">
        <v>111</v>
      </c>
      <c r="F887" t="str">
        <f>VLOOKUP(G887,PC!B:D,2,FALSE)</f>
        <v>RECEITA</v>
      </c>
      <c r="G887" s="4" t="s">
        <v>54</v>
      </c>
      <c r="H887" s="1">
        <v>1650</v>
      </c>
    </row>
    <row r="888" spans="2:8" x14ac:dyDescent="0.2">
      <c r="B888" t="str">
        <f>VLOOKUP(G888,PC!B:D,3,FALSE)</f>
        <v>CPV</v>
      </c>
      <c r="C888" s="22">
        <v>2023</v>
      </c>
      <c r="D888" t="s">
        <v>111</v>
      </c>
      <c r="E888" t="s">
        <v>129</v>
      </c>
      <c r="F888" t="str">
        <f>VLOOKUP(G888,PC!B:D,2,FALSE)</f>
        <v>CIGARRO</v>
      </c>
      <c r="G888" s="4" t="s">
        <v>55</v>
      </c>
      <c r="H888" s="1">
        <v>60</v>
      </c>
    </row>
    <row r="889" spans="2:8" x14ac:dyDescent="0.2">
      <c r="B889" t="str">
        <f>VLOOKUP(G889,PC!B:D,3,FALSE)</f>
        <v>CPV</v>
      </c>
      <c r="C889" s="22">
        <v>2023</v>
      </c>
      <c r="D889" t="s">
        <v>111</v>
      </c>
      <c r="E889" t="s">
        <v>129</v>
      </c>
      <c r="F889" t="str">
        <f>VLOOKUP(G889,PC!B:D,2,FALSE)</f>
        <v>BEBIDAS</v>
      </c>
      <c r="G889" s="4" t="s">
        <v>26</v>
      </c>
      <c r="H889" s="1">
        <v>1317</v>
      </c>
    </row>
    <row r="890" spans="2:8" x14ac:dyDescent="0.2">
      <c r="B890" t="str">
        <f>VLOOKUP(G890,PC!B:D,3,FALSE)</f>
        <v>RECEITA</v>
      </c>
      <c r="C890" s="22">
        <v>2023</v>
      </c>
      <c r="D890" t="s">
        <v>111</v>
      </c>
      <c r="F890" t="str">
        <f>VLOOKUP(G890,PC!B:D,2,FALSE)</f>
        <v>RECEITA</v>
      </c>
      <c r="G890" s="4" t="s">
        <v>54</v>
      </c>
      <c r="H890" s="1">
        <f>H888+H889</f>
        <v>1377</v>
      </c>
    </row>
    <row r="891" spans="2:8" x14ac:dyDescent="0.2">
      <c r="B891" t="str">
        <f>VLOOKUP(G891,PC!B:D,3,FALSE)</f>
        <v>RECEITA</v>
      </c>
      <c r="C891" s="22">
        <v>2023</v>
      </c>
      <c r="D891" t="s">
        <v>111</v>
      </c>
      <c r="F891" t="str">
        <f>VLOOKUP(G891,PC!B:D,2,FALSE)</f>
        <v>RECEITA</v>
      </c>
      <c r="G891" s="4" t="s">
        <v>54</v>
      </c>
      <c r="H891" s="1">
        <v>650</v>
      </c>
    </row>
    <row r="892" spans="2:8" x14ac:dyDescent="0.2">
      <c r="B892" t="str">
        <f>VLOOKUP(G892,PC!B:D,3,FALSE)</f>
        <v>RECEITA</v>
      </c>
      <c r="C892" s="22">
        <v>2023</v>
      </c>
      <c r="D892" t="s">
        <v>111</v>
      </c>
      <c r="F892" t="str">
        <f>VLOOKUP(G892,PC!B:D,2,FALSE)</f>
        <v>RECEITA</v>
      </c>
      <c r="G892" s="4" t="s">
        <v>54</v>
      </c>
      <c r="H892" s="1">
        <v>1800</v>
      </c>
    </row>
    <row r="893" spans="2:8" x14ac:dyDescent="0.2">
      <c r="B893" t="str">
        <f>VLOOKUP(G893,PC!B:D,3,FALSE)</f>
        <v>DESPESA PESSOAL</v>
      </c>
      <c r="C893" s="22">
        <v>2023</v>
      </c>
      <c r="D893" t="s">
        <v>111</v>
      </c>
      <c r="F893" t="str">
        <f>VLOOKUP(G893,PC!B:D,2,FALSE)</f>
        <v>DESPESA PESSOAL</v>
      </c>
      <c r="G893" s="4" t="s">
        <v>68</v>
      </c>
      <c r="H893" s="1">
        <v>20</v>
      </c>
    </row>
    <row r="894" spans="2:8" x14ac:dyDescent="0.2">
      <c r="B894" t="str">
        <f>VLOOKUP(G894,PC!B:D,3,FALSE)</f>
        <v>RECEITA</v>
      </c>
      <c r="C894" s="22">
        <v>2023</v>
      </c>
      <c r="D894" t="s">
        <v>111</v>
      </c>
      <c r="F894" t="str">
        <f>VLOOKUP(G894,PC!B:D,2,FALSE)</f>
        <v>RECEITA</v>
      </c>
      <c r="G894" s="4" t="s">
        <v>54</v>
      </c>
      <c r="H894" s="1">
        <v>257.10000000000002</v>
      </c>
    </row>
    <row r="895" spans="2:8" x14ac:dyDescent="0.2">
      <c r="B895" t="str">
        <f>VLOOKUP(G895,PC!B:D,3,FALSE)</f>
        <v>RECEITA</v>
      </c>
      <c r="C895" s="22">
        <v>2023</v>
      </c>
      <c r="D895" t="s">
        <v>111</v>
      </c>
      <c r="F895" t="str">
        <f>VLOOKUP(G895,PC!B:D,2,FALSE)</f>
        <v>RECEITA</v>
      </c>
      <c r="G895" s="4" t="s">
        <v>54</v>
      </c>
      <c r="H895" s="1">
        <v>850</v>
      </c>
    </row>
    <row r="896" spans="2:8" x14ac:dyDescent="0.2">
      <c r="B896" t="str">
        <f>VLOOKUP(G896,PC!B:D,3,FALSE)</f>
        <v>CPV</v>
      </c>
      <c r="C896" s="22">
        <v>2023</v>
      </c>
      <c r="D896" t="s">
        <v>111</v>
      </c>
      <c r="F896" t="str">
        <f>VLOOKUP(G896,PC!B:D,2,FALSE)</f>
        <v>BEBIDAS</v>
      </c>
      <c r="G896" s="4" t="s">
        <v>25</v>
      </c>
      <c r="H896" s="1">
        <v>253</v>
      </c>
    </row>
    <row r="897" spans="2:9" x14ac:dyDescent="0.2">
      <c r="B897" t="str">
        <f>VLOOKUP(G897,PC!B:D,3,FALSE)</f>
        <v>RECEITA</v>
      </c>
      <c r="C897" s="22">
        <v>2023</v>
      </c>
      <c r="D897" t="s">
        <v>111</v>
      </c>
      <c r="F897" t="str">
        <f>VLOOKUP(G897,PC!B:D,2,FALSE)</f>
        <v>RECEITA</v>
      </c>
      <c r="G897" s="4" t="s">
        <v>54</v>
      </c>
      <c r="H897" s="1">
        <f>H896</f>
        <v>253</v>
      </c>
    </row>
    <row r="898" spans="2:9" x14ac:dyDescent="0.2">
      <c r="B898" t="str">
        <f>VLOOKUP(G898,PC!B:D,3,FALSE)</f>
        <v>DESPESA PESSOAL</v>
      </c>
      <c r="C898" s="22">
        <v>2023</v>
      </c>
      <c r="D898" t="s">
        <v>111</v>
      </c>
      <c r="F898" t="str">
        <f>VLOOKUP(G898,PC!B:D,2,FALSE)</f>
        <v>DESPESA PESSOAL</v>
      </c>
      <c r="G898" s="4" t="s">
        <v>56</v>
      </c>
      <c r="H898" s="1">
        <v>300</v>
      </c>
    </row>
    <row r="899" spans="2:9" x14ac:dyDescent="0.2">
      <c r="B899" t="str">
        <f>VLOOKUP(G899,PC!B:D,3,FALSE)</f>
        <v>DESPESA PESSOAL</v>
      </c>
      <c r="C899" s="22">
        <v>2023</v>
      </c>
      <c r="D899" t="s">
        <v>111</v>
      </c>
      <c r="F899" t="str">
        <f>VLOOKUP(G899,PC!B:D,2,FALSE)</f>
        <v>DESPESA PESSOAL</v>
      </c>
      <c r="G899" s="4" t="s">
        <v>56</v>
      </c>
      <c r="H899" s="1">
        <v>25</v>
      </c>
    </row>
    <row r="900" spans="2:9" x14ac:dyDescent="0.2">
      <c r="B900" t="str">
        <f>VLOOKUP(G900,PC!B:D,3,FALSE)</f>
        <v>RECEITA</v>
      </c>
      <c r="C900" s="22">
        <v>2023</v>
      </c>
      <c r="D900" t="s">
        <v>111</v>
      </c>
      <c r="F900" t="str">
        <f>VLOOKUP(G900,PC!B:D,2,FALSE)</f>
        <v>RECEITA</v>
      </c>
      <c r="G900" s="4" t="s">
        <v>54</v>
      </c>
      <c r="H900" s="1">
        <f>325</f>
        <v>325</v>
      </c>
    </row>
    <row r="901" spans="2:9" x14ac:dyDescent="0.2">
      <c r="B901" t="str">
        <f>VLOOKUP(G901,PC!B:D,3,FALSE)</f>
        <v>RECEITA</v>
      </c>
      <c r="C901" s="22">
        <v>2023</v>
      </c>
      <c r="D901" t="s">
        <v>111</v>
      </c>
      <c r="F901" t="str">
        <f>VLOOKUP(G901,PC!B:D,2,FALSE)</f>
        <v>RECEITA</v>
      </c>
      <c r="G901" s="4" t="s">
        <v>54</v>
      </c>
      <c r="H901" s="1">
        <v>2850</v>
      </c>
      <c r="I901" s="7" t="s">
        <v>178</v>
      </c>
    </row>
    <row r="902" spans="2:9" x14ac:dyDescent="0.2">
      <c r="B902" t="str">
        <f>VLOOKUP(G902,PC!B:D,3,FALSE)</f>
        <v>CPV</v>
      </c>
      <c r="C902" s="22">
        <v>2023</v>
      </c>
      <c r="D902" t="s">
        <v>111</v>
      </c>
      <c r="E902" t="s">
        <v>129</v>
      </c>
      <c r="F902" t="str">
        <f>VLOOKUP(G902,PC!B:D,2,FALSE)</f>
        <v>COMIDA</v>
      </c>
      <c r="G902" s="4" t="s">
        <v>12</v>
      </c>
      <c r="H902" s="1">
        <v>150</v>
      </c>
    </row>
    <row r="903" spans="2:9" x14ac:dyDescent="0.2">
      <c r="B903" t="str">
        <f>VLOOKUP(G903,PC!B:D,3,FALSE)</f>
        <v>CPV</v>
      </c>
      <c r="C903" s="22">
        <v>2023</v>
      </c>
      <c r="D903" t="s">
        <v>111</v>
      </c>
      <c r="F903" t="str">
        <f>VLOOKUP(G903,PC!B:D,2,FALSE)</f>
        <v>CIGARRO</v>
      </c>
      <c r="G903" s="4" t="s">
        <v>55</v>
      </c>
      <c r="H903" s="1">
        <v>1062</v>
      </c>
    </row>
    <row r="904" spans="2:9" x14ac:dyDescent="0.2">
      <c r="B904" t="str">
        <f>VLOOKUP(G904,PC!B:D,3,FALSE)</f>
        <v>CPV</v>
      </c>
      <c r="C904" s="22">
        <v>2023</v>
      </c>
      <c r="D904" t="s">
        <v>111</v>
      </c>
      <c r="F904" t="str">
        <f>VLOOKUP(G904,PC!B:D,2,FALSE)</f>
        <v>BEBIDAS</v>
      </c>
      <c r="G904" s="4" t="s">
        <v>48</v>
      </c>
      <c r="H904" s="1">
        <v>200</v>
      </c>
    </row>
    <row r="905" spans="2:9" x14ac:dyDescent="0.2">
      <c r="B905" t="str">
        <f>VLOOKUP(G905,PC!B:D,3,FALSE)</f>
        <v>CPV</v>
      </c>
      <c r="C905" s="22">
        <v>2023</v>
      </c>
      <c r="D905" t="s">
        <v>111</v>
      </c>
      <c r="F905" t="str">
        <f>VLOOKUP(G905,PC!B:D,2,FALSE)</f>
        <v>COMIDA</v>
      </c>
      <c r="G905" s="4" t="s">
        <v>12</v>
      </c>
      <c r="H905" s="1">
        <v>600</v>
      </c>
    </row>
    <row r="906" spans="2:9" x14ac:dyDescent="0.2">
      <c r="B906" t="str">
        <f>VLOOKUP(G906,PC!B:D,3,FALSE)</f>
        <v>CPV</v>
      </c>
      <c r="C906" s="22">
        <v>2023</v>
      </c>
      <c r="D906" t="s">
        <v>111</v>
      </c>
      <c r="F906" t="str">
        <f>VLOOKUP(G906,PC!B:D,2,FALSE)</f>
        <v>BEBIDAS</v>
      </c>
      <c r="G906" s="4" t="s">
        <v>48</v>
      </c>
      <c r="H906" s="1">
        <v>277.2</v>
      </c>
    </row>
    <row r="907" spans="2:9" x14ac:dyDescent="0.2">
      <c r="B907" t="str">
        <f>VLOOKUP(G907,PC!B:D,3,FALSE)</f>
        <v>CPV</v>
      </c>
      <c r="C907" s="22">
        <v>2023</v>
      </c>
      <c r="D907" t="s">
        <v>111</v>
      </c>
      <c r="F907" t="str">
        <f>VLOOKUP(G907,PC!B:D,2,FALSE)</f>
        <v>SOBREMESA</v>
      </c>
      <c r="G907" s="4" t="s">
        <v>75</v>
      </c>
      <c r="H907" s="1">
        <v>1083.75</v>
      </c>
    </row>
    <row r="908" spans="2:9" x14ac:dyDescent="0.2">
      <c r="B908" t="str">
        <f>VLOOKUP(G908,PC!B:D,3,FALSE)</f>
        <v>CPV</v>
      </c>
      <c r="C908" s="22">
        <v>2023</v>
      </c>
      <c r="D908" t="s">
        <v>111</v>
      </c>
      <c r="F908" t="str">
        <f>VLOOKUP(G908,PC!B:D,2,FALSE)</f>
        <v>BEBIDAS</v>
      </c>
      <c r="G908" s="4" t="s">
        <v>48</v>
      </c>
      <c r="H908" s="1">
        <v>22</v>
      </c>
    </row>
    <row r="909" spans="2:9" x14ac:dyDescent="0.2">
      <c r="B909" t="str">
        <f>VLOOKUP(G909,PC!B:D,3,FALSE)</f>
        <v>CPV</v>
      </c>
      <c r="C909" s="22">
        <v>2023</v>
      </c>
      <c r="D909" t="s">
        <v>111</v>
      </c>
      <c r="F909" t="str">
        <f>VLOOKUP(G909,PC!B:D,2,FALSE)</f>
        <v>BEBIDAS</v>
      </c>
      <c r="G909" s="4" t="s">
        <v>26</v>
      </c>
      <c r="H909" s="1">
        <f>1317-H908</f>
        <v>1295</v>
      </c>
    </row>
    <row r="910" spans="2:9" x14ac:dyDescent="0.2">
      <c r="B910" t="str">
        <f>VLOOKUP(G910,PC!B:D,3,FALSE)</f>
        <v>CPV</v>
      </c>
      <c r="C910" s="22">
        <v>2023</v>
      </c>
      <c r="D910" t="s">
        <v>111</v>
      </c>
      <c r="F910" t="str">
        <f>VLOOKUP(G910,PC!B:D,2,FALSE)</f>
        <v>BEBIDAS</v>
      </c>
      <c r="G910" s="4" t="s">
        <v>26</v>
      </c>
      <c r="H910" s="1">
        <v>244.77</v>
      </c>
    </row>
    <row r="911" spans="2:9" x14ac:dyDescent="0.2">
      <c r="B911" t="str">
        <f>VLOOKUP(G911,PC!B:D,3,FALSE)</f>
        <v>CPV</v>
      </c>
      <c r="C911" s="22">
        <v>2023</v>
      </c>
      <c r="D911" t="s">
        <v>111</v>
      </c>
      <c r="F911" t="str">
        <f>VLOOKUP(G911,PC!B:D,2,FALSE)</f>
        <v>BEBIDAS</v>
      </c>
      <c r="G911" s="4" t="s">
        <v>25</v>
      </c>
      <c r="H911" s="1">
        <v>412.78</v>
      </c>
    </row>
    <row r="912" spans="2:9" x14ac:dyDescent="0.2">
      <c r="B912" t="str">
        <f>VLOOKUP(G912,PC!B:D,3,FALSE)</f>
        <v>CPV</v>
      </c>
      <c r="C912" s="22">
        <v>2023</v>
      </c>
      <c r="D912" t="s">
        <v>111</v>
      </c>
      <c r="E912" t="s">
        <v>129</v>
      </c>
      <c r="F912" t="str">
        <f>VLOOKUP(G912,PC!B:D,2,FALSE)</f>
        <v>COMIDA</v>
      </c>
      <c r="G912" s="4" t="s">
        <v>155</v>
      </c>
      <c r="H912" s="1">
        <v>395</v>
      </c>
    </row>
    <row r="913" spans="2:8" x14ac:dyDescent="0.2">
      <c r="B913" t="str">
        <f>VLOOKUP(G913,PC!B:D,3,FALSE)</f>
        <v>CPV</v>
      </c>
      <c r="C913" s="22">
        <v>2023</v>
      </c>
      <c r="D913" t="s">
        <v>111</v>
      </c>
      <c r="E913" t="s">
        <v>42</v>
      </c>
      <c r="F913" t="str">
        <f>VLOOKUP(G913,PC!B:D,2,FALSE)</f>
        <v>BEBIDAS</v>
      </c>
      <c r="G913" s="4" t="s">
        <v>25</v>
      </c>
      <c r="H913" s="1">
        <v>253</v>
      </c>
    </row>
    <row r="914" spans="2:8" x14ac:dyDescent="0.2">
      <c r="B914" t="str">
        <f>VLOOKUP(G914,PC!B:D,3,FALSE)</f>
        <v>CPV</v>
      </c>
      <c r="C914" s="22">
        <v>2023</v>
      </c>
      <c r="D914" t="s">
        <v>111</v>
      </c>
      <c r="E914" t="s">
        <v>179</v>
      </c>
      <c r="F914" t="str">
        <f>VLOOKUP(G914,PC!B:D,2,FALSE)</f>
        <v>COMIDA</v>
      </c>
      <c r="G914" s="4" t="s">
        <v>18</v>
      </c>
      <c r="H914" s="1">
        <v>343.92</v>
      </c>
    </row>
    <row r="915" spans="2:8" x14ac:dyDescent="0.2">
      <c r="B915" t="str">
        <f>VLOOKUP(G915,PC!B:D,3,FALSE)</f>
        <v>CPV</v>
      </c>
      <c r="C915" s="22">
        <v>2023</v>
      </c>
      <c r="D915" t="s">
        <v>111</v>
      </c>
      <c r="E915" t="s">
        <v>28</v>
      </c>
      <c r="F915" t="str">
        <f>VLOOKUP(G915,PC!B:D,2,FALSE)</f>
        <v>BEBIDAS</v>
      </c>
      <c r="G915" s="4" t="s">
        <v>26</v>
      </c>
      <c r="H915" s="1">
        <v>347.44</v>
      </c>
    </row>
    <row r="916" spans="2:8" x14ac:dyDescent="0.2">
      <c r="B916" t="str">
        <f>VLOOKUP(G916,PC!B:D,3,FALSE)</f>
        <v>CPV</v>
      </c>
      <c r="C916" s="22">
        <v>2023</v>
      </c>
      <c r="D916" t="s">
        <v>111</v>
      </c>
      <c r="E916" t="s">
        <v>49</v>
      </c>
      <c r="F916" t="str">
        <f>VLOOKUP(G916,PC!B:D,2,FALSE)</f>
        <v>CIGARRO</v>
      </c>
      <c r="G916" s="4" t="s">
        <v>52</v>
      </c>
      <c r="H916" s="1">
        <v>7259.12</v>
      </c>
    </row>
    <row r="917" spans="2:8" x14ac:dyDescent="0.2">
      <c r="B917" t="str">
        <f>VLOOKUP(G917,PC!B:D,3,FALSE)</f>
        <v>RECEITA</v>
      </c>
      <c r="C917" s="22">
        <v>2023</v>
      </c>
      <c r="D917" t="s">
        <v>111</v>
      </c>
      <c r="F917" t="str">
        <f>VLOOKUP(G917,PC!B:D,2,FALSE)</f>
        <v>RECEITA</v>
      </c>
      <c r="G917" s="4" t="s">
        <v>83</v>
      </c>
      <c r="H917" s="1">
        <v>138.53</v>
      </c>
    </row>
    <row r="918" spans="2:8" x14ac:dyDescent="0.2">
      <c r="B918" t="str">
        <f>VLOOKUP(G918,PC!B:D,3,FALSE)</f>
        <v>CPV</v>
      </c>
      <c r="C918" s="22">
        <v>2023</v>
      </c>
      <c r="D918" t="s">
        <v>111</v>
      </c>
      <c r="E918" t="s">
        <v>28</v>
      </c>
      <c r="F918" t="str">
        <f>VLOOKUP(G918,PC!B:D,2,FALSE)</f>
        <v>BEBIDAS</v>
      </c>
      <c r="G918" s="4" t="s">
        <v>26</v>
      </c>
      <c r="H918" s="1">
        <v>679</v>
      </c>
    </row>
    <row r="919" spans="2:8" x14ac:dyDescent="0.2">
      <c r="B919" t="str">
        <f>VLOOKUP(G919,PC!B:D,3,FALSE)</f>
        <v>CPV</v>
      </c>
      <c r="C919" s="22">
        <v>2023</v>
      </c>
      <c r="D919" t="s">
        <v>111</v>
      </c>
      <c r="E919" t="s">
        <v>28</v>
      </c>
      <c r="F919" t="str">
        <f>VLOOKUP(G919,PC!B:D,2,FALSE)</f>
        <v>BEBIDAS</v>
      </c>
      <c r="G919" s="4" t="s">
        <v>25</v>
      </c>
      <c r="H919" s="1">
        <f>819.04-H918</f>
        <v>140.03999999999996</v>
      </c>
    </row>
    <row r="920" spans="2:8" x14ac:dyDescent="0.2">
      <c r="B920" t="str">
        <f>VLOOKUP(G920,PC!B:D,3,FALSE)</f>
        <v>CPV</v>
      </c>
      <c r="C920" s="22">
        <v>2023</v>
      </c>
      <c r="D920" t="s">
        <v>111</v>
      </c>
      <c r="E920" t="s">
        <v>164</v>
      </c>
      <c r="F920" t="str">
        <f>VLOOKUP(G920,PC!B:D,2,FALSE)</f>
        <v>COMIDA</v>
      </c>
      <c r="G920" s="4" t="s">
        <v>33</v>
      </c>
      <c r="H920" s="1">
        <v>172</v>
      </c>
    </row>
    <row r="921" spans="2:8" x14ac:dyDescent="0.2">
      <c r="B921" t="str">
        <f>VLOOKUP(G921,PC!B:D,3,FALSE)</f>
        <v>CPV</v>
      </c>
      <c r="C921" s="22">
        <v>2023</v>
      </c>
      <c r="D921" t="s">
        <v>111</v>
      </c>
      <c r="E921" t="s">
        <v>20</v>
      </c>
      <c r="F921" t="str">
        <f>VLOOKUP(G921,PC!B:D,2,FALSE)</f>
        <v>COMIDA</v>
      </c>
      <c r="G921" s="4" t="s">
        <v>29</v>
      </c>
      <c r="H921" s="1">
        <v>190.6</v>
      </c>
    </row>
    <row r="922" spans="2:8" x14ac:dyDescent="0.2">
      <c r="B922" t="str">
        <f>VLOOKUP(G922,PC!B:D,3,FALSE)</f>
        <v>CPV</v>
      </c>
      <c r="C922" s="22">
        <v>2023</v>
      </c>
      <c r="D922" t="s">
        <v>111</v>
      </c>
      <c r="E922" t="s">
        <v>24</v>
      </c>
      <c r="F922" t="str">
        <f>VLOOKUP(G922,PC!B:D,2,FALSE)</f>
        <v>COMIDA</v>
      </c>
      <c r="G922" s="4" t="s">
        <v>33</v>
      </c>
      <c r="H922" s="1">
        <v>333.7</v>
      </c>
    </row>
    <row r="923" spans="2:8" x14ac:dyDescent="0.2">
      <c r="B923" t="str">
        <f>VLOOKUP(G923,PC!B:D,3,FALSE)</f>
        <v>CPV</v>
      </c>
      <c r="C923" s="22">
        <v>2023</v>
      </c>
      <c r="D923" t="s">
        <v>111</v>
      </c>
      <c r="E923" t="s">
        <v>129</v>
      </c>
      <c r="F923" t="str">
        <f>VLOOKUP(G923,PC!B:D,2,FALSE)</f>
        <v>BEBIDAS</v>
      </c>
      <c r="G923" s="4" t="s">
        <v>48</v>
      </c>
      <c r="H923" s="1">
        <v>324</v>
      </c>
    </row>
    <row r="924" spans="2:8" x14ac:dyDescent="0.2">
      <c r="B924" t="str">
        <f>VLOOKUP(G924,PC!B:D,3,FALSE)</f>
        <v>CPV</v>
      </c>
      <c r="C924" s="22">
        <v>2023</v>
      </c>
      <c r="D924" t="s">
        <v>111</v>
      </c>
      <c r="E924" t="s">
        <v>159</v>
      </c>
      <c r="F924" t="str">
        <f>VLOOKUP(G924,PC!B:D,2,FALSE)</f>
        <v>OUTROS</v>
      </c>
      <c r="G924" s="4" t="s">
        <v>37</v>
      </c>
      <c r="H924" s="1">
        <v>32.159999999999997</v>
      </c>
    </row>
    <row r="925" spans="2:8" x14ac:dyDescent="0.2">
      <c r="B925" t="str">
        <f>VLOOKUP(G925,PC!B:D,3,FALSE)</f>
        <v>CPV</v>
      </c>
      <c r="C925" s="22">
        <v>2023</v>
      </c>
      <c r="D925" t="s">
        <v>111</v>
      </c>
      <c r="E925" t="s">
        <v>159</v>
      </c>
      <c r="F925" t="str">
        <f>VLOOKUP(G925,PC!B:D,2,FALSE)</f>
        <v>COMIDA</v>
      </c>
      <c r="G925" s="4" t="s">
        <v>18</v>
      </c>
      <c r="H925" s="1">
        <v>22.4</v>
      </c>
    </row>
    <row r="926" spans="2:8" x14ac:dyDescent="0.2">
      <c r="B926" t="str">
        <f>VLOOKUP(G926,PC!B:D,3,FALSE)</f>
        <v>CPV</v>
      </c>
      <c r="C926" s="22">
        <v>2023</v>
      </c>
      <c r="D926" t="s">
        <v>111</v>
      </c>
      <c r="E926" t="s">
        <v>159</v>
      </c>
      <c r="F926" t="str">
        <f>VLOOKUP(G926,PC!B:D,2,FALSE)</f>
        <v>COMIDA</v>
      </c>
      <c r="G926" s="4" t="s">
        <v>22</v>
      </c>
      <c r="H926" s="1">
        <f>9.69+7.86</f>
        <v>17.55</v>
      </c>
    </row>
    <row r="927" spans="2:8" x14ac:dyDescent="0.2">
      <c r="B927" t="str">
        <f>VLOOKUP(G927,PC!B:D,3,FALSE)</f>
        <v>CPV</v>
      </c>
      <c r="C927" s="22">
        <v>2023</v>
      </c>
      <c r="D927" t="s">
        <v>111</v>
      </c>
      <c r="E927" t="s">
        <v>100</v>
      </c>
      <c r="F927" t="str">
        <f>VLOOKUP(G927,PC!B:D,2,FALSE)</f>
        <v>COMIDA</v>
      </c>
      <c r="G927" s="4" t="s">
        <v>18</v>
      </c>
      <c r="H927" s="1">
        <v>78.52</v>
      </c>
    </row>
    <row r="928" spans="2:8" x14ac:dyDescent="0.2">
      <c r="B928" t="str">
        <f>VLOOKUP(G928,PC!B:D,3,FALSE)</f>
        <v>CPV</v>
      </c>
      <c r="C928" s="22">
        <v>2023</v>
      </c>
      <c r="D928" t="s">
        <v>111</v>
      </c>
      <c r="E928" t="s">
        <v>30</v>
      </c>
      <c r="F928" t="str">
        <f>VLOOKUP(G928,PC!B:D,2,FALSE)</f>
        <v>SOBREMESA</v>
      </c>
      <c r="G928" s="4" t="s">
        <v>23</v>
      </c>
      <c r="H928" s="1">
        <v>666.39</v>
      </c>
    </row>
    <row r="929" spans="2:8" x14ac:dyDescent="0.2">
      <c r="B929" t="str">
        <f>VLOOKUP(G929,PC!B:D,3,FALSE)</f>
        <v>CPV</v>
      </c>
      <c r="C929" s="22">
        <v>2023</v>
      </c>
      <c r="D929" t="s">
        <v>111</v>
      </c>
      <c r="E929" t="s">
        <v>27</v>
      </c>
      <c r="F929" t="str">
        <f>VLOOKUP(G929,PC!B:D,2,FALSE)</f>
        <v>COMIDA</v>
      </c>
      <c r="G929" s="4" t="s">
        <v>12</v>
      </c>
      <c r="H929" s="1">
        <v>175.47</v>
      </c>
    </row>
    <row r="930" spans="2:8" x14ac:dyDescent="0.2">
      <c r="B930" t="str">
        <f>VLOOKUP(G930,PC!B:D,3,FALSE)</f>
        <v>CPV</v>
      </c>
      <c r="C930" s="22">
        <v>2023</v>
      </c>
      <c r="D930" t="s">
        <v>111</v>
      </c>
      <c r="E930" t="s">
        <v>129</v>
      </c>
      <c r="F930" t="str">
        <f>VLOOKUP(G930,PC!B:D,2,FALSE)</f>
        <v>BEBIDAS</v>
      </c>
      <c r="G930" s="4" t="s">
        <v>48</v>
      </c>
      <c r="H930" s="1">
        <v>60</v>
      </c>
    </row>
    <row r="931" spans="2:8" x14ac:dyDescent="0.2">
      <c r="B931" t="str">
        <f>VLOOKUP(G931,PC!B:D,3,FALSE)</f>
        <v>CPV</v>
      </c>
      <c r="C931" s="22">
        <v>2023</v>
      </c>
      <c r="D931" t="s">
        <v>111</v>
      </c>
      <c r="E931" t="s">
        <v>28</v>
      </c>
      <c r="F931" t="str">
        <f>VLOOKUP(G931,PC!B:D,2,FALSE)</f>
        <v>BEBIDAS</v>
      </c>
      <c r="G931" s="4" t="s">
        <v>26</v>
      </c>
      <c r="H931" s="1">
        <v>4857.84</v>
      </c>
    </row>
    <row r="932" spans="2:8" x14ac:dyDescent="0.2">
      <c r="B932" t="str">
        <f>VLOOKUP(G932,PC!B:D,3,FALSE)</f>
        <v>CPV</v>
      </c>
      <c r="C932" s="22">
        <v>2023</v>
      </c>
      <c r="D932" t="s">
        <v>111</v>
      </c>
      <c r="E932" t="s">
        <v>14</v>
      </c>
      <c r="F932" t="str">
        <f>VLOOKUP(G932,PC!B:D,2,FALSE)</f>
        <v>BEBIDAS</v>
      </c>
      <c r="G932" s="4" t="s">
        <v>26</v>
      </c>
      <c r="H932" s="1">
        <v>290.58999999999997</v>
      </c>
    </row>
    <row r="933" spans="2:8" x14ac:dyDescent="0.2">
      <c r="B933" t="str">
        <f>VLOOKUP(G933,PC!B:D,3,FALSE)</f>
        <v>CPV</v>
      </c>
      <c r="C933" s="22">
        <v>2023</v>
      </c>
      <c r="D933" t="s">
        <v>111</v>
      </c>
      <c r="E933" t="s">
        <v>14</v>
      </c>
      <c r="F933" t="str">
        <f>VLOOKUP(G933,PC!B:D,2,FALSE)</f>
        <v>BEBIDAS</v>
      </c>
      <c r="G933" s="4" t="s">
        <v>41</v>
      </c>
      <c r="H933" s="1">
        <v>37.21</v>
      </c>
    </row>
    <row r="934" spans="2:8" x14ac:dyDescent="0.2">
      <c r="B934" t="str">
        <f>VLOOKUP(G934,PC!B:D,3,FALSE)</f>
        <v>CPV</v>
      </c>
      <c r="C934" s="22">
        <v>2023</v>
      </c>
      <c r="D934" t="s">
        <v>111</v>
      </c>
      <c r="E934" t="s">
        <v>14</v>
      </c>
      <c r="F934" t="str">
        <f>VLOOKUP(G934,PC!B:D,2,FALSE)</f>
        <v>BEBIDAS</v>
      </c>
      <c r="G934" s="4" t="s">
        <v>46</v>
      </c>
      <c r="H934" s="1">
        <v>20.95</v>
      </c>
    </row>
    <row r="935" spans="2:8" x14ac:dyDescent="0.2">
      <c r="B935" t="str">
        <f>VLOOKUP(G935,PC!B:D,3,FALSE)</f>
        <v>CPV</v>
      </c>
      <c r="C935" s="22">
        <v>2023</v>
      </c>
      <c r="D935" t="s">
        <v>111</v>
      </c>
      <c r="E935" t="s">
        <v>14</v>
      </c>
      <c r="F935" t="str">
        <f>VLOOKUP(G935,PC!B:D,2,FALSE)</f>
        <v>BEBIDAS</v>
      </c>
      <c r="G935" s="4" t="s">
        <v>25</v>
      </c>
      <c r="H935" s="1">
        <f>703.86-H934-H933-H932</f>
        <v>355.10999999999996</v>
      </c>
    </row>
    <row r="936" spans="2:8" x14ac:dyDescent="0.2">
      <c r="B936" t="str">
        <f>VLOOKUP(G936,PC!B:D,3,FALSE)</f>
        <v>CPV</v>
      </c>
      <c r="C936" s="22">
        <v>2023</v>
      </c>
      <c r="D936" t="s">
        <v>111</v>
      </c>
      <c r="E936" t="s">
        <v>159</v>
      </c>
      <c r="F936" t="str">
        <f>VLOOKUP(G936,PC!B:D,2,FALSE)</f>
        <v>COMIDA</v>
      </c>
      <c r="G936" s="4" t="s">
        <v>34</v>
      </c>
      <c r="H936" s="1">
        <v>71.5</v>
      </c>
    </row>
    <row r="937" spans="2:8" x14ac:dyDescent="0.2">
      <c r="B937" t="str">
        <f>VLOOKUP(G937,PC!B:D,3,FALSE)</f>
        <v>CPV</v>
      </c>
      <c r="C937" s="22">
        <v>2023</v>
      </c>
      <c r="D937" t="s">
        <v>111</v>
      </c>
      <c r="E937" t="s">
        <v>159</v>
      </c>
      <c r="F937" t="str">
        <f>VLOOKUP(G937,PC!B:D,2,FALSE)</f>
        <v>SOBREMESA</v>
      </c>
      <c r="G937" s="4" t="s">
        <v>23</v>
      </c>
      <c r="H937" s="1">
        <v>37.24</v>
      </c>
    </row>
    <row r="938" spans="2:8" x14ac:dyDescent="0.2">
      <c r="B938" t="str">
        <f>VLOOKUP(G938,PC!B:D,3,FALSE)</f>
        <v>CPV</v>
      </c>
      <c r="C938" s="22">
        <v>2023</v>
      </c>
      <c r="D938" t="s">
        <v>111</v>
      </c>
      <c r="E938" t="s">
        <v>24</v>
      </c>
      <c r="F938" t="str">
        <f>VLOOKUP(G938,PC!B:D,2,FALSE)</f>
        <v>COMIDA</v>
      </c>
      <c r="G938" s="4" t="s">
        <v>33</v>
      </c>
      <c r="H938" s="1">
        <v>836.33</v>
      </c>
    </row>
    <row r="939" spans="2:8" x14ac:dyDescent="0.2">
      <c r="B939" t="str">
        <f>VLOOKUP(G939,PC!B:D,3,FALSE)</f>
        <v>DESPESA OPERACIONAL</v>
      </c>
      <c r="C939" s="22">
        <v>2023</v>
      </c>
      <c r="D939" t="s">
        <v>111</v>
      </c>
      <c r="F939" t="str">
        <f>VLOOKUP(G939,PC!B:D,2,FALSE)</f>
        <v>DESPESA OPERACIONAL</v>
      </c>
      <c r="G939" s="4" t="s">
        <v>73</v>
      </c>
      <c r="H939" s="1">
        <f>932+1739</f>
        <v>2671</v>
      </c>
    </row>
    <row r="940" spans="2:8" x14ac:dyDescent="0.2">
      <c r="B940" t="str">
        <f>VLOOKUP(G940,PC!B:D,3,FALSE)</f>
        <v>RECEITA</v>
      </c>
      <c r="C940" s="22">
        <v>2023</v>
      </c>
      <c r="D940" t="s">
        <v>111</v>
      </c>
      <c r="F940" t="str">
        <f>VLOOKUP(G940,PC!B:D,2,FALSE)</f>
        <v>RECEITA</v>
      </c>
      <c r="G940" s="4" t="s">
        <v>64</v>
      </c>
      <c r="H940" s="1">
        <f>21.42+38.39</f>
        <v>59.81</v>
      </c>
    </row>
    <row r="941" spans="2:8" x14ac:dyDescent="0.2">
      <c r="B941" t="str">
        <f>VLOOKUP(G941,PC!B:D,3,FALSE)</f>
        <v>CPV</v>
      </c>
      <c r="C941" s="22">
        <v>2023</v>
      </c>
      <c r="D941" t="s">
        <v>111</v>
      </c>
      <c r="E941" t="s">
        <v>129</v>
      </c>
      <c r="F941" t="str">
        <f>VLOOKUP(G941,PC!B:D,2,FALSE)</f>
        <v>CIGARRO</v>
      </c>
      <c r="G941" s="4" t="s">
        <v>57</v>
      </c>
      <c r="H941" s="1">
        <f>704+62</f>
        <v>766</v>
      </c>
    </row>
    <row r="942" spans="2:8" x14ac:dyDescent="0.2">
      <c r="B942" t="str">
        <f>VLOOKUP(G942,PC!B:D,3,FALSE)</f>
        <v>CPV</v>
      </c>
      <c r="C942" s="22">
        <v>2023</v>
      </c>
      <c r="D942" t="s">
        <v>111</v>
      </c>
      <c r="E942" t="s">
        <v>129</v>
      </c>
      <c r="F942" t="str">
        <f>VLOOKUP(G942,PC!B:D,2,FALSE)</f>
        <v>CIGARRO</v>
      </c>
      <c r="G942" s="4" t="s">
        <v>131</v>
      </c>
      <c r="H942" s="1">
        <f>1064-H941</f>
        <v>298</v>
      </c>
    </row>
    <row r="943" spans="2:8" x14ac:dyDescent="0.2">
      <c r="B943" t="str">
        <f>VLOOKUP(G943,PC!B:D,3,FALSE)</f>
        <v>CPV</v>
      </c>
      <c r="C943" s="22">
        <v>2023</v>
      </c>
      <c r="D943" t="s">
        <v>111</v>
      </c>
      <c r="E943" t="s">
        <v>129</v>
      </c>
      <c r="F943" t="str">
        <f>VLOOKUP(G943,PC!B:D,2,FALSE)</f>
        <v>CIGARRO</v>
      </c>
      <c r="G943" s="4" t="s">
        <v>53</v>
      </c>
      <c r="H943" s="1">
        <v>180</v>
      </c>
    </row>
    <row r="944" spans="2:8" x14ac:dyDescent="0.2">
      <c r="B944" t="str">
        <f>VLOOKUP(G944,PC!B:D,3,FALSE)</f>
        <v>CPV</v>
      </c>
      <c r="C944" s="22">
        <v>2023</v>
      </c>
      <c r="D944" t="s">
        <v>111</v>
      </c>
      <c r="E944" t="s">
        <v>129</v>
      </c>
      <c r="F944" t="str">
        <f>VLOOKUP(G944,PC!B:D,2,FALSE)</f>
        <v>COMIDA</v>
      </c>
      <c r="G944" s="4" t="s">
        <v>12</v>
      </c>
      <c r="H944" s="1">
        <v>117</v>
      </c>
    </row>
    <row r="945" spans="2:8" x14ac:dyDescent="0.2">
      <c r="B945" t="str">
        <f>VLOOKUP(G945,PC!B:D,3,FALSE)</f>
        <v>CPV</v>
      </c>
      <c r="C945" s="22">
        <v>2023</v>
      </c>
      <c r="D945" t="s">
        <v>111</v>
      </c>
      <c r="E945" t="s">
        <v>129</v>
      </c>
      <c r="F945" t="str">
        <f>VLOOKUP(G945,PC!B:D,2,FALSE)</f>
        <v>BEBIDAS</v>
      </c>
      <c r="G945" s="4" t="s">
        <v>39</v>
      </c>
      <c r="H945" s="1">
        <v>109</v>
      </c>
    </row>
    <row r="946" spans="2:8" x14ac:dyDescent="0.2">
      <c r="B946" t="str">
        <f>VLOOKUP(G946,PC!B:D,3,FALSE)</f>
        <v>CPV</v>
      </c>
      <c r="C946" s="22">
        <v>2023</v>
      </c>
      <c r="D946" t="s">
        <v>111</v>
      </c>
      <c r="E946" t="s">
        <v>89</v>
      </c>
      <c r="F946" t="str">
        <f>VLOOKUP(G946,PC!B:D,2,FALSE)</f>
        <v>OUTROS</v>
      </c>
      <c r="G946" s="4" t="s">
        <v>37</v>
      </c>
      <c r="H946" s="1">
        <v>275.73</v>
      </c>
    </row>
    <row r="947" spans="2:8" x14ac:dyDescent="0.2">
      <c r="B947" t="str">
        <f>VLOOKUP(G947,PC!B:D,3,FALSE)</f>
        <v>CPV</v>
      </c>
      <c r="C947" s="22">
        <v>2023</v>
      </c>
      <c r="D947" t="s">
        <v>111</v>
      </c>
      <c r="E947" t="s">
        <v>77</v>
      </c>
      <c r="F947" t="str">
        <f>VLOOKUP(G947,PC!B:D,2,FALSE)</f>
        <v>OUTROS</v>
      </c>
      <c r="G947" s="4" t="s">
        <v>37</v>
      </c>
      <c r="H947" s="1">
        <v>647.79</v>
      </c>
    </row>
    <row r="948" spans="2:8" x14ac:dyDescent="0.2">
      <c r="B948" t="str">
        <f>VLOOKUP(G948,PC!B:D,3,FALSE)</f>
        <v>CPV</v>
      </c>
      <c r="C948" s="22">
        <v>2023</v>
      </c>
      <c r="D948" t="s">
        <v>111</v>
      </c>
      <c r="E948" t="s">
        <v>129</v>
      </c>
      <c r="F948" t="str">
        <f>VLOOKUP(G948,PC!B:D,2,FALSE)</f>
        <v>COMIDA</v>
      </c>
      <c r="G948" s="4" t="s">
        <v>152</v>
      </c>
      <c r="H948" s="1">
        <v>56</v>
      </c>
    </row>
    <row r="949" spans="2:8" x14ac:dyDescent="0.2">
      <c r="B949" t="str">
        <f>VLOOKUP(G949,PC!B:D,3,FALSE)</f>
        <v>RECEITA</v>
      </c>
      <c r="C949" s="22">
        <v>2023</v>
      </c>
      <c r="D949" t="s">
        <v>111</v>
      </c>
      <c r="F949" t="str">
        <f>VLOOKUP(G949,PC!B:D,2,FALSE)</f>
        <v>RECEITA</v>
      </c>
      <c r="G949" s="4" t="s">
        <v>54</v>
      </c>
      <c r="H949" s="1">
        <v>2550</v>
      </c>
    </row>
    <row r="950" spans="2:8" x14ac:dyDescent="0.2">
      <c r="B950" t="str">
        <f>VLOOKUP(G950,PC!B:D,3,FALSE)</f>
        <v>INVESTIMENTO</v>
      </c>
      <c r="C950" s="22">
        <v>2023</v>
      </c>
      <c r="D950" t="s">
        <v>111</v>
      </c>
      <c r="F950" t="str">
        <f>VLOOKUP(G950,PC!B:D,2,FALSE)</f>
        <v>INVESTIMENTO</v>
      </c>
      <c r="G950" s="4" t="s">
        <v>130</v>
      </c>
      <c r="H950" s="1">
        <v>150</v>
      </c>
    </row>
    <row r="951" spans="2:8" x14ac:dyDescent="0.2">
      <c r="B951" t="str">
        <f>VLOOKUP(G951,PC!B:D,3,FALSE)</f>
        <v>INVESTIMENTO</v>
      </c>
      <c r="C951" s="22">
        <v>2023</v>
      </c>
      <c r="D951" t="s">
        <v>111</v>
      </c>
      <c r="F951" t="str">
        <f>VLOOKUP(G951,PC!B:D,2,FALSE)</f>
        <v>INVESTIMENTO</v>
      </c>
      <c r="G951" s="4" t="s">
        <v>130</v>
      </c>
      <c r="H951" s="1">
        <v>350</v>
      </c>
    </row>
    <row r="952" spans="2:8" x14ac:dyDescent="0.2">
      <c r="B952" t="str">
        <f>VLOOKUP(G952,PC!B:D,3,FALSE)</f>
        <v>INVESTIMENTO</v>
      </c>
      <c r="C952" s="22">
        <v>2023</v>
      </c>
      <c r="D952" t="s">
        <v>111</v>
      </c>
      <c r="F952" t="str">
        <f>VLOOKUP(G952,PC!B:D,2,FALSE)</f>
        <v>INVESTIMENTO</v>
      </c>
      <c r="G952" s="4" t="s">
        <v>130</v>
      </c>
      <c r="H952" s="1">
        <v>2000</v>
      </c>
    </row>
    <row r="953" spans="2:8" x14ac:dyDescent="0.2">
      <c r="B953" t="str">
        <f>VLOOKUP(G953,PC!B:D,3,FALSE)</f>
        <v>DESPESA PESSOAL</v>
      </c>
      <c r="C953" s="22">
        <v>2023</v>
      </c>
      <c r="D953" t="s">
        <v>111</v>
      </c>
      <c r="F953" t="str">
        <f>VLOOKUP(G953,PC!B:D,2,FALSE)</f>
        <v>DESPESA PESSOAL</v>
      </c>
      <c r="G953" s="4" t="s">
        <v>56</v>
      </c>
      <c r="H953" s="1">
        <v>350</v>
      </c>
    </row>
    <row r="954" spans="2:8" x14ac:dyDescent="0.2">
      <c r="B954" t="str">
        <f>VLOOKUP(G954,PC!B:D,3,FALSE)</f>
        <v>RECEITA</v>
      </c>
      <c r="C954" s="22">
        <v>2023</v>
      </c>
      <c r="D954" t="s">
        <v>111</v>
      </c>
      <c r="F954" t="str">
        <f>VLOOKUP(G954,PC!B:D,2,FALSE)</f>
        <v>RECEITA</v>
      </c>
      <c r="G954" s="4" t="s">
        <v>54</v>
      </c>
      <c r="H954" s="1">
        <v>406</v>
      </c>
    </row>
    <row r="955" spans="2:8" x14ac:dyDescent="0.2">
      <c r="B955" t="str">
        <f>VLOOKUP(G955,PC!B:D,3,FALSE)</f>
        <v>CPV</v>
      </c>
      <c r="C955" s="22">
        <v>2023</v>
      </c>
      <c r="D955" t="s">
        <v>111</v>
      </c>
      <c r="E955" t="s">
        <v>129</v>
      </c>
      <c r="F955" t="str">
        <f>VLOOKUP(G955,PC!B:D,2,FALSE)</f>
        <v>COMIDA</v>
      </c>
      <c r="G955" s="4" t="s">
        <v>18</v>
      </c>
      <c r="H955" s="1">
        <v>31.5</v>
      </c>
    </row>
    <row r="956" spans="2:8" x14ac:dyDescent="0.2">
      <c r="B956" t="str">
        <f>VLOOKUP(G956,PC!B:D,3,FALSE)</f>
        <v>RECEITA</v>
      </c>
      <c r="C956" s="22">
        <v>2023</v>
      </c>
      <c r="D956" t="s">
        <v>111</v>
      </c>
      <c r="F956" t="str">
        <f>VLOOKUP(G956,PC!B:D,2,FALSE)</f>
        <v>RECEITA</v>
      </c>
      <c r="G956" s="4" t="s">
        <v>54</v>
      </c>
      <c r="H956" s="1">
        <f>1150+1200+600</f>
        <v>2950</v>
      </c>
    </row>
    <row r="957" spans="2:8" x14ac:dyDescent="0.2">
      <c r="B957" t="str">
        <f>VLOOKUP(G957,PC!B:D,3,FALSE)</f>
        <v>RECEITA</v>
      </c>
      <c r="C957" s="22">
        <v>2023</v>
      </c>
      <c r="D957" t="s">
        <v>111</v>
      </c>
      <c r="F957" t="str">
        <f>VLOOKUP(G957,PC!B:D,2,FALSE)</f>
        <v>RECEITA</v>
      </c>
      <c r="G957" s="4" t="s">
        <v>54</v>
      </c>
      <c r="H957" s="1">
        <v>31.5</v>
      </c>
    </row>
    <row r="958" spans="2:8" x14ac:dyDescent="0.2">
      <c r="B958" t="str">
        <f>VLOOKUP(G958,PC!B:D,3,FALSE)</f>
        <v>CPV</v>
      </c>
      <c r="C958" s="22">
        <v>2023</v>
      </c>
      <c r="D958" t="s">
        <v>111</v>
      </c>
      <c r="E958" t="s">
        <v>129</v>
      </c>
      <c r="F958" t="str">
        <f>VLOOKUP(G958,PC!B:D,2,FALSE)</f>
        <v>SOBREMESA</v>
      </c>
      <c r="G958" s="4" t="s">
        <v>7</v>
      </c>
      <c r="H958" s="1">
        <v>118.8</v>
      </c>
    </row>
    <row r="959" spans="2:8" x14ac:dyDescent="0.2">
      <c r="B959" t="str">
        <f>VLOOKUP(G959,PC!B:D,3,FALSE)</f>
        <v>CPV</v>
      </c>
      <c r="C959" s="22">
        <v>2023</v>
      </c>
      <c r="D959" t="s">
        <v>111</v>
      </c>
      <c r="E959" t="s">
        <v>129</v>
      </c>
      <c r="F959" t="str">
        <f>VLOOKUP(G959,PC!B:D,2,FALSE)</f>
        <v>COMIDA</v>
      </c>
      <c r="G959" s="4" t="s">
        <v>12</v>
      </c>
      <c r="H959" s="1">
        <v>200</v>
      </c>
    </row>
    <row r="960" spans="2:8" x14ac:dyDescent="0.2">
      <c r="B960" t="str">
        <f>VLOOKUP(G960,PC!B:D,3,FALSE)</f>
        <v>RECEITA</v>
      </c>
      <c r="C960" s="22">
        <v>2023</v>
      </c>
      <c r="D960" t="s">
        <v>111</v>
      </c>
      <c r="F960" t="str">
        <f>VLOOKUP(G960,PC!B:D,2,FALSE)</f>
        <v>RECEITA</v>
      </c>
      <c r="G960" s="4" t="s">
        <v>54</v>
      </c>
      <c r="H960" s="1">
        <f>H959+H958</f>
        <v>318.8</v>
      </c>
    </row>
    <row r="961" spans="2:8" x14ac:dyDescent="0.2">
      <c r="B961" t="str">
        <f>VLOOKUP(G961,PC!B:D,3,FALSE)</f>
        <v>RECEITA</v>
      </c>
      <c r="C961" s="22">
        <v>2023</v>
      </c>
      <c r="D961" t="s">
        <v>111</v>
      </c>
      <c r="F961" t="str">
        <f>VLOOKUP(G961,PC!B:D,2,FALSE)</f>
        <v>RECEITA</v>
      </c>
      <c r="G961" s="4" t="s">
        <v>54</v>
      </c>
      <c r="H961" s="1">
        <f>60+27.2+700+1300</f>
        <v>2087.1999999999998</v>
      </c>
    </row>
    <row r="962" spans="2:8" x14ac:dyDescent="0.2">
      <c r="B962" t="str">
        <f>VLOOKUP(G962,PC!B:D,3,FALSE)</f>
        <v>CPV</v>
      </c>
      <c r="C962" s="22">
        <v>2023</v>
      </c>
      <c r="D962" t="s">
        <v>111</v>
      </c>
      <c r="E962" t="s">
        <v>129</v>
      </c>
      <c r="F962" t="str">
        <f>VLOOKUP(G962,PC!B:D,2,FALSE)</f>
        <v>SOBREMESA</v>
      </c>
      <c r="G962" s="4" t="s">
        <v>7</v>
      </c>
      <c r="H962" s="1">
        <v>109</v>
      </c>
    </row>
    <row r="963" spans="2:8" x14ac:dyDescent="0.2">
      <c r="B963" t="str">
        <f>VLOOKUP(G963,PC!B:D,3,FALSE)</f>
        <v>DESPESA OPERACIONAL</v>
      </c>
      <c r="C963" s="22">
        <v>2023</v>
      </c>
      <c r="D963" t="s">
        <v>111</v>
      </c>
      <c r="F963" t="str">
        <f>VLOOKUP(G963,PC!B:D,2,FALSE)</f>
        <v>DESPESA OPERACIONAL</v>
      </c>
      <c r="G963" s="4" t="s">
        <v>70</v>
      </c>
      <c r="H963" s="1">
        <v>149</v>
      </c>
    </row>
    <row r="964" spans="2:8" x14ac:dyDescent="0.2">
      <c r="B964" t="str">
        <f>VLOOKUP(G964,PC!B:D,3,FALSE)</f>
        <v>CPV</v>
      </c>
      <c r="C964" s="22">
        <v>2023</v>
      </c>
      <c r="D964" t="s">
        <v>111</v>
      </c>
      <c r="F964" t="str">
        <f>VLOOKUP(G964,PC!B:D,2,FALSE)</f>
        <v>COMIDA</v>
      </c>
      <c r="G964" s="4" t="s">
        <v>12</v>
      </c>
      <c r="H964" s="1">
        <v>339</v>
      </c>
    </row>
    <row r="965" spans="2:8" x14ac:dyDescent="0.2">
      <c r="B965" t="str">
        <f>VLOOKUP(G965,PC!B:D,3,FALSE)</f>
        <v>CPV</v>
      </c>
      <c r="C965" s="22">
        <v>2023</v>
      </c>
      <c r="D965" t="s">
        <v>111</v>
      </c>
      <c r="E965" t="s">
        <v>129</v>
      </c>
      <c r="F965" t="str">
        <f>VLOOKUP(G965,PC!B:D,2,FALSE)</f>
        <v>SOBREMESA</v>
      </c>
      <c r="G965" s="4" t="s">
        <v>8</v>
      </c>
      <c r="H965" s="1">
        <v>50</v>
      </c>
    </row>
    <row r="966" spans="2:8" x14ac:dyDescent="0.2">
      <c r="B966" t="str">
        <f>VLOOKUP(G966,PC!B:D,3,FALSE)</f>
        <v>CPV</v>
      </c>
      <c r="C966" s="22">
        <v>2023</v>
      </c>
      <c r="D966" t="s">
        <v>111</v>
      </c>
      <c r="E966" t="s">
        <v>129</v>
      </c>
      <c r="F966" t="str">
        <f>VLOOKUP(G966,PC!B:D,2,FALSE)</f>
        <v>COMIDA</v>
      </c>
      <c r="G966" s="4" t="s">
        <v>145</v>
      </c>
      <c r="H966" s="1">
        <v>30</v>
      </c>
    </row>
    <row r="967" spans="2:8" x14ac:dyDescent="0.2">
      <c r="B967" t="str">
        <f>VLOOKUP(G967,PC!B:D,3,FALSE)</f>
        <v>RECEITA</v>
      </c>
      <c r="C967" s="22">
        <v>2023</v>
      </c>
      <c r="D967" t="s">
        <v>111</v>
      </c>
      <c r="F967" t="str">
        <f>VLOOKUP(G967,PC!B:D,2,FALSE)</f>
        <v>RECEITA</v>
      </c>
      <c r="G967" s="4" t="s">
        <v>54</v>
      </c>
      <c r="H967" s="1">
        <f>SUM(H962:H966)</f>
        <v>677</v>
      </c>
    </row>
    <row r="968" spans="2:8" x14ac:dyDescent="0.2">
      <c r="B968" t="str">
        <f>VLOOKUP(G968,PC!B:D,3,FALSE)</f>
        <v>RECEITA</v>
      </c>
      <c r="C968" s="22">
        <v>2023</v>
      </c>
      <c r="D968" t="s">
        <v>111</v>
      </c>
      <c r="F968" t="str">
        <f>VLOOKUP(G968,PC!B:D,2,FALSE)</f>
        <v>RECEITA</v>
      </c>
      <c r="G968" s="4" t="s">
        <v>54</v>
      </c>
      <c r="H968" s="1">
        <v>1500</v>
      </c>
    </row>
    <row r="969" spans="2:8" x14ac:dyDescent="0.2">
      <c r="B969" t="str">
        <f>VLOOKUP(G969,PC!B:D,3,FALSE)</f>
        <v>RECEITA</v>
      </c>
      <c r="C969" s="22">
        <v>2023</v>
      </c>
      <c r="D969" t="s">
        <v>111</v>
      </c>
      <c r="F969" t="str">
        <f>VLOOKUP(G969,PC!B:D,2,FALSE)</f>
        <v>RECEITA</v>
      </c>
      <c r="G969" s="4" t="s">
        <v>54</v>
      </c>
      <c r="H969" s="1">
        <v>500</v>
      </c>
    </row>
    <row r="970" spans="2:8" x14ac:dyDescent="0.2">
      <c r="B970" t="str">
        <f>VLOOKUP(G970,PC!B:D,3,FALSE)</f>
        <v>CPV</v>
      </c>
      <c r="C970" s="22">
        <v>2023</v>
      </c>
      <c r="D970" t="s">
        <v>111</v>
      </c>
      <c r="E970" t="s">
        <v>129</v>
      </c>
      <c r="F970" t="str">
        <f>VLOOKUP(G970,PC!B:D,2,FALSE)</f>
        <v>COMIDA</v>
      </c>
      <c r="G970" s="4" t="s">
        <v>18</v>
      </c>
      <c r="H970" s="1">
        <v>49</v>
      </c>
    </row>
    <row r="971" spans="2:8" x14ac:dyDescent="0.2">
      <c r="B971" t="str">
        <f>VLOOKUP(G971,PC!B:D,3,FALSE)</f>
        <v>DESPESA PESSOAL</v>
      </c>
      <c r="C971" s="22">
        <v>2023</v>
      </c>
      <c r="D971" t="s">
        <v>111</v>
      </c>
      <c r="F971" t="str">
        <f>VLOOKUP(G971,PC!B:D,2,FALSE)</f>
        <v>DESPESA PESSOAL</v>
      </c>
      <c r="G971" s="4" t="s">
        <v>68</v>
      </c>
      <c r="H971" s="1">
        <v>40</v>
      </c>
    </row>
    <row r="972" spans="2:8" x14ac:dyDescent="0.2">
      <c r="B972" t="str">
        <f>VLOOKUP(G972,PC!B:D,3,FALSE)</f>
        <v>CPV</v>
      </c>
      <c r="C972" s="22">
        <v>2023</v>
      </c>
      <c r="D972" t="s">
        <v>111</v>
      </c>
      <c r="F972" t="str">
        <f>VLOOKUP(G972,PC!B:D,2,FALSE)</f>
        <v>COMIDA</v>
      </c>
      <c r="G972" s="4" t="s">
        <v>12</v>
      </c>
      <c r="H972" s="1">
        <v>59</v>
      </c>
    </row>
    <row r="973" spans="2:8" x14ac:dyDescent="0.2">
      <c r="B973" t="str">
        <f>VLOOKUP(G973,PC!B:D,3,FALSE)</f>
        <v>RECEITA</v>
      </c>
      <c r="C973" s="22">
        <v>2023</v>
      </c>
      <c r="D973" t="s">
        <v>111</v>
      </c>
      <c r="F973" t="str">
        <f>VLOOKUP(G973,PC!B:D,2,FALSE)</f>
        <v>RECEITA</v>
      </c>
      <c r="G973" s="4" t="s">
        <v>54</v>
      </c>
      <c r="H973" s="1">
        <f>H972+H971+H970</f>
        <v>148</v>
      </c>
    </row>
    <row r="974" spans="2:8" x14ac:dyDescent="0.2">
      <c r="B974" t="str">
        <f>VLOOKUP(G974,PC!B:D,3,FALSE)</f>
        <v>RECEITA</v>
      </c>
      <c r="C974" s="22">
        <v>2023</v>
      </c>
      <c r="D974" t="s">
        <v>111</v>
      </c>
      <c r="F974" t="str">
        <f>VLOOKUP(G974,PC!B:D,2,FALSE)</f>
        <v>RECEITA</v>
      </c>
      <c r="G974" s="4" t="s">
        <v>54</v>
      </c>
      <c r="H974" s="1">
        <v>2300</v>
      </c>
    </row>
    <row r="975" spans="2:8" x14ac:dyDescent="0.2">
      <c r="B975" t="str">
        <f>VLOOKUP(G975,PC!B:D,3,FALSE)</f>
        <v>RECEITA</v>
      </c>
      <c r="C975" s="22">
        <v>2023</v>
      </c>
      <c r="D975" t="s">
        <v>111</v>
      </c>
      <c r="F975" t="str">
        <f>VLOOKUP(G975,PC!B:D,2,FALSE)</f>
        <v>RECEITA</v>
      </c>
      <c r="G975" s="4" t="s">
        <v>54</v>
      </c>
      <c r="H975" s="1">
        <v>400</v>
      </c>
    </row>
    <row r="976" spans="2:8" x14ac:dyDescent="0.2">
      <c r="B976" t="str">
        <f>VLOOKUP(G976,PC!B:D,3,FALSE)</f>
        <v>CPV</v>
      </c>
      <c r="C976" s="22">
        <v>2023</v>
      </c>
      <c r="D976" t="s">
        <v>111</v>
      </c>
      <c r="E976" t="s">
        <v>129</v>
      </c>
      <c r="F976" t="str">
        <f>VLOOKUP(G976,PC!B:D,2,FALSE)</f>
        <v>COMIDA</v>
      </c>
      <c r="G976" s="4" t="s">
        <v>12</v>
      </c>
      <c r="H976" s="1">
        <v>150.5</v>
      </c>
    </row>
    <row r="977" spans="2:8" x14ac:dyDescent="0.2">
      <c r="B977" t="str">
        <f>VLOOKUP(G977,PC!B:D,3,FALSE)</f>
        <v>CPV</v>
      </c>
      <c r="C977" s="22">
        <v>2023</v>
      </c>
      <c r="D977" t="s">
        <v>111</v>
      </c>
      <c r="E977" t="s">
        <v>129</v>
      </c>
      <c r="F977" t="str">
        <f>VLOOKUP(G977,PC!B:D,2,FALSE)</f>
        <v>SOBREMESA</v>
      </c>
      <c r="G977" s="4" t="s">
        <v>7</v>
      </c>
      <c r="H977" s="1">
        <v>30</v>
      </c>
    </row>
    <row r="978" spans="2:8" x14ac:dyDescent="0.2">
      <c r="B978" t="str">
        <f>VLOOKUP(G978,PC!B:D,3,FALSE)</f>
        <v>CPV</v>
      </c>
      <c r="C978" s="22">
        <v>2023</v>
      </c>
      <c r="D978" t="s">
        <v>111</v>
      </c>
      <c r="E978" t="s">
        <v>129</v>
      </c>
      <c r="F978" t="str">
        <f>VLOOKUP(G978,PC!B:D,2,FALSE)</f>
        <v>OUTROS</v>
      </c>
      <c r="G978" s="4" t="s">
        <v>58</v>
      </c>
      <c r="H978" s="1">
        <v>140</v>
      </c>
    </row>
    <row r="979" spans="2:8" x14ac:dyDescent="0.2">
      <c r="B979" t="str">
        <f>VLOOKUP(G979,PC!B:D,3,FALSE)</f>
        <v>CPV</v>
      </c>
      <c r="C979" s="22">
        <v>2023</v>
      </c>
      <c r="D979" t="s">
        <v>111</v>
      </c>
      <c r="E979" t="s">
        <v>129</v>
      </c>
      <c r="F979" t="str">
        <f>VLOOKUP(G979,PC!B:D,2,FALSE)</f>
        <v>COMIDA</v>
      </c>
      <c r="G979" s="4" t="s">
        <v>18</v>
      </c>
      <c r="H979" s="1">
        <v>66</v>
      </c>
    </row>
    <row r="980" spans="2:8" x14ac:dyDescent="0.2">
      <c r="B980" t="str">
        <f>VLOOKUP(G980,PC!B:D,3,FALSE)</f>
        <v>CPV</v>
      </c>
      <c r="C980" s="22">
        <v>2023</v>
      </c>
      <c r="D980" t="s">
        <v>111</v>
      </c>
      <c r="E980" t="s">
        <v>129</v>
      </c>
      <c r="F980" t="str">
        <f>VLOOKUP(G980,PC!B:D,2,FALSE)</f>
        <v>COMIDA</v>
      </c>
      <c r="G980" s="4" t="s">
        <v>33</v>
      </c>
      <c r="H980" s="1">
        <v>250</v>
      </c>
    </row>
    <row r="981" spans="2:8" x14ac:dyDescent="0.2">
      <c r="B981" t="str">
        <f>VLOOKUP(G981,PC!B:D,3,FALSE)</f>
        <v>RECEITA</v>
      </c>
      <c r="C981" s="22">
        <v>2023</v>
      </c>
      <c r="D981" t="s">
        <v>111</v>
      </c>
      <c r="F981" t="str">
        <f>VLOOKUP(G981,PC!B:D,2,FALSE)</f>
        <v>RECEITA</v>
      </c>
      <c r="G981" s="4" t="s">
        <v>59</v>
      </c>
      <c r="H981" s="1">
        <v>398</v>
      </c>
    </row>
    <row r="982" spans="2:8" x14ac:dyDescent="0.2">
      <c r="B982" t="str">
        <f>VLOOKUP(G982,PC!B:D,3,FALSE)</f>
        <v>RECEITA</v>
      </c>
      <c r="C982" s="22">
        <v>2023</v>
      </c>
      <c r="D982" t="s">
        <v>111</v>
      </c>
      <c r="F982" t="str">
        <f>VLOOKUP(G982,PC!B:D,2,FALSE)</f>
        <v>RECEITA</v>
      </c>
      <c r="G982" s="4" t="s">
        <v>54</v>
      </c>
      <c r="H982" s="1">
        <v>2100</v>
      </c>
    </row>
    <row r="983" spans="2:8" x14ac:dyDescent="0.2">
      <c r="B983" t="str">
        <f>VLOOKUP(G983,PC!B:D,3,FALSE)</f>
        <v>RECEITA</v>
      </c>
      <c r="C983" s="22">
        <v>2023</v>
      </c>
      <c r="D983" t="s">
        <v>111</v>
      </c>
      <c r="F983" t="str">
        <f>VLOOKUP(G983,PC!B:D,2,FALSE)</f>
        <v>RECEITA</v>
      </c>
      <c r="G983" s="4" t="s">
        <v>54</v>
      </c>
      <c r="H983" s="1">
        <f>263.5+150+30+140+190+66+250</f>
        <v>1089.5</v>
      </c>
    </row>
    <row r="984" spans="2:8" x14ac:dyDescent="0.2">
      <c r="B984" t="str">
        <f>VLOOKUP(G984,PC!B:D,3,FALSE)</f>
        <v>RECEITA</v>
      </c>
      <c r="C984" s="22">
        <v>2023</v>
      </c>
      <c r="D984" t="s">
        <v>111</v>
      </c>
      <c r="F984" t="str">
        <f>VLOOKUP(G984,PC!B:D,2,FALSE)</f>
        <v>RECEITA</v>
      </c>
      <c r="G984" s="4" t="s">
        <v>54</v>
      </c>
      <c r="H984" s="1">
        <v>400</v>
      </c>
    </row>
    <row r="985" spans="2:8" x14ac:dyDescent="0.2">
      <c r="B985" t="str">
        <f>VLOOKUP(G985,PC!B:D,3,FALSE)</f>
        <v>RECEITA</v>
      </c>
      <c r="C985" s="22">
        <v>2023</v>
      </c>
      <c r="D985" t="s">
        <v>111</v>
      </c>
      <c r="F985" t="str">
        <f>VLOOKUP(G985,PC!B:D,2,FALSE)</f>
        <v>RECEITA</v>
      </c>
      <c r="G985" s="4" t="s">
        <v>54</v>
      </c>
      <c r="H985" s="1">
        <v>1850</v>
      </c>
    </row>
    <row r="986" spans="2:8" x14ac:dyDescent="0.2">
      <c r="B986" t="str">
        <f>VLOOKUP(G986,PC!B:D,3,FALSE)</f>
        <v>DESPESA PESSOAL</v>
      </c>
      <c r="C986" s="22">
        <v>2023</v>
      </c>
      <c r="D986" t="s">
        <v>111</v>
      </c>
      <c r="F986" t="str">
        <f>VLOOKUP(G986,PC!B:D,2,FALSE)</f>
        <v>DESPESA PESSOAL</v>
      </c>
      <c r="G986" s="4" t="s">
        <v>56</v>
      </c>
      <c r="H986" s="1">
        <v>300</v>
      </c>
    </row>
    <row r="987" spans="2:8" x14ac:dyDescent="0.2">
      <c r="B987" t="str">
        <f>VLOOKUP(G987,PC!B:D,3,FALSE)</f>
        <v>DESPESA PESSOAL</v>
      </c>
      <c r="C987" s="22">
        <v>2023</v>
      </c>
      <c r="D987" t="s">
        <v>111</v>
      </c>
      <c r="F987" t="str">
        <f>VLOOKUP(G987,PC!B:D,2,FALSE)</f>
        <v>DESPESA PESSOAL</v>
      </c>
      <c r="G987" s="4" t="s">
        <v>56</v>
      </c>
      <c r="H987" s="1">
        <v>40</v>
      </c>
    </row>
    <row r="988" spans="2:8" x14ac:dyDescent="0.2">
      <c r="B988" t="str">
        <f>VLOOKUP(G988,PC!B:D,3,FALSE)</f>
        <v>RECEITA</v>
      </c>
      <c r="C988" s="22">
        <v>2023</v>
      </c>
      <c r="D988" t="s">
        <v>111</v>
      </c>
      <c r="F988" t="str">
        <f>VLOOKUP(G988,PC!B:D,2,FALSE)</f>
        <v>RECEITA</v>
      </c>
      <c r="G988" s="4" t="s">
        <v>54</v>
      </c>
      <c r="H988" s="1">
        <v>2000</v>
      </c>
    </row>
    <row r="989" spans="2:8" x14ac:dyDescent="0.2">
      <c r="B989" t="str">
        <f>VLOOKUP(G989,PC!B:D,3,FALSE)</f>
        <v>RECEITA</v>
      </c>
      <c r="C989" s="22">
        <v>2023</v>
      </c>
      <c r="D989" t="s">
        <v>111</v>
      </c>
      <c r="F989" t="str">
        <f>VLOOKUP(G989,PC!B:D,2,FALSE)</f>
        <v>RECEITA</v>
      </c>
      <c r="G989" s="4" t="s">
        <v>54</v>
      </c>
      <c r="H989" s="1">
        <v>340</v>
      </c>
    </row>
    <row r="990" spans="2:8" x14ac:dyDescent="0.2">
      <c r="B990" t="str">
        <f>VLOOKUP(G990,PC!B:D,3,FALSE)</f>
        <v>RECEITA</v>
      </c>
      <c r="C990" s="22">
        <v>2023</v>
      </c>
      <c r="D990" t="s">
        <v>111</v>
      </c>
      <c r="F990" t="str">
        <f>VLOOKUP(G990,PC!B:D,2,FALSE)</f>
        <v>RECEITA</v>
      </c>
      <c r="G990" s="4" t="s">
        <v>136</v>
      </c>
      <c r="H990" s="1">
        <v>18384</v>
      </c>
    </row>
    <row r="991" spans="2:8" x14ac:dyDescent="0.2">
      <c r="B991" t="str">
        <f>VLOOKUP(G991,PC!B:D,3,FALSE)</f>
        <v>RECEITA</v>
      </c>
      <c r="C991" s="22">
        <v>2023</v>
      </c>
      <c r="D991" t="s">
        <v>111</v>
      </c>
      <c r="F991" t="str">
        <f>VLOOKUP(G991,PC!B:D,2,FALSE)</f>
        <v>RECEITA</v>
      </c>
      <c r="G991" s="4" t="s">
        <v>137</v>
      </c>
      <c r="H991" s="1">
        <v>1065.5</v>
      </c>
    </row>
    <row r="992" spans="2:8" x14ac:dyDescent="0.2">
      <c r="B992" t="str">
        <f>VLOOKUP(G992,PC!B:D,3,FALSE)</f>
        <v>RECEITA</v>
      </c>
      <c r="C992" s="22">
        <v>2023</v>
      </c>
      <c r="D992" t="s">
        <v>111</v>
      </c>
      <c r="F992" t="str">
        <f>VLOOKUP(G992,PC!B:D,2,FALSE)</f>
        <v>RECEITA</v>
      </c>
      <c r="G992" s="4" t="s">
        <v>136</v>
      </c>
      <c r="H992" s="1">
        <v>844.7</v>
      </c>
    </row>
    <row r="993" spans="2:9" x14ac:dyDescent="0.2">
      <c r="B993" t="str">
        <f>VLOOKUP(G993,PC!B:D,3,FALSE)</f>
        <v>DESCONTO DE FATURAMENTO</v>
      </c>
      <c r="C993" s="22">
        <v>2023</v>
      </c>
      <c r="D993" t="s">
        <v>111</v>
      </c>
      <c r="F993" t="str">
        <f>VLOOKUP(G993,PC!B:D,2,FALSE)</f>
        <v>OUTROS DESCONTOS</v>
      </c>
      <c r="G993" s="4" t="s">
        <v>63</v>
      </c>
      <c r="H993" s="1">
        <f>H992-833.9</f>
        <v>10.800000000000068</v>
      </c>
    </row>
    <row r="994" spans="2:9" x14ac:dyDescent="0.2">
      <c r="B994" t="str">
        <f>VLOOKUP(G994,PC!B:D,3,FALSE)</f>
        <v>RECEITA</v>
      </c>
      <c r="C994" s="22">
        <v>2023</v>
      </c>
      <c r="D994" t="s">
        <v>111</v>
      </c>
      <c r="F994" t="str">
        <f>VLOOKUP(G994,PC!B:D,2,FALSE)</f>
        <v>RECEITA</v>
      </c>
      <c r="G994" s="4" t="s">
        <v>137</v>
      </c>
      <c r="H994" s="1">
        <v>11744.85</v>
      </c>
    </row>
    <row r="995" spans="2:9" x14ac:dyDescent="0.2">
      <c r="B995" t="str">
        <f>VLOOKUP(G995,PC!B:D,3,FALSE)</f>
        <v>DESCONTO DE FATURAMENTO</v>
      </c>
      <c r="C995" s="22">
        <v>2023</v>
      </c>
      <c r="D995" t="s">
        <v>111</v>
      </c>
      <c r="F995" t="str">
        <f>VLOOKUP(G995,PC!B:D,2,FALSE)</f>
        <v>OUTROS DESCONTOS</v>
      </c>
      <c r="G995" s="4" t="s">
        <v>63</v>
      </c>
      <c r="H995" s="1">
        <f>H994-11496.64</f>
        <v>248.21000000000095</v>
      </c>
      <c r="I995" s="20">
        <f>H995/H994</f>
        <v>2.1133518095165196E-2</v>
      </c>
    </row>
    <row r="996" spans="2:9" x14ac:dyDescent="0.2">
      <c r="B996" t="str">
        <f>VLOOKUP(G996,PC!B:D,3,FALSE)</f>
        <v>DESPESA PESSOAL</v>
      </c>
      <c r="C996" s="22">
        <v>2023</v>
      </c>
      <c r="D996" t="s">
        <v>111</v>
      </c>
      <c r="F996" t="str">
        <f>VLOOKUP(G996,PC!B:D,2,FALSE)</f>
        <v>DESPESA PESSOAL</v>
      </c>
      <c r="G996" s="4" t="s">
        <v>56</v>
      </c>
      <c r="H996" s="1">
        <v>350</v>
      </c>
    </row>
    <row r="997" spans="2:9" x14ac:dyDescent="0.2">
      <c r="B997" t="str">
        <f>VLOOKUP(G997,PC!B:D,3,FALSE)</f>
        <v>DESPESA PESSOAL</v>
      </c>
      <c r="C997" s="22">
        <v>2023</v>
      </c>
      <c r="D997" t="s">
        <v>111</v>
      </c>
      <c r="F997" t="str">
        <f>VLOOKUP(G997,PC!B:D,2,FALSE)</f>
        <v>DESPESA PESSOAL</v>
      </c>
      <c r="G997" s="4" t="s">
        <v>124</v>
      </c>
      <c r="H997" s="1">
        <v>650</v>
      </c>
    </row>
    <row r="998" spans="2:9" x14ac:dyDescent="0.2">
      <c r="B998" t="str">
        <f>VLOOKUP(G998,PC!B:D,3,FALSE)</f>
        <v>RECEITA</v>
      </c>
      <c r="C998" s="22">
        <v>2023</v>
      </c>
      <c r="D998" t="s">
        <v>111</v>
      </c>
      <c r="F998" t="str">
        <f>VLOOKUP(G998,PC!B:D,2,FALSE)</f>
        <v>RECEITA</v>
      </c>
      <c r="G998" s="4" t="s">
        <v>54</v>
      </c>
      <c r="H998" s="1">
        <v>2150</v>
      </c>
    </row>
    <row r="999" spans="2:9" x14ac:dyDescent="0.2">
      <c r="B999" t="str">
        <f>VLOOKUP(G999,PC!B:D,3,FALSE)</f>
        <v>RECEITA</v>
      </c>
      <c r="C999" s="22">
        <v>2023</v>
      </c>
      <c r="D999" t="s">
        <v>111</v>
      </c>
      <c r="F999" t="str">
        <f>VLOOKUP(G999,PC!B:D,2,FALSE)</f>
        <v>RECEITA</v>
      </c>
      <c r="G999" s="4" t="s">
        <v>54</v>
      </c>
      <c r="H999" s="1">
        <v>1000</v>
      </c>
    </row>
    <row r="1000" spans="2:9" x14ac:dyDescent="0.2">
      <c r="B1000" t="str">
        <f>VLOOKUP(G1000,PC!B:D,3,FALSE)</f>
        <v>CPV</v>
      </c>
      <c r="C1000" s="22">
        <v>2023</v>
      </c>
      <c r="D1000" t="s">
        <v>111</v>
      </c>
      <c r="F1000" t="str">
        <f>VLOOKUP(G1000,PC!B:D,2,FALSE)</f>
        <v>SOBREMESA</v>
      </c>
      <c r="G1000" s="4" t="s">
        <v>75</v>
      </c>
      <c r="H1000" s="1">
        <v>827.88</v>
      </c>
    </row>
    <row r="1001" spans="2:9" x14ac:dyDescent="0.2">
      <c r="B1001" t="str">
        <f>VLOOKUP(G1001,PC!B:D,3,FALSE)</f>
        <v>CPV</v>
      </c>
      <c r="C1001" s="22">
        <v>2023</v>
      </c>
      <c r="D1001" t="s">
        <v>111</v>
      </c>
      <c r="E1001" t="s">
        <v>45</v>
      </c>
      <c r="F1001" t="str">
        <f>VLOOKUP(G1001,PC!B:D,2,FALSE)</f>
        <v>LIMPEZA</v>
      </c>
      <c r="G1001" s="4" t="s">
        <v>43</v>
      </c>
      <c r="H1001" s="1">
        <f>111.27+37.09+37.09+151.81</f>
        <v>337.26</v>
      </c>
    </row>
    <row r="1002" spans="2:9" x14ac:dyDescent="0.2">
      <c r="B1002" t="str">
        <f>VLOOKUP(G1002,PC!B:D,3,FALSE)</f>
        <v>CPV</v>
      </c>
      <c r="C1002" s="22">
        <v>2023</v>
      </c>
      <c r="D1002" t="s">
        <v>111</v>
      </c>
      <c r="E1002" t="s">
        <v>45</v>
      </c>
      <c r="F1002" t="str">
        <f>VLOOKUP(G1002,PC!B:D,2,FALSE)</f>
        <v>COMIDA</v>
      </c>
      <c r="G1002" s="4" t="s">
        <v>38</v>
      </c>
      <c r="H1002" s="1">
        <f>21.66+77.62</f>
        <v>99.28</v>
      </c>
    </row>
    <row r="1003" spans="2:9" x14ac:dyDescent="0.2">
      <c r="B1003" t="str">
        <f>VLOOKUP(G1003,PC!B:D,3,FALSE)</f>
        <v>CPV</v>
      </c>
      <c r="C1003" s="22">
        <v>2023</v>
      </c>
      <c r="D1003" t="s">
        <v>111</v>
      </c>
      <c r="E1003" t="s">
        <v>45</v>
      </c>
      <c r="F1003" t="str">
        <f>VLOOKUP(G1003,PC!B:D,2,FALSE)</f>
        <v>SOBREMESA</v>
      </c>
      <c r="G1003" s="4" t="s">
        <v>7</v>
      </c>
      <c r="H1003" s="1">
        <f>170.1+64.16</f>
        <v>234.26</v>
      </c>
    </row>
    <row r="1004" spans="2:9" x14ac:dyDescent="0.2">
      <c r="B1004" t="str">
        <f>VLOOKUP(G1004,PC!B:D,3,FALSE)</f>
        <v>CPV</v>
      </c>
      <c r="C1004" s="22">
        <v>2023</v>
      </c>
      <c r="D1004" t="s">
        <v>111</v>
      </c>
      <c r="E1004" t="s">
        <v>45</v>
      </c>
      <c r="F1004" t="str">
        <f>VLOOKUP(G1004,PC!B:D,2,FALSE)</f>
        <v>OUTROS</v>
      </c>
      <c r="G1004" s="4" t="s">
        <v>37</v>
      </c>
      <c r="H1004" s="1">
        <v>204.12</v>
      </c>
    </row>
    <row r="1005" spans="2:9" x14ac:dyDescent="0.2">
      <c r="B1005" t="str">
        <f>VLOOKUP(G1005,PC!B:D,3,FALSE)</f>
        <v>CPV</v>
      </c>
      <c r="C1005" s="22">
        <v>2023</v>
      </c>
      <c r="D1005" t="s">
        <v>111</v>
      </c>
      <c r="E1005" t="s">
        <v>35</v>
      </c>
      <c r="F1005" t="str">
        <f>VLOOKUP(G1005,PC!B:D,2,FALSE)</f>
        <v>OUTROS</v>
      </c>
      <c r="G1005" s="4" t="s">
        <v>37</v>
      </c>
      <c r="H1005" s="1">
        <v>64.040000000000006</v>
      </c>
    </row>
    <row r="1006" spans="2:9" x14ac:dyDescent="0.2">
      <c r="B1006" t="str">
        <f>VLOOKUP(G1006,PC!B:D,3,FALSE)</f>
        <v>CPV</v>
      </c>
      <c r="C1006" s="22">
        <v>2023</v>
      </c>
      <c r="D1006" t="s">
        <v>111</v>
      </c>
      <c r="E1006" t="s">
        <v>35</v>
      </c>
      <c r="F1006" t="str">
        <f>VLOOKUP(G1006,PC!B:D,2,FALSE)</f>
        <v>HIGIENE</v>
      </c>
      <c r="G1006" s="4" t="s">
        <v>36</v>
      </c>
      <c r="H1006" s="1">
        <f>99.24+30.3+30.3</f>
        <v>159.84</v>
      </c>
    </row>
    <row r="1007" spans="2:9" x14ac:dyDescent="0.2">
      <c r="B1007" t="str">
        <f>VLOOKUP(G1007,PC!B:D,3,FALSE)</f>
        <v>CPV</v>
      </c>
      <c r="C1007" s="22">
        <v>2023</v>
      </c>
      <c r="D1007" t="s">
        <v>111</v>
      </c>
      <c r="E1007" t="s">
        <v>35</v>
      </c>
      <c r="F1007" t="str">
        <f>VLOOKUP(G1007,PC!B:D,2,FALSE)</f>
        <v>LIMPEZA</v>
      </c>
      <c r="G1007" s="4" t="s">
        <v>43</v>
      </c>
      <c r="H1007" s="1">
        <f>126.69+77.48</f>
        <v>204.17000000000002</v>
      </c>
    </row>
    <row r="1008" spans="2:9" x14ac:dyDescent="0.2">
      <c r="B1008" t="str">
        <f>VLOOKUP(G1008,PC!B:D,3,FALSE)</f>
        <v>CPV</v>
      </c>
      <c r="C1008" s="22">
        <v>2023</v>
      </c>
      <c r="D1008" t="s">
        <v>111</v>
      </c>
      <c r="E1008" t="s">
        <v>35</v>
      </c>
      <c r="F1008" t="str">
        <f>VLOOKUP(G1008,PC!B:D,2,FALSE)</f>
        <v>COMIDA</v>
      </c>
      <c r="G1008" s="4" t="s">
        <v>38</v>
      </c>
      <c r="H1008" s="1">
        <v>125.9</v>
      </c>
    </row>
    <row r="1009" spans="2:8" x14ac:dyDescent="0.2">
      <c r="B1009" t="str">
        <f>VLOOKUP(G1009,PC!B:D,3,FALSE)</f>
        <v>CPV</v>
      </c>
      <c r="C1009" s="22">
        <v>2023</v>
      </c>
      <c r="D1009" t="s">
        <v>111</v>
      </c>
      <c r="E1009" t="s">
        <v>35</v>
      </c>
      <c r="F1009" t="str">
        <f>VLOOKUP(G1009,PC!B:D,2,FALSE)</f>
        <v>COMIDA</v>
      </c>
      <c r="G1009" s="4" t="s">
        <v>38</v>
      </c>
      <c r="H1009" s="1">
        <f>34.35+25.3</f>
        <v>59.650000000000006</v>
      </c>
    </row>
    <row r="1010" spans="2:8" x14ac:dyDescent="0.2">
      <c r="B1010" t="str">
        <f>VLOOKUP(G1010,PC!B:D,3,FALSE)</f>
        <v>CPV</v>
      </c>
      <c r="C1010" s="22">
        <v>2023</v>
      </c>
      <c r="D1010" t="s">
        <v>111</v>
      </c>
      <c r="E1010" t="s">
        <v>35</v>
      </c>
      <c r="F1010" t="str">
        <f>VLOOKUP(G1010,PC!B:D,2,FALSE)</f>
        <v>BEBIDAS</v>
      </c>
      <c r="G1010" s="4" t="s">
        <v>46</v>
      </c>
      <c r="H1010" s="1">
        <f>11.79+(2*47.16)+11.79+23.58</f>
        <v>141.47999999999996</v>
      </c>
    </row>
    <row r="1011" spans="2:8" x14ac:dyDescent="0.2">
      <c r="B1011" t="str">
        <f>VLOOKUP(G1011,PC!B:D,3,FALSE)</f>
        <v>CPV</v>
      </c>
      <c r="C1011" s="22">
        <v>2023</v>
      </c>
      <c r="D1011" t="s">
        <v>112</v>
      </c>
      <c r="E1011" t="s">
        <v>5</v>
      </c>
      <c r="F1011" t="str">
        <f>VLOOKUP(G1011,PC!B:D,2,FALSE)</f>
        <v>COMIDA</v>
      </c>
      <c r="G1011" s="4" t="s">
        <v>18</v>
      </c>
      <c r="H1011" s="1">
        <v>160.01</v>
      </c>
    </row>
    <row r="1012" spans="2:8" x14ac:dyDescent="0.2">
      <c r="B1012" t="str">
        <f>VLOOKUP(G1012,PC!B:D,3,FALSE)</f>
        <v>CPV</v>
      </c>
      <c r="C1012" s="22">
        <v>2023</v>
      </c>
      <c r="D1012" t="s">
        <v>111</v>
      </c>
      <c r="E1012" t="s">
        <v>77</v>
      </c>
      <c r="F1012" t="str">
        <f>VLOOKUP(G1012,PC!B:D,2,FALSE)</f>
        <v>OUTROS</v>
      </c>
      <c r="G1012" s="4" t="s">
        <v>37</v>
      </c>
      <c r="H1012" s="1">
        <v>1009.74</v>
      </c>
    </row>
    <row r="1013" spans="2:8" x14ac:dyDescent="0.2">
      <c r="B1013" t="str">
        <f>VLOOKUP(G1013,PC!B:D,3,FALSE)</f>
        <v>CPV</v>
      </c>
      <c r="C1013" s="22">
        <v>2023</v>
      </c>
      <c r="D1013" t="s">
        <v>111</v>
      </c>
      <c r="E1013" t="s">
        <v>28</v>
      </c>
      <c r="F1013" t="str">
        <f>VLOOKUP(G1013,PC!B:D,2,FALSE)</f>
        <v>BEBIDAS</v>
      </c>
      <c r="G1013" s="4" t="s">
        <v>25</v>
      </c>
      <c r="H1013" s="1">
        <v>215.6</v>
      </c>
    </row>
    <row r="1014" spans="2:8" x14ac:dyDescent="0.2">
      <c r="B1014" t="str">
        <f>VLOOKUP(G1014,PC!B:D,3,FALSE)</f>
        <v>CPV</v>
      </c>
      <c r="C1014" s="22">
        <v>2023</v>
      </c>
      <c r="D1014" t="s">
        <v>111</v>
      </c>
      <c r="E1014" t="s">
        <v>14</v>
      </c>
      <c r="F1014" t="str">
        <f>VLOOKUP(G1014,PC!B:D,2,FALSE)</f>
        <v>BEBIDAS</v>
      </c>
      <c r="G1014" s="4" t="s">
        <v>80</v>
      </c>
      <c r="H1014" s="1">
        <v>48.61</v>
      </c>
    </row>
    <row r="1015" spans="2:8" x14ac:dyDescent="0.2">
      <c r="B1015" t="str">
        <f>VLOOKUP(G1015,PC!B:D,3,FALSE)</f>
        <v>CPV</v>
      </c>
      <c r="C1015" s="22">
        <v>2023</v>
      </c>
      <c r="D1015" t="s">
        <v>111</v>
      </c>
      <c r="E1015" t="s">
        <v>14</v>
      </c>
      <c r="F1015" t="str">
        <f>VLOOKUP(G1015,PC!B:D,2,FALSE)</f>
        <v>BEBIDAS</v>
      </c>
      <c r="G1015" s="4" t="s">
        <v>51</v>
      </c>
      <c r="H1015" s="1">
        <v>20.260000000000002</v>
      </c>
    </row>
    <row r="1016" spans="2:8" x14ac:dyDescent="0.2">
      <c r="B1016" t="str">
        <f>VLOOKUP(G1016,PC!B:D,3,FALSE)</f>
        <v>CPV</v>
      </c>
      <c r="C1016" s="22">
        <v>2023</v>
      </c>
      <c r="D1016" t="s">
        <v>111</v>
      </c>
      <c r="E1016" t="s">
        <v>14</v>
      </c>
      <c r="F1016" t="str">
        <f>VLOOKUP(G1016,PC!B:D,2,FALSE)</f>
        <v>BEBIDAS</v>
      </c>
      <c r="G1016" s="4" t="s">
        <v>26</v>
      </c>
      <c r="H1016" s="1">
        <v>458.89</v>
      </c>
    </row>
    <row r="1017" spans="2:8" x14ac:dyDescent="0.2">
      <c r="B1017" t="str">
        <f>VLOOKUP(G1017,PC!B:D,3,FALSE)</f>
        <v>CPV</v>
      </c>
      <c r="C1017" s="22">
        <v>2023</v>
      </c>
      <c r="D1017" t="s">
        <v>111</v>
      </c>
      <c r="E1017" t="s">
        <v>14</v>
      </c>
      <c r="F1017" t="str">
        <f>VLOOKUP(G1017,PC!B:D,2,FALSE)</f>
        <v>BEBIDAS</v>
      </c>
      <c r="G1017" s="4" t="s">
        <v>25</v>
      </c>
      <c r="H1017" s="1">
        <f>879.43-H1016</f>
        <v>420.53999999999996</v>
      </c>
    </row>
    <row r="1018" spans="2:8" x14ac:dyDescent="0.2">
      <c r="B1018" t="str">
        <f>VLOOKUP(G1018,PC!B:D,3,FALSE)</f>
        <v>CPV</v>
      </c>
      <c r="C1018" s="22">
        <v>2023</v>
      </c>
      <c r="D1018" t="s">
        <v>112</v>
      </c>
      <c r="E1018" t="s">
        <v>129</v>
      </c>
      <c r="F1018" t="str">
        <f>VLOOKUP(G1018,PC!B:D,2,FALSE)</f>
        <v>CIGARRO</v>
      </c>
      <c r="G1018" s="4" t="s">
        <v>131</v>
      </c>
      <c r="H1018" s="1">
        <v>70</v>
      </c>
    </row>
    <row r="1019" spans="2:8" x14ac:dyDescent="0.2">
      <c r="B1019" t="str">
        <f>VLOOKUP(G1019,PC!B:D,3,FALSE)</f>
        <v>CPV</v>
      </c>
      <c r="C1019" s="22">
        <v>2023</v>
      </c>
      <c r="D1019" t="s">
        <v>112</v>
      </c>
      <c r="E1019" t="s">
        <v>129</v>
      </c>
      <c r="F1019" t="str">
        <f>VLOOKUP(G1019,PC!B:D,2,FALSE)</f>
        <v>CIGARRO</v>
      </c>
      <c r="G1019" s="4" t="s">
        <v>57</v>
      </c>
      <c r="H1019" s="1">
        <f>964-H1018</f>
        <v>894</v>
      </c>
    </row>
    <row r="1020" spans="2:8" x14ac:dyDescent="0.2">
      <c r="B1020" t="str">
        <f>VLOOKUP(G1020,PC!B:D,3,FALSE)</f>
        <v>CPV</v>
      </c>
      <c r="C1020" s="22">
        <v>2023</v>
      </c>
      <c r="D1020" t="s">
        <v>112</v>
      </c>
      <c r="E1020" t="s">
        <v>28</v>
      </c>
      <c r="F1020" t="str">
        <f>VLOOKUP(G1020,PC!B:D,2,FALSE)</f>
        <v>BEBIDAS</v>
      </c>
      <c r="G1020" s="4" t="s">
        <v>26</v>
      </c>
      <c r="H1020" s="1">
        <v>748.7</v>
      </c>
    </row>
    <row r="1021" spans="2:8" x14ac:dyDescent="0.2">
      <c r="B1021" t="str">
        <f>VLOOKUP(G1021,PC!B:D,3,FALSE)</f>
        <v>CPV</v>
      </c>
      <c r="C1021" s="22">
        <v>2023</v>
      </c>
      <c r="D1021" t="s">
        <v>111</v>
      </c>
      <c r="E1021" t="s">
        <v>101</v>
      </c>
      <c r="F1021" t="str">
        <f>VLOOKUP(G1021,PC!B:D,2,FALSE)</f>
        <v>COMIDA</v>
      </c>
      <c r="G1021" s="4" t="s">
        <v>34</v>
      </c>
      <c r="H1021" s="1">
        <v>226.87</v>
      </c>
    </row>
    <row r="1022" spans="2:8" x14ac:dyDescent="0.2">
      <c r="B1022" t="str">
        <f>VLOOKUP(G1022,PC!B:D,3,FALSE)</f>
        <v>CPV</v>
      </c>
      <c r="C1022" s="22">
        <v>2023</v>
      </c>
      <c r="D1022" t="s">
        <v>111</v>
      </c>
      <c r="E1022" t="s">
        <v>28</v>
      </c>
      <c r="F1022" t="str">
        <f>VLOOKUP(G1022,PC!B:D,2,FALSE)</f>
        <v>BEBIDAS</v>
      </c>
      <c r="G1022" s="4" t="s">
        <v>26</v>
      </c>
      <c r="H1022" s="1">
        <v>5326.1</v>
      </c>
    </row>
    <row r="1023" spans="2:8" x14ac:dyDescent="0.2">
      <c r="B1023" t="str">
        <f>VLOOKUP(G1023,PC!B:D,3,FALSE)</f>
        <v>CPV</v>
      </c>
      <c r="C1023" s="22">
        <v>2023</v>
      </c>
      <c r="D1023" t="s">
        <v>111</v>
      </c>
      <c r="E1023" t="s">
        <v>24</v>
      </c>
      <c r="F1023" t="str">
        <f>VLOOKUP(G1023,PC!B:D,2,FALSE)</f>
        <v>COMIDA</v>
      </c>
      <c r="G1023" s="4" t="s">
        <v>33</v>
      </c>
      <c r="H1023" s="1">
        <v>179.8</v>
      </c>
    </row>
    <row r="1024" spans="2:8" x14ac:dyDescent="0.2">
      <c r="B1024" t="str">
        <f>VLOOKUP(G1024,PC!B:D,3,FALSE)</f>
        <v>CPV</v>
      </c>
      <c r="C1024" s="22">
        <v>2023</v>
      </c>
      <c r="D1024" t="s">
        <v>111</v>
      </c>
      <c r="E1024" t="s">
        <v>16</v>
      </c>
      <c r="F1024" t="str">
        <f>VLOOKUP(G1024,PC!B:D,2,FALSE)</f>
        <v>COMIDA</v>
      </c>
      <c r="G1024" s="4" t="s">
        <v>12</v>
      </c>
      <c r="H1024" s="1">
        <v>173.08</v>
      </c>
    </row>
    <row r="1025" spans="2:8" x14ac:dyDescent="0.2">
      <c r="B1025" t="str">
        <f>VLOOKUP(G1025,PC!B:D,3,FALSE)</f>
        <v>CPV</v>
      </c>
      <c r="C1025" s="22">
        <v>2023</v>
      </c>
      <c r="D1025" t="s">
        <v>111</v>
      </c>
      <c r="E1025" t="s">
        <v>21</v>
      </c>
      <c r="F1025" t="str">
        <f>VLOOKUP(G1025,PC!B:D,2,FALSE)</f>
        <v>SOBREMESA</v>
      </c>
      <c r="G1025" s="4" t="s">
        <v>23</v>
      </c>
      <c r="H1025" s="1">
        <v>275.17</v>
      </c>
    </row>
    <row r="1026" spans="2:8" x14ac:dyDescent="0.2">
      <c r="B1026" t="str">
        <f>VLOOKUP(G1026,PC!B:D,3,FALSE)</f>
        <v>RECEITA</v>
      </c>
      <c r="C1026" s="22">
        <v>2023</v>
      </c>
      <c r="D1026" t="s">
        <v>111</v>
      </c>
      <c r="E1026" t="s">
        <v>35</v>
      </c>
      <c r="F1026" t="str">
        <f>VLOOKUP(G1026,PC!B:D,2,FALSE)</f>
        <v>RECEITA</v>
      </c>
      <c r="G1026" s="4" t="s">
        <v>83</v>
      </c>
      <c r="H1026" s="1">
        <v>40.200000000000003</v>
      </c>
    </row>
    <row r="1027" spans="2:8" x14ac:dyDescent="0.2">
      <c r="B1027" t="str">
        <f>VLOOKUP(G1027,PC!B:D,3,FALSE)</f>
        <v>CPV</v>
      </c>
      <c r="C1027" s="22">
        <v>2023</v>
      </c>
      <c r="D1027" t="s">
        <v>111</v>
      </c>
      <c r="E1027" t="s">
        <v>49</v>
      </c>
      <c r="F1027" t="str">
        <f>VLOOKUP(G1027,PC!B:D,2,FALSE)</f>
        <v>CIGARRO</v>
      </c>
      <c r="G1027" s="4" t="s">
        <v>52</v>
      </c>
      <c r="H1027" s="1">
        <v>14024.73</v>
      </c>
    </row>
    <row r="1028" spans="2:8" x14ac:dyDescent="0.2">
      <c r="B1028" t="str">
        <f>VLOOKUP(G1028,PC!B:D,3,FALSE)</f>
        <v>CPV</v>
      </c>
      <c r="C1028" s="22">
        <v>2023</v>
      </c>
      <c r="D1028" t="s">
        <v>111</v>
      </c>
      <c r="E1028" t="s">
        <v>35</v>
      </c>
      <c r="F1028" t="str">
        <f>VLOOKUP(G1028,PC!B:D,2,FALSE)</f>
        <v>BEBIDAS</v>
      </c>
      <c r="G1028" s="4" t="s">
        <v>51</v>
      </c>
      <c r="H1028" s="1">
        <v>131.4</v>
      </c>
    </row>
    <row r="1029" spans="2:8" x14ac:dyDescent="0.2">
      <c r="B1029" t="str">
        <f>VLOOKUP(G1029,PC!B:D,3,FALSE)</f>
        <v>CPV</v>
      </c>
      <c r="C1029" s="22">
        <v>2023</v>
      </c>
      <c r="D1029" t="s">
        <v>111</v>
      </c>
      <c r="E1029" t="s">
        <v>35</v>
      </c>
      <c r="F1029" t="str">
        <f>VLOOKUP(G1029,PC!B:D,2,FALSE)</f>
        <v>LIMPEZA</v>
      </c>
      <c r="G1029" s="4" t="s">
        <v>43</v>
      </c>
      <c r="H1029" s="1">
        <v>110.04</v>
      </c>
    </row>
    <row r="1030" spans="2:8" x14ac:dyDescent="0.2">
      <c r="B1030" t="str">
        <f>VLOOKUP(G1030,PC!B:D,3,FALSE)</f>
        <v>CPV</v>
      </c>
      <c r="C1030" s="22">
        <v>2023</v>
      </c>
      <c r="D1030" t="s">
        <v>111</v>
      </c>
      <c r="E1030" t="s">
        <v>35</v>
      </c>
      <c r="F1030" t="str">
        <f>VLOOKUP(G1030,PC!B:D,2,FALSE)</f>
        <v>SOBREMESA</v>
      </c>
      <c r="G1030" s="4" t="s">
        <v>8</v>
      </c>
      <c r="H1030" s="1">
        <v>26.95</v>
      </c>
    </row>
    <row r="1031" spans="2:8" x14ac:dyDescent="0.2">
      <c r="B1031" t="str">
        <f>VLOOKUP(G1031,PC!B:D,3,FALSE)</f>
        <v>CPV</v>
      </c>
      <c r="C1031" s="22">
        <v>2023</v>
      </c>
      <c r="D1031" t="s">
        <v>111</v>
      </c>
      <c r="E1031" t="s">
        <v>35</v>
      </c>
      <c r="F1031" t="str">
        <f>VLOOKUP(G1031,PC!B:D,2,FALSE)</f>
        <v>COMIDA</v>
      </c>
      <c r="G1031" s="4" t="s">
        <v>22</v>
      </c>
      <c r="H1031" s="1">
        <v>21</v>
      </c>
    </row>
    <row r="1032" spans="2:8" x14ac:dyDescent="0.2">
      <c r="B1032" t="str">
        <f>VLOOKUP(G1032,PC!B:D,3,FALSE)</f>
        <v>CPV</v>
      </c>
      <c r="C1032" s="22">
        <v>2023</v>
      </c>
      <c r="D1032" t="s">
        <v>111</v>
      </c>
      <c r="E1032" t="s">
        <v>35</v>
      </c>
      <c r="F1032" t="str">
        <f>VLOOKUP(G1032,PC!B:D,2,FALSE)</f>
        <v>HIGIENE</v>
      </c>
      <c r="G1032" s="4" t="s">
        <v>36</v>
      </c>
      <c r="H1032" s="1">
        <v>147.16</v>
      </c>
    </row>
    <row r="1033" spans="2:8" x14ac:dyDescent="0.2">
      <c r="B1033" t="str">
        <f>VLOOKUP(G1033,PC!B:D,3,FALSE)</f>
        <v>CPV</v>
      </c>
      <c r="C1033" s="22">
        <v>2023</v>
      </c>
      <c r="D1033" t="s">
        <v>111</v>
      </c>
      <c r="E1033" t="s">
        <v>35</v>
      </c>
      <c r="F1033" t="str">
        <f>VLOOKUP(G1033,PC!B:D,2,FALSE)</f>
        <v>SOBREMESA</v>
      </c>
      <c r="G1033" s="4" t="s">
        <v>8</v>
      </c>
      <c r="H1033" s="1">
        <f>21.96+16.47+21.96</f>
        <v>60.39</v>
      </c>
    </row>
    <row r="1034" spans="2:8" x14ac:dyDescent="0.2">
      <c r="B1034" t="str">
        <f>VLOOKUP(G1034,PC!B:D,3,FALSE)</f>
        <v>CPV</v>
      </c>
      <c r="C1034" s="22">
        <v>2023</v>
      </c>
      <c r="D1034" t="s">
        <v>111</v>
      </c>
      <c r="E1034" t="s">
        <v>35</v>
      </c>
      <c r="F1034" t="str">
        <f>VLOOKUP(G1034,PC!B:D,2,FALSE)</f>
        <v>COMIDA</v>
      </c>
      <c r="G1034" s="4" t="s">
        <v>38</v>
      </c>
      <c r="H1034" s="1">
        <v>90</v>
      </c>
    </row>
    <row r="1035" spans="2:8" x14ac:dyDescent="0.2">
      <c r="B1035" t="str">
        <f>VLOOKUP(G1035,PC!B:D,3,FALSE)</f>
        <v>CPV</v>
      </c>
      <c r="C1035" s="22">
        <v>2023</v>
      </c>
      <c r="D1035" t="s">
        <v>111</v>
      </c>
      <c r="E1035" t="s">
        <v>35</v>
      </c>
      <c r="F1035" t="str">
        <f>VLOOKUP(G1035,PC!B:D,2,FALSE)</f>
        <v>COMIDA</v>
      </c>
      <c r="G1035" s="4" t="s">
        <v>38</v>
      </c>
      <c r="H1035" s="1">
        <v>103.23</v>
      </c>
    </row>
    <row r="1036" spans="2:8" x14ac:dyDescent="0.2">
      <c r="B1036" t="str">
        <f>VLOOKUP(G1036,PC!B:D,3,FALSE)</f>
        <v>CPV</v>
      </c>
      <c r="C1036" s="22">
        <v>2023</v>
      </c>
      <c r="D1036" t="s">
        <v>111</v>
      </c>
      <c r="E1036" t="s">
        <v>35</v>
      </c>
      <c r="F1036" t="str">
        <f>VLOOKUP(G1036,PC!B:D,2,FALSE)</f>
        <v>COMIDA</v>
      </c>
      <c r="G1036" s="4" t="s">
        <v>38</v>
      </c>
      <c r="H1036" s="1">
        <v>72.400000000000006</v>
      </c>
    </row>
    <row r="1037" spans="2:8" x14ac:dyDescent="0.2">
      <c r="B1037" t="str">
        <f>VLOOKUP(G1037,PC!B:D,3,FALSE)</f>
        <v>CPV</v>
      </c>
      <c r="C1037" s="22">
        <v>2023</v>
      </c>
      <c r="D1037" t="s">
        <v>111</v>
      </c>
      <c r="E1037" t="s">
        <v>35</v>
      </c>
      <c r="F1037" t="str">
        <f>VLOOKUP(G1037,PC!B:D,2,FALSE)</f>
        <v>OUTROS</v>
      </c>
      <c r="G1037" s="4" t="s">
        <v>37</v>
      </c>
      <c r="H1037" s="1">
        <v>13.03</v>
      </c>
    </row>
    <row r="1038" spans="2:8" x14ac:dyDescent="0.2">
      <c r="B1038" t="str">
        <f>VLOOKUP(G1038,PC!B:D,3,FALSE)</f>
        <v>CPV</v>
      </c>
      <c r="C1038" s="22">
        <v>2023</v>
      </c>
      <c r="D1038" t="s">
        <v>111</v>
      </c>
      <c r="E1038" t="s">
        <v>35</v>
      </c>
      <c r="F1038" t="str">
        <f>VLOOKUP(G1038,PC!B:D,2,FALSE)</f>
        <v>BEBIDAS</v>
      </c>
      <c r="G1038" s="4" t="s">
        <v>46</v>
      </c>
      <c r="H1038" s="1">
        <f>2*35.37</f>
        <v>70.739999999999995</v>
      </c>
    </row>
    <row r="1039" spans="2:8" x14ac:dyDescent="0.2">
      <c r="B1039" t="str">
        <f>VLOOKUP(G1039,PC!B:D,3,FALSE)</f>
        <v>CPV</v>
      </c>
      <c r="C1039" s="22">
        <v>2023</v>
      </c>
      <c r="D1039" t="s">
        <v>111</v>
      </c>
      <c r="E1039" t="s">
        <v>35</v>
      </c>
      <c r="F1039" t="str">
        <f>VLOOKUP(G1039,PC!B:D,2,FALSE)</f>
        <v>OUTROS</v>
      </c>
      <c r="G1039" s="4" t="s">
        <v>37</v>
      </c>
      <c r="H1039" s="1">
        <v>54.04</v>
      </c>
    </row>
    <row r="1040" spans="2:8" x14ac:dyDescent="0.2">
      <c r="B1040" t="str">
        <f>VLOOKUP(G1040,PC!B:D,3,FALSE)</f>
        <v>CPV</v>
      </c>
      <c r="C1040" s="22">
        <v>2023</v>
      </c>
      <c r="D1040" t="s">
        <v>111</v>
      </c>
      <c r="E1040" t="s">
        <v>35</v>
      </c>
      <c r="F1040" t="str">
        <f>VLOOKUP(G1040,PC!B:D,2,FALSE)</f>
        <v>BEBIDAS</v>
      </c>
      <c r="G1040" s="4" t="s">
        <v>39</v>
      </c>
      <c r="H1040" s="1">
        <f>88.14+176.28</f>
        <v>264.42</v>
      </c>
    </row>
    <row r="1041" spans="2:8" x14ac:dyDescent="0.2">
      <c r="B1041" t="str">
        <f>VLOOKUP(G1041,PC!B:D,3,FALSE)</f>
        <v>CPV</v>
      </c>
      <c r="C1041" s="22">
        <v>2023</v>
      </c>
      <c r="D1041" t="s">
        <v>111</v>
      </c>
      <c r="E1041" t="s">
        <v>14</v>
      </c>
      <c r="F1041" t="str">
        <f>VLOOKUP(G1041,PC!B:D,2,FALSE)</f>
        <v>BEBIDAS</v>
      </c>
      <c r="G1041" s="4" t="s">
        <v>25</v>
      </c>
      <c r="H1041" s="1">
        <v>169.96</v>
      </c>
    </row>
    <row r="1042" spans="2:8" x14ac:dyDescent="0.2">
      <c r="B1042" t="str">
        <f>VLOOKUP(G1042,PC!B:D,3,FALSE)</f>
        <v>CPV</v>
      </c>
      <c r="C1042" s="22">
        <v>2023</v>
      </c>
      <c r="D1042" t="s">
        <v>111</v>
      </c>
      <c r="E1042" t="s">
        <v>14</v>
      </c>
      <c r="F1042" t="str">
        <f>VLOOKUP(G1042,PC!B:D,2,FALSE)</f>
        <v>BEBIDAS</v>
      </c>
      <c r="G1042" s="4" t="s">
        <v>26</v>
      </c>
      <c r="H1042" s="1">
        <f>618.96+394.71</f>
        <v>1013.6700000000001</v>
      </c>
    </row>
    <row r="1043" spans="2:8" x14ac:dyDescent="0.2">
      <c r="B1043" t="str">
        <f>VLOOKUP(G1043,PC!B:D,3,FALSE)</f>
        <v>CPV</v>
      </c>
      <c r="C1043" s="22">
        <v>2023</v>
      </c>
      <c r="D1043" t="s">
        <v>111</v>
      </c>
      <c r="E1043" t="s">
        <v>14</v>
      </c>
      <c r="F1043" t="str">
        <f>VLOOKUP(G1043,PC!B:D,2,FALSE)</f>
        <v>BEBIDAS</v>
      </c>
      <c r="G1043" s="4" t="s">
        <v>25</v>
      </c>
      <c r="H1043" s="1">
        <f>1790.14-H1042</f>
        <v>776.47</v>
      </c>
    </row>
    <row r="1044" spans="2:8" x14ac:dyDescent="0.2">
      <c r="B1044" t="str">
        <f>VLOOKUP(G1044,PC!B:D,3,FALSE)</f>
        <v>CPV</v>
      </c>
      <c r="C1044" s="22">
        <v>2023</v>
      </c>
      <c r="D1044" t="s">
        <v>111</v>
      </c>
      <c r="E1044" t="s">
        <v>21</v>
      </c>
      <c r="F1044" t="str">
        <f>VLOOKUP(G1044,PC!B:D,2,FALSE)</f>
        <v>SOBREMESA</v>
      </c>
      <c r="G1044" s="4" t="s">
        <v>23</v>
      </c>
      <c r="H1044" s="1">
        <v>271.69</v>
      </c>
    </row>
    <row r="1045" spans="2:8" x14ac:dyDescent="0.2">
      <c r="B1045" t="str">
        <f>VLOOKUP(G1045,PC!B:D,3,FALSE)</f>
        <v>CPV</v>
      </c>
      <c r="C1045" s="22">
        <v>2023</v>
      </c>
      <c r="D1045" t="s">
        <v>111</v>
      </c>
      <c r="E1045" t="s">
        <v>129</v>
      </c>
      <c r="F1045" t="str">
        <f>VLOOKUP(G1045,PC!B:D,2,FALSE)</f>
        <v>COMIDA</v>
      </c>
      <c r="G1045" s="4" t="s">
        <v>155</v>
      </c>
      <c r="H1045" s="1">
        <v>640</v>
      </c>
    </row>
    <row r="1046" spans="2:8" x14ac:dyDescent="0.2">
      <c r="B1046" t="str">
        <f>VLOOKUP(G1046,PC!B:D,3,FALSE)</f>
        <v>RECEITA</v>
      </c>
      <c r="C1046" s="22">
        <v>2023</v>
      </c>
      <c r="D1046" t="s">
        <v>111</v>
      </c>
      <c r="F1046" t="str">
        <f>VLOOKUP(G1046,PC!B:D,2,FALSE)</f>
        <v>RECEITA</v>
      </c>
      <c r="G1046" s="4" t="s">
        <v>64</v>
      </c>
      <c r="H1046" s="1">
        <v>34</v>
      </c>
    </row>
    <row r="1047" spans="2:8" x14ac:dyDescent="0.2">
      <c r="B1047" t="str">
        <f>VLOOKUP(G1047,PC!B:D,3,FALSE)</f>
        <v>DESPESA OPERACIONAL</v>
      </c>
      <c r="C1047" s="22">
        <v>2023</v>
      </c>
      <c r="D1047" t="s">
        <v>111</v>
      </c>
      <c r="F1047" t="str">
        <f>VLOOKUP(G1047,PC!B:D,2,FALSE)</f>
        <v>DESPESA OPERACIONAL</v>
      </c>
      <c r="G1047" s="4" t="s">
        <v>73</v>
      </c>
      <c r="H1047" s="1">
        <v>1478.5</v>
      </c>
    </row>
    <row r="1048" spans="2:8" x14ac:dyDescent="0.2">
      <c r="B1048" t="str">
        <f>VLOOKUP(G1048,PC!B:D,3,FALSE)</f>
        <v>CPV</v>
      </c>
      <c r="C1048" s="22">
        <v>2023</v>
      </c>
      <c r="D1048" t="s">
        <v>111</v>
      </c>
      <c r="E1048" t="s">
        <v>89</v>
      </c>
      <c r="F1048" t="str">
        <f>VLOOKUP(G1048,PC!B:D,2,FALSE)</f>
        <v>COMIDA</v>
      </c>
      <c r="G1048" s="4" t="s">
        <v>146</v>
      </c>
      <c r="H1048" s="1">
        <v>138</v>
      </c>
    </row>
    <row r="1049" spans="2:8" x14ac:dyDescent="0.2">
      <c r="B1049" t="str">
        <f>VLOOKUP(G1049,PC!B:D,3,FALSE)</f>
        <v>CPV</v>
      </c>
      <c r="C1049" s="22">
        <v>2023</v>
      </c>
      <c r="D1049" t="s">
        <v>112</v>
      </c>
      <c r="E1049" t="s">
        <v>14</v>
      </c>
      <c r="F1049" t="str">
        <f>VLOOKUP(G1049,PC!B:D,2,FALSE)</f>
        <v>BEBIDAS</v>
      </c>
      <c r="G1049" s="4" t="s">
        <v>25</v>
      </c>
      <c r="H1049" s="1">
        <v>1008.1</v>
      </c>
    </row>
    <row r="1050" spans="2:8" x14ac:dyDescent="0.2">
      <c r="B1050" t="str">
        <f>VLOOKUP(G1050,PC!B:D,3,FALSE)</f>
        <v>CPV</v>
      </c>
      <c r="C1050" s="22">
        <v>2023</v>
      </c>
      <c r="D1050" t="s">
        <v>111</v>
      </c>
      <c r="E1050" t="s">
        <v>129</v>
      </c>
      <c r="F1050" t="str">
        <f>VLOOKUP(G1050,PC!B:D,2,FALSE)</f>
        <v>COMIDA</v>
      </c>
      <c r="G1050" s="4" t="s">
        <v>12</v>
      </c>
      <c r="H1050" s="1">
        <v>105</v>
      </c>
    </row>
    <row r="1051" spans="2:8" x14ac:dyDescent="0.2">
      <c r="B1051" t="str">
        <f>VLOOKUP(G1051,PC!B:D,3,FALSE)</f>
        <v>CPV</v>
      </c>
      <c r="C1051" s="22">
        <v>2023</v>
      </c>
      <c r="D1051" t="s">
        <v>111</v>
      </c>
      <c r="E1051" t="s">
        <v>129</v>
      </c>
      <c r="F1051" t="str">
        <f>VLOOKUP(G1051,PC!B:D,2,FALSE)</f>
        <v>COMIDA</v>
      </c>
      <c r="G1051" s="4" t="s">
        <v>33</v>
      </c>
      <c r="H1051" s="1">
        <v>80</v>
      </c>
    </row>
    <row r="1052" spans="2:8" x14ac:dyDescent="0.2">
      <c r="B1052" t="str">
        <f>VLOOKUP(G1052,PC!B:D,3,FALSE)</f>
        <v>CPV</v>
      </c>
      <c r="C1052" s="22">
        <v>2023</v>
      </c>
      <c r="D1052" t="s">
        <v>111</v>
      </c>
      <c r="E1052" t="s">
        <v>129</v>
      </c>
      <c r="F1052" t="str">
        <f>VLOOKUP(G1052,PC!B:D,2,FALSE)</f>
        <v>COMIDA</v>
      </c>
      <c r="G1052" s="4" t="s">
        <v>18</v>
      </c>
      <c r="H1052" s="1">
        <v>43.5</v>
      </c>
    </row>
    <row r="1053" spans="2:8" x14ac:dyDescent="0.2">
      <c r="B1053" t="str">
        <f>VLOOKUP(G1053,PC!B:D,3,FALSE)</f>
        <v>CPV</v>
      </c>
      <c r="C1053" s="22">
        <v>2023</v>
      </c>
      <c r="D1053" t="s">
        <v>111</v>
      </c>
      <c r="E1053" t="s">
        <v>129</v>
      </c>
      <c r="F1053" t="str">
        <f>VLOOKUP(G1053,PC!B:D,2,FALSE)</f>
        <v>LIMPEZA</v>
      </c>
      <c r="G1053" s="4" t="s">
        <v>43</v>
      </c>
      <c r="H1053" s="1">
        <v>30</v>
      </c>
    </row>
    <row r="1054" spans="2:8" x14ac:dyDescent="0.2">
      <c r="B1054" t="str">
        <f>VLOOKUP(G1054,PC!B:D,3,FALSE)</f>
        <v>RECEITA</v>
      </c>
      <c r="C1054" s="22">
        <v>2023</v>
      </c>
      <c r="D1054" t="s">
        <v>111</v>
      </c>
      <c r="F1054" t="str">
        <f>VLOOKUP(G1054,PC!B:D,2,FALSE)</f>
        <v>RECEITA</v>
      </c>
      <c r="G1054" s="4" t="s">
        <v>54</v>
      </c>
      <c r="H1054" s="1">
        <f>H1050+H1051+H1052+H1053</f>
        <v>258.5</v>
      </c>
    </row>
    <row r="1055" spans="2:8" x14ac:dyDescent="0.2">
      <c r="B1055" t="str">
        <f>VLOOKUP(G1055,PC!B:D,3,FALSE)</f>
        <v>RECEITA</v>
      </c>
      <c r="C1055" s="22">
        <v>2023</v>
      </c>
      <c r="D1055" t="s">
        <v>111</v>
      </c>
      <c r="F1055" t="str">
        <f>VLOOKUP(G1055,PC!B:D,2,FALSE)</f>
        <v>RECEITA</v>
      </c>
      <c r="G1055" s="4" t="s">
        <v>54</v>
      </c>
      <c r="H1055" s="1">
        <f>1500</f>
        <v>1500</v>
      </c>
    </row>
    <row r="1056" spans="2:8" x14ac:dyDescent="0.2">
      <c r="B1056" t="str">
        <f>VLOOKUP(G1056,PC!B:D,3,FALSE)</f>
        <v>RECEITA</v>
      </c>
      <c r="C1056" s="22">
        <v>2023</v>
      </c>
      <c r="D1056" t="s">
        <v>111</v>
      </c>
      <c r="F1056" t="str">
        <f>VLOOKUP(G1056,PC!B:D,2,FALSE)</f>
        <v>RECEITA</v>
      </c>
      <c r="G1056" s="4" t="s">
        <v>54</v>
      </c>
      <c r="H1056" s="1">
        <v>400</v>
      </c>
    </row>
    <row r="1057" spans="2:10" x14ac:dyDescent="0.2">
      <c r="B1057" t="str">
        <f>VLOOKUP(G1057,PC!B:D,3,FALSE)</f>
        <v>RECEITA</v>
      </c>
      <c r="C1057" s="22">
        <v>2023</v>
      </c>
      <c r="D1057" t="s">
        <v>111</v>
      </c>
      <c r="F1057" t="str">
        <f>VLOOKUP(G1057,PC!B:D,2,FALSE)</f>
        <v>RECEITA</v>
      </c>
      <c r="G1057" s="4" t="s">
        <v>54</v>
      </c>
      <c r="H1057" s="1">
        <v>850</v>
      </c>
    </row>
    <row r="1058" spans="2:10" x14ac:dyDescent="0.2">
      <c r="B1058" t="str">
        <f>VLOOKUP(G1058,PC!B:D,3,FALSE)</f>
        <v>RECEITA</v>
      </c>
      <c r="C1058" s="22">
        <v>2023</v>
      </c>
      <c r="D1058" t="s">
        <v>111</v>
      </c>
      <c r="F1058" t="str">
        <f>VLOOKUP(G1058,PC!B:D,2,FALSE)</f>
        <v>RECEITA</v>
      </c>
      <c r="G1058" s="4" t="s">
        <v>54</v>
      </c>
      <c r="H1058" s="1">
        <v>400</v>
      </c>
    </row>
    <row r="1059" spans="2:10" x14ac:dyDescent="0.2">
      <c r="B1059" t="str">
        <f>VLOOKUP(G1059,PC!B:D,3,FALSE)</f>
        <v>CPV</v>
      </c>
      <c r="C1059" s="22">
        <v>2023</v>
      </c>
      <c r="D1059" t="s">
        <v>111</v>
      </c>
      <c r="E1059" t="s">
        <v>129</v>
      </c>
      <c r="F1059" t="str">
        <f>VLOOKUP(G1059,PC!B:D,2,FALSE)</f>
        <v>COMIDA</v>
      </c>
      <c r="G1059" s="4" t="s">
        <v>12</v>
      </c>
      <c r="H1059" s="1">
        <v>56</v>
      </c>
    </row>
    <row r="1060" spans="2:10" x14ac:dyDescent="0.2">
      <c r="B1060" t="str">
        <f>VLOOKUP(G1060,PC!B:D,3,FALSE)</f>
        <v>CPV</v>
      </c>
      <c r="C1060" s="22">
        <v>2023</v>
      </c>
      <c r="D1060" t="s">
        <v>111</v>
      </c>
      <c r="E1060" t="s">
        <v>129</v>
      </c>
      <c r="F1060" t="str">
        <f>VLOOKUP(G1060,PC!B:D,2,FALSE)</f>
        <v>BEBIDAS</v>
      </c>
      <c r="G1060" s="4" t="s">
        <v>48</v>
      </c>
      <c r="H1060" s="1">
        <v>60</v>
      </c>
    </row>
    <row r="1061" spans="2:10" x14ac:dyDescent="0.2">
      <c r="B1061" t="str">
        <f>VLOOKUP(G1061,PC!B:D,3,FALSE)</f>
        <v>RECEITA</v>
      </c>
      <c r="C1061" s="22">
        <v>2023</v>
      </c>
      <c r="D1061" t="s">
        <v>111</v>
      </c>
      <c r="F1061" t="str">
        <f>VLOOKUP(G1061,PC!B:D,2,FALSE)</f>
        <v>RECEITA</v>
      </c>
      <c r="G1061" s="4" t="s">
        <v>54</v>
      </c>
      <c r="H1061" s="1">
        <v>116</v>
      </c>
    </row>
    <row r="1062" spans="2:10" x14ac:dyDescent="0.2">
      <c r="B1062" t="str">
        <f>VLOOKUP(G1062,PC!B:D,3,FALSE)</f>
        <v>RECEITA</v>
      </c>
      <c r="C1062" s="22">
        <v>2023</v>
      </c>
      <c r="D1062" t="s">
        <v>111</v>
      </c>
      <c r="F1062" t="str">
        <f>VLOOKUP(G1062,PC!B:D,2,FALSE)</f>
        <v>RECEITA</v>
      </c>
      <c r="G1062" s="4" t="s">
        <v>54</v>
      </c>
      <c r="H1062" s="1">
        <v>800</v>
      </c>
    </row>
    <row r="1063" spans="2:10" x14ac:dyDescent="0.2">
      <c r="B1063" t="str">
        <f>VLOOKUP(G1063,PC!B:D,3,FALSE)</f>
        <v>RECEITA</v>
      </c>
      <c r="C1063" s="22">
        <v>2023</v>
      </c>
      <c r="D1063" t="s">
        <v>111</v>
      </c>
      <c r="F1063" t="str">
        <f>VLOOKUP(G1063,PC!B:D,2,FALSE)</f>
        <v>RECEITA</v>
      </c>
      <c r="G1063" s="4" t="s">
        <v>54</v>
      </c>
      <c r="H1063" s="1">
        <v>1700</v>
      </c>
      <c r="J1063" s="21">
        <f>H1063/H1062</f>
        <v>2.125</v>
      </c>
    </row>
    <row r="1064" spans="2:10" x14ac:dyDescent="0.2">
      <c r="B1064" t="str">
        <f>VLOOKUP(G1064,PC!B:D,3,FALSE)</f>
        <v>CPV</v>
      </c>
      <c r="C1064" s="22">
        <v>2023</v>
      </c>
      <c r="D1064" t="s">
        <v>111</v>
      </c>
      <c r="F1064" t="str">
        <f>VLOOKUP(G1064,PC!B:D,2,FALSE)</f>
        <v>COMIDA</v>
      </c>
      <c r="G1064" s="4" t="s">
        <v>12</v>
      </c>
      <c r="H1064" s="1">
        <v>120</v>
      </c>
    </row>
    <row r="1065" spans="2:10" x14ac:dyDescent="0.2">
      <c r="B1065" t="str">
        <f>VLOOKUP(G1065,PC!B:D,3,FALSE)</f>
        <v>DESPESA OPERACIONAL</v>
      </c>
      <c r="C1065" s="22">
        <v>2023</v>
      </c>
      <c r="D1065" t="s">
        <v>111</v>
      </c>
      <c r="F1065" t="str">
        <f>VLOOKUP(G1065,PC!B:D,2,FALSE)</f>
        <v>DESPESA OPERACIONAL</v>
      </c>
      <c r="G1065" s="4" t="s">
        <v>70</v>
      </c>
      <c r="H1065" s="1">
        <v>100</v>
      </c>
      <c r="J1065" s="2">
        <f>H1065/H1064</f>
        <v>0.83333333333333337</v>
      </c>
    </row>
    <row r="1066" spans="2:10" x14ac:dyDescent="0.2">
      <c r="B1066" t="str">
        <f>VLOOKUP(G1066,PC!B:D,3,FALSE)</f>
        <v>RECEITA</v>
      </c>
      <c r="C1066" s="22">
        <v>2023</v>
      </c>
      <c r="D1066" t="s">
        <v>111</v>
      </c>
      <c r="F1066" t="str">
        <f>VLOOKUP(G1066,PC!B:D,2,FALSE)</f>
        <v>RECEITA</v>
      </c>
      <c r="G1066" s="4" t="s">
        <v>54</v>
      </c>
      <c r="H1066" s="1">
        <v>220</v>
      </c>
    </row>
    <row r="1067" spans="2:10" x14ac:dyDescent="0.2">
      <c r="B1067" t="str">
        <f>VLOOKUP(G1067,PC!B:D,3,FALSE)</f>
        <v>RECEITA</v>
      </c>
      <c r="C1067" s="22">
        <v>2023</v>
      </c>
      <c r="D1067" t="s">
        <v>111</v>
      </c>
      <c r="F1067" t="str">
        <f>VLOOKUP(G1067,PC!B:D,2,FALSE)</f>
        <v>RECEITA</v>
      </c>
      <c r="G1067" s="4" t="s">
        <v>54</v>
      </c>
      <c r="H1067" s="1">
        <v>750</v>
      </c>
    </row>
    <row r="1068" spans="2:10" x14ac:dyDescent="0.2">
      <c r="B1068" t="str">
        <f>VLOOKUP(G1068,PC!B:D,3,FALSE)</f>
        <v>RECEITA</v>
      </c>
      <c r="C1068" s="22">
        <v>2023</v>
      </c>
      <c r="D1068" t="s">
        <v>111</v>
      </c>
      <c r="F1068" t="str">
        <f>VLOOKUP(G1068,PC!B:D,2,FALSE)</f>
        <v>RECEITA</v>
      </c>
      <c r="G1068" s="4" t="s">
        <v>54</v>
      </c>
      <c r="H1068" s="1">
        <v>2600</v>
      </c>
    </row>
    <row r="1069" spans="2:10" x14ac:dyDescent="0.2">
      <c r="B1069" t="str">
        <f>VLOOKUP(G1069,PC!B:D,3,FALSE)</f>
        <v>DESPESA OPERACIONAL</v>
      </c>
      <c r="C1069" s="22">
        <v>2023</v>
      </c>
      <c r="D1069" t="s">
        <v>111</v>
      </c>
      <c r="F1069" t="str">
        <f>VLOOKUP(G1069,PC!B:D,2,FALSE)</f>
        <v>DESPESA OPERACIONAL</v>
      </c>
      <c r="G1069" s="4" t="s">
        <v>122</v>
      </c>
      <c r="H1069" s="1">
        <v>90</v>
      </c>
    </row>
    <row r="1070" spans="2:10" x14ac:dyDescent="0.2">
      <c r="B1070" t="str">
        <f>VLOOKUP(G1070,PC!B:D,3,FALSE)</f>
        <v>DESPESA OPERACIONAL</v>
      </c>
      <c r="C1070" s="22">
        <v>2023</v>
      </c>
      <c r="D1070" t="s">
        <v>111</v>
      </c>
      <c r="F1070" t="str">
        <f>VLOOKUP(G1070,PC!B:D,2,FALSE)</f>
        <v>DESPESA OPERACIONAL</v>
      </c>
      <c r="G1070" s="4" t="s">
        <v>65</v>
      </c>
      <c r="H1070" s="1">
        <v>60</v>
      </c>
    </row>
    <row r="1071" spans="2:10" x14ac:dyDescent="0.2">
      <c r="B1071" t="str">
        <f>VLOOKUP(G1071,PC!B:D,3,FALSE)</f>
        <v>DESPESA FINANCEIRA</v>
      </c>
      <c r="C1071" s="22">
        <v>2023</v>
      </c>
      <c r="D1071" t="s">
        <v>111</v>
      </c>
      <c r="F1071" t="str">
        <f>VLOOKUP(G1071,PC!B:D,2,FALSE)</f>
        <v>DESPESA FINANCEIRA</v>
      </c>
      <c r="G1071" s="4" t="s">
        <v>125</v>
      </c>
      <c r="H1071" s="1">
        <v>90</v>
      </c>
      <c r="J1071" s="19"/>
    </row>
    <row r="1072" spans="2:10" x14ac:dyDescent="0.2">
      <c r="B1072" t="str">
        <f>VLOOKUP(G1072,PC!B:D,3,FALSE)</f>
        <v>DESPESA FINANCEIRA</v>
      </c>
      <c r="C1072" s="22">
        <v>2023</v>
      </c>
      <c r="D1072" t="s">
        <v>111</v>
      </c>
      <c r="F1072" t="str">
        <f>VLOOKUP(G1072,PC!B:D,2,FALSE)</f>
        <v>DESPESA FINANCEIRA</v>
      </c>
      <c r="G1072" s="4" t="s">
        <v>90</v>
      </c>
      <c r="H1072" s="1">
        <v>600</v>
      </c>
    </row>
    <row r="1073" spans="2:8" x14ac:dyDescent="0.2">
      <c r="B1073" t="str">
        <f>VLOOKUP(G1073,PC!B:D,3,FALSE)</f>
        <v>CPV</v>
      </c>
      <c r="C1073" s="22">
        <v>2023</v>
      </c>
      <c r="D1073" t="s">
        <v>112</v>
      </c>
      <c r="E1073" t="s">
        <v>21</v>
      </c>
      <c r="F1073" t="str">
        <f>VLOOKUP(G1073,PC!B:D,2,FALSE)</f>
        <v>SOBREMESA</v>
      </c>
      <c r="G1073" s="4" t="s">
        <v>23</v>
      </c>
      <c r="H1073" s="1">
        <v>145.1</v>
      </c>
    </row>
    <row r="1074" spans="2:8" x14ac:dyDescent="0.2">
      <c r="B1074" t="str">
        <f>VLOOKUP(G1074,PC!B:D,3,FALSE)</f>
        <v>CPV</v>
      </c>
      <c r="C1074" s="22">
        <v>2023</v>
      </c>
      <c r="D1074" t="s">
        <v>112</v>
      </c>
      <c r="E1074" t="s">
        <v>159</v>
      </c>
      <c r="F1074" t="str">
        <f>VLOOKUP(G1074,PC!B:D,2,FALSE)</f>
        <v>COMIDA</v>
      </c>
      <c r="G1074" s="4" t="s">
        <v>145</v>
      </c>
      <c r="H1074" s="1">
        <v>113.7</v>
      </c>
    </row>
    <row r="1075" spans="2:8" x14ac:dyDescent="0.2">
      <c r="B1075" t="str">
        <f>VLOOKUP(G1075,PC!B:D,3,FALSE)</f>
        <v>CPV</v>
      </c>
      <c r="C1075" s="22">
        <v>2023</v>
      </c>
      <c r="D1075" t="s">
        <v>112</v>
      </c>
      <c r="E1075" t="s">
        <v>14</v>
      </c>
      <c r="F1075" t="str">
        <f>VLOOKUP(G1075,PC!B:D,2,FALSE)</f>
        <v>BEBIDAS</v>
      </c>
      <c r="G1075" s="4" t="s">
        <v>25</v>
      </c>
      <c r="H1075" s="1">
        <v>456.18</v>
      </c>
    </row>
    <row r="1076" spans="2:8" x14ac:dyDescent="0.2">
      <c r="B1076" t="str">
        <f>VLOOKUP(G1076,PC!B:D,3,FALSE)</f>
        <v>CPV</v>
      </c>
      <c r="C1076" s="22">
        <v>2023</v>
      </c>
      <c r="D1076" t="s">
        <v>112</v>
      </c>
      <c r="E1076" t="s">
        <v>163</v>
      </c>
      <c r="F1076" t="str">
        <f>VLOOKUP(G1076,PC!B:D,2,FALSE)</f>
        <v>COMIDA</v>
      </c>
      <c r="G1076" s="4" t="s">
        <v>12</v>
      </c>
      <c r="H1076" s="1">
        <v>51.52</v>
      </c>
    </row>
    <row r="1077" spans="2:8" x14ac:dyDescent="0.2">
      <c r="B1077" t="str">
        <f>VLOOKUP(G1077,PC!B:D,3,FALSE)</f>
        <v>CPV</v>
      </c>
      <c r="C1077" s="22">
        <v>2023</v>
      </c>
      <c r="D1077" t="s">
        <v>112</v>
      </c>
      <c r="E1077" t="s">
        <v>129</v>
      </c>
      <c r="F1077" t="str">
        <f>VLOOKUP(G1077,PC!B:D,2,FALSE)</f>
        <v>OUTROS</v>
      </c>
      <c r="G1077" s="4" t="s">
        <v>37</v>
      </c>
      <c r="H1077" s="1">
        <v>51.14</v>
      </c>
    </row>
    <row r="1078" spans="2:8" x14ac:dyDescent="0.2">
      <c r="B1078" t="str">
        <f>VLOOKUP(G1078,PC!B:D,3,FALSE)</f>
        <v>CPV</v>
      </c>
      <c r="C1078" s="22">
        <v>2023</v>
      </c>
      <c r="D1078" t="s">
        <v>112</v>
      </c>
      <c r="E1078" t="s">
        <v>129</v>
      </c>
      <c r="F1078" t="str">
        <f>VLOOKUP(G1078,PC!B:D,2,FALSE)</f>
        <v>SOBREMESA</v>
      </c>
      <c r="G1078" s="4" t="s">
        <v>8</v>
      </c>
      <c r="H1078" s="1">
        <v>117.7</v>
      </c>
    </row>
    <row r="1079" spans="2:8" x14ac:dyDescent="0.2">
      <c r="B1079" t="str">
        <f>VLOOKUP(G1079,PC!B:D,3,FALSE)</f>
        <v>CPV</v>
      </c>
      <c r="C1079" s="22">
        <v>2023</v>
      </c>
      <c r="D1079" t="s">
        <v>112</v>
      </c>
      <c r="E1079" t="s">
        <v>129</v>
      </c>
      <c r="F1079" t="str">
        <f>VLOOKUP(G1079,PC!B:D,2,FALSE)</f>
        <v>OUTROS</v>
      </c>
      <c r="G1079" s="4" t="s">
        <v>133</v>
      </c>
      <c r="H1079" s="1">
        <f>39.72+30.58</f>
        <v>70.3</v>
      </c>
    </row>
    <row r="1080" spans="2:8" x14ac:dyDescent="0.2">
      <c r="B1080" t="str">
        <f>VLOOKUP(G1080,PC!B:D,3,FALSE)</f>
        <v>CPV</v>
      </c>
      <c r="C1080" s="22">
        <v>2023</v>
      </c>
      <c r="D1080" t="s">
        <v>112</v>
      </c>
      <c r="E1080" t="s">
        <v>129</v>
      </c>
      <c r="F1080" t="str">
        <f>VLOOKUP(G1080,PC!B:D,2,FALSE)</f>
        <v>OUTROS</v>
      </c>
      <c r="G1080" s="4" t="s">
        <v>37</v>
      </c>
      <c r="H1080" s="1">
        <v>545.33000000000004</v>
      </c>
    </row>
    <row r="1081" spans="2:8" x14ac:dyDescent="0.2">
      <c r="B1081" t="str">
        <f>VLOOKUP(G1081,PC!B:D,3,FALSE)</f>
        <v>CPV</v>
      </c>
      <c r="C1081" s="22">
        <v>2023</v>
      </c>
      <c r="D1081" t="s">
        <v>112</v>
      </c>
      <c r="E1081" t="s">
        <v>28</v>
      </c>
      <c r="F1081" t="str">
        <f>VLOOKUP(G1081,PC!B:D,2,FALSE)</f>
        <v>BEBIDAS</v>
      </c>
      <c r="G1081" s="4" t="s">
        <v>26</v>
      </c>
      <c r="H1081" s="1">
        <v>1313.7</v>
      </c>
    </row>
    <row r="1082" spans="2:8" x14ac:dyDescent="0.2">
      <c r="B1082" t="str">
        <f>VLOOKUP(G1082,PC!B:D,3,FALSE)</f>
        <v>CPV</v>
      </c>
      <c r="C1082" s="22">
        <v>2023</v>
      </c>
      <c r="D1082" t="s">
        <v>112</v>
      </c>
      <c r="E1082" t="s">
        <v>27</v>
      </c>
      <c r="F1082" t="str">
        <f>VLOOKUP(G1082,PC!B:D,2,FALSE)</f>
        <v>COMIDA</v>
      </c>
      <c r="G1082" s="4" t="s">
        <v>12</v>
      </c>
      <c r="H1082" s="1">
        <v>206.16</v>
      </c>
    </row>
    <row r="1083" spans="2:8" x14ac:dyDescent="0.2">
      <c r="B1083" t="str">
        <f>VLOOKUP(G1083,PC!B:D,3,FALSE)</f>
        <v>CPV</v>
      </c>
      <c r="C1083" s="22">
        <v>2023</v>
      </c>
      <c r="D1083" t="s">
        <v>112</v>
      </c>
      <c r="E1083" t="s">
        <v>28</v>
      </c>
      <c r="F1083" t="str">
        <f>VLOOKUP(G1083,PC!B:D,2,FALSE)</f>
        <v>BEBIDAS</v>
      </c>
      <c r="G1083" s="4" t="s">
        <v>26</v>
      </c>
      <c r="H1083" s="1">
        <v>3591.7</v>
      </c>
    </row>
    <row r="1084" spans="2:8" x14ac:dyDescent="0.2">
      <c r="B1084" t="str">
        <f>VLOOKUP(G1084,PC!B:D,3,FALSE)</f>
        <v>CPV</v>
      </c>
      <c r="C1084" s="22">
        <v>2023</v>
      </c>
      <c r="D1084" t="s">
        <v>112</v>
      </c>
      <c r="E1084" t="s">
        <v>24</v>
      </c>
      <c r="F1084" t="str">
        <f>VLOOKUP(G1084,PC!B:D,2,FALSE)</f>
        <v>COMIDA</v>
      </c>
      <c r="G1084" s="4" t="s">
        <v>33</v>
      </c>
      <c r="H1084" s="1">
        <v>412.56</v>
      </c>
    </row>
    <row r="1085" spans="2:8" x14ac:dyDescent="0.2">
      <c r="B1085" t="str">
        <f>VLOOKUP(G1085,PC!B:D,3,FALSE)</f>
        <v>CPV</v>
      </c>
      <c r="C1085" s="22">
        <v>2023</v>
      </c>
      <c r="D1085" t="s">
        <v>112</v>
      </c>
      <c r="E1085" t="s">
        <v>49</v>
      </c>
      <c r="F1085" t="str">
        <f>VLOOKUP(G1085,PC!B:D,2,FALSE)</f>
        <v>CIGARRO</v>
      </c>
      <c r="G1085" s="4" t="s">
        <v>52</v>
      </c>
      <c r="H1085" s="1">
        <v>12398.91</v>
      </c>
    </row>
    <row r="1086" spans="2:8" x14ac:dyDescent="0.2">
      <c r="B1086" t="str">
        <f>VLOOKUP(G1086,PC!B:D,3,FALSE)</f>
        <v>CPV</v>
      </c>
      <c r="C1086" s="22">
        <v>2023</v>
      </c>
      <c r="D1086" t="s">
        <v>112</v>
      </c>
      <c r="E1086" t="s">
        <v>45</v>
      </c>
      <c r="F1086" t="str">
        <f>VLOOKUP(G1086,PC!B:D,2,FALSE)</f>
        <v>COMIDA</v>
      </c>
      <c r="G1086" s="4" t="s">
        <v>38</v>
      </c>
      <c r="H1086" s="1">
        <f>158.64+61.8+47.76+53.64+28.56</f>
        <v>350.4</v>
      </c>
    </row>
    <row r="1087" spans="2:8" x14ac:dyDescent="0.2">
      <c r="B1087" t="str">
        <f>VLOOKUP(G1087,PC!B:D,3,FALSE)</f>
        <v>CPV</v>
      </c>
      <c r="C1087" s="22">
        <v>2023</v>
      </c>
      <c r="D1087" t="s">
        <v>112</v>
      </c>
      <c r="E1087" t="s">
        <v>45</v>
      </c>
      <c r="F1087" t="str">
        <f>VLOOKUP(G1087,PC!B:D,2,FALSE)</f>
        <v>HIGIENE</v>
      </c>
      <c r="G1087" s="4" t="s">
        <v>36</v>
      </c>
      <c r="H1087" s="1">
        <f>31.68+52.75+52.75+52.75</f>
        <v>189.93</v>
      </c>
    </row>
    <row r="1088" spans="2:8" x14ac:dyDescent="0.2">
      <c r="B1088" t="str">
        <f>VLOOKUP(G1088,PC!B:D,3,FALSE)</f>
        <v>CPV</v>
      </c>
      <c r="C1088" s="22">
        <v>2023</v>
      </c>
      <c r="D1088" t="s">
        <v>112</v>
      </c>
      <c r="E1088" t="s">
        <v>45</v>
      </c>
      <c r="F1088" t="str">
        <f>VLOOKUP(G1088,PC!B:D,2,FALSE)</f>
        <v>OUTROS</v>
      </c>
      <c r="G1088" s="4" t="s">
        <v>37</v>
      </c>
      <c r="H1088" s="1">
        <v>118.8</v>
      </c>
    </row>
    <row r="1089" spans="2:8" x14ac:dyDescent="0.2">
      <c r="B1089" t="str">
        <f>VLOOKUP(G1089,PC!B:D,3,FALSE)</f>
        <v>CPV</v>
      </c>
      <c r="C1089" s="22">
        <v>2023</v>
      </c>
      <c r="D1089" t="s">
        <v>112</v>
      </c>
      <c r="E1089" t="s">
        <v>45</v>
      </c>
      <c r="F1089" t="str">
        <f>VLOOKUP(G1089,PC!B:D,2,FALSE)</f>
        <v>LIMPEZA</v>
      </c>
      <c r="G1089" s="4" t="s">
        <v>43</v>
      </c>
      <c r="H1089" s="1">
        <f>27.83+37.44</f>
        <v>65.27</v>
      </c>
    </row>
    <row r="1090" spans="2:8" x14ac:dyDescent="0.2">
      <c r="B1090" t="str">
        <f>VLOOKUP(G1090,PC!B:D,3,FALSE)</f>
        <v>CPV</v>
      </c>
      <c r="C1090" s="22">
        <v>2023</v>
      </c>
      <c r="D1090" t="s">
        <v>112</v>
      </c>
      <c r="E1090" t="s">
        <v>45</v>
      </c>
      <c r="F1090" t="str">
        <f>VLOOKUP(G1090,PC!B:D,2,FALSE)</f>
        <v>COMIDA</v>
      </c>
      <c r="G1090" s="4" t="s">
        <v>22</v>
      </c>
      <c r="H1090" s="1">
        <v>42.52</v>
      </c>
    </row>
    <row r="1091" spans="2:8" x14ac:dyDescent="0.2">
      <c r="B1091" t="str">
        <f>VLOOKUP(G1091,PC!B:D,3,FALSE)</f>
        <v>CPV</v>
      </c>
      <c r="C1091" s="22">
        <v>2023</v>
      </c>
      <c r="D1091" t="s">
        <v>112</v>
      </c>
      <c r="E1091" t="s">
        <v>45</v>
      </c>
      <c r="F1091" t="str">
        <f>VLOOKUP(G1091,PC!B:D,2,FALSE)</f>
        <v>OUTROS</v>
      </c>
      <c r="G1091" s="4" t="s">
        <v>37</v>
      </c>
      <c r="H1091" s="1">
        <v>111.3</v>
      </c>
    </row>
    <row r="1092" spans="2:8" x14ac:dyDescent="0.2">
      <c r="B1092" t="str">
        <f>VLOOKUP(G1092,PC!B:D,3,FALSE)</f>
        <v>CPV</v>
      </c>
      <c r="C1092" s="22">
        <v>2023</v>
      </c>
      <c r="D1092" t="s">
        <v>112</v>
      </c>
      <c r="E1092" t="s">
        <v>45</v>
      </c>
      <c r="F1092" t="str">
        <f>VLOOKUP(G1092,PC!B:D,2,FALSE)</f>
        <v>OUTROS</v>
      </c>
      <c r="G1092" s="4" t="s">
        <v>37</v>
      </c>
      <c r="H1092" s="1">
        <v>45.46</v>
      </c>
    </row>
    <row r="1093" spans="2:8" x14ac:dyDescent="0.2">
      <c r="B1093" t="str">
        <f>VLOOKUP(G1093,PC!B:D,3,FALSE)</f>
        <v>CPV</v>
      </c>
      <c r="C1093" s="22">
        <v>2023</v>
      </c>
      <c r="D1093" t="s">
        <v>112</v>
      </c>
      <c r="E1093" t="s">
        <v>28</v>
      </c>
      <c r="F1093" t="str">
        <f>VLOOKUP(G1093,PC!B:D,2,FALSE)</f>
        <v>BEBIDAS</v>
      </c>
      <c r="G1093" s="4" t="s">
        <v>26</v>
      </c>
      <c r="H1093" s="1">
        <v>1335.7</v>
      </c>
    </row>
    <row r="1094" spans="2:8" x14ac:dyDescent="0.2">
      <c r="B1094" t="str">
        <f>VLOOKUP(G1094,PC!B:D,3,FALSE)</f>
        <v>CPV</v>
      </c>
      <c r="C1094" s="22">
        <v>2023</v>
      </c>
      <c r="D1094" t="s">
        <v>112</v>
      </c>
      <c r="E1094" t="s">
        <v>40</v>
      </c>
      <c r="F1094" t="str">
        <f>VLOOKUP(G1094,PC!B:D,2,FALSE)</f>
        <v>BEBIDAS</v>
      </c>
      <c r="G1094" s="4" t="s">
        <v>26</v>
      </c>
      <c r="H1094" s="1">
        <v>119.8</v>
      </c>
    </row>
    <row r="1095" spans="2:8" x14ac:dyDescent="0.2">
      <c r="B1095" t="str">
        <f>VLOOKUP(G1095,PC!B:D,3,FALSE)</f>
        <v>CPV</v>
      </c>
      <c r="C1095" s="22">
        <v>2023</v>
      </c>
      <c r="D1095" t="s">
        <v>112</v>
      </c>
      <c r="E1095" t="s">
        <v>159</v>
      </c>
      <c r="F1095" t="str">
        <f>VLOOKUP(G1095,PC!B:D,2,FALSE)</f>
        <v>COMIDA</v>
      </c>
      <c r="G1095" s="4" t="s">
        <v>145</v>
      </c>
      <c r="H1095" s="1">
        <v>303.42</v>
      </c>
    </row>
    <row r="1096" spans="2:8" x14ac:dyDescent="0.2">
      <c r="B1096" t="str">
        <f>VLOOKUP(G1096,PC!B:D,3,FALSE)</f>
        <v>CPV</v>
      </c>
      <c r="C1096" s="22">
        <v>2023</v>
      </c>
      <c r="D1096" t="s">
        <v>112</v>
      </c>
      <c r="E1096" t="s">
        <v>14</v>
      </c>
      <c r="F1096" t="str">
        <f>VLOOKUP(G1096,PC!B:D,2,FALSE)</f>
        <v>BEBIDAS</v>
      </c>
      <c r="G1096" s="4" t="s">
        <v>25</v>
      </c>
      <c r="H1096" s="1">
        <v>565.91</v>
      </c>
    </row>
    <row r="1097" spans="2:8" x14ac:dyDescent="0.2">
      <c r="B1097" t="str">
        <f>VLOOKUP(G1097,PC!B:D,3,FALSE)</f>
        <v>CPV</v>
      </c>
      <c r="C1097" s="22">
        <v>2023</v>
      </c>
      <c r="D1097" t="s">
        <v>112</v>
      </c>
      <c r="E1097" t="s">
        <v>35</v>
      </c>
      <c r="F1097" t="str">
        <f>VLOOKUP(G1097,PC!B:D,2,FALSE)</f>
        <v>BEBIDAS</v>
      </c>
      <c r="G1097" s="4" t="s">
        <v>39</v>
      </c>
      <c r="H1097" s="1">
        <f>379.44+351.36</f>
        <v>730.8</v>
      </c>
    </row>
    <row r="1098" spans="2:8" x14ac:dyDescent="0.2">
      <c r="B1098" t="str">
        <f>VLOOKUP(G1098,PC!B:D,3,FALSE)</f>
        <v>CPV</v>
      </c>
      <c r="C1098" s="22">
        <v>2023</v>
      </c>
      <c r="D1098" t="s">
        <v>112</v>
      </c>
      <c r="E1098" t="s">
        <v>35</v>
      </c>
      <c r="F1098" t="str">
        <f>VLOOKUP(G1098,PC!B:D,2,FALSE)</f>
        <v>OUTROS</v>
      </c>
      <c r="G1098" s="4" t="s">
        <v>37</v>
      </c>
      <c r="H1098" s="1">
        <v>187.84</v>
      </c>
    </row>
    <row r="1099" spans="2:8" x14ac:dyDescent="0.2">
      <c r="B1099" t="str">
        <f>VLOOKUP(G1099,PC!B:D,3,FALSE)</f>
        <v>CPV</v>
      </c>
      <c r="C1099" s="22">
        <v>2023</v>
      </c>
      <c r="D1099" t="s">
        <v>112</v>
      </c>
      <c r="E1099" t="s">
        <v>35</v>
      </c>
      <c r="F1099" t="str">
        <f>VLOOKUP(G1099,PC!B:D,2,FALSE)</f>
        <v>COMIDA</v>
      </c>
      <c r="G1099" s="4" t="s">
        <v>22</v>
      </c>
      <c r="H1099" s="1">
        <v>44.95</v>
      </c>
    </row>
    <row r="1100" spans="2:8" x14ac:dyDescent="0.2">
      <c r="B1100" t="str">
        <f>VLOOKUP(G1100,PC!B:D,3,FALSE)</f>
        <v>CPV</v>
      </c>
      <c r="C1100" s="22">
        <v>2023</v>
      </c>
      <c r="D1100" t="s">
        <v>112</v>
      </c>
      <c r="E1100" t="s">
        <v>35</v>
      </c>
      <c r="F1100" t="str">
        <f>VLOOKUP(G1100,PC!B:D,2,FALSE)</f>
        <v>LIMPEZA</v>
      </c>
      <c r="G1100" s="4" t="s">
        <v>43</v>
      </c>
      <c r="H1100" s="1">
        <v>38.58</v>
      </c>
    </row>
    <row r="1101" spans="2:8" x14ac:dyDescent="0.2">
      <c r="B1101" t="str">
        <f>VLOOKUP(G1101,PC!B:D,3,FALSE)</f>
        <v>CPV</v>
      </c>
      <c r="C1101" s="22">
        <v>2023</v>
      </c>
      <c r="D1101" t="s">
        <v>112</v>
      </c>
      <c r="E1101" t="s">
        <v>20</v>
      </c>
      <c r="F1101" t="str">
        <f>VLOOKUP(G1101,PC!B:D,2,FALSE)</f>
        <v>COMIDA</v>
      </c>
      <c r="G1101" s="4" t="s">
        <v>29</v>
      </c>
      <c r="H1101" s="1">
        <v>116.18</v>
      </c>
    </row>
    <row r="1102" spans="2:8" x14ac:dyDescent="0.2">
      <c r="B1102" t="str">
        <f>VLOOKUP(G1102,PC!B:D,3,FALSE)</f>
        <v>CPV</v>
      </c>
      <c r="C1102" s="22">
        <v>2023</v>
      </c>
      <c r="D1102" t="s">
        <v>112</v>
      </c>
      <c r="E1102" t="s">
        <v>160</v>
      </c>
      <c r="F1102" t="str">
        <f>VLOOKUP(G1102,PC!B:D,2,FALSE)</f>
        <v>LIMPEZA</v>
      </c>
      <c r="G1102" s="4" t="s">
        <v>43</v>
      </c>
      <c r="H1102" s="1">
        <v>262.83</v>
      </c>
    </row>
    <row r="1103" spans="2:8" x14ac:dyDescent="0.2">
      <c r="B1103" t="str">
        <f>VLOOKUP(G1103,PC!B:D,3,FALSE)</f>
        <v>CPV</v>
      </c>
      <c r="C1103" s="22">
        <v>2023</v>
      </c>
      <c r="D1103" t="s">
        <v>112</v>
      </c>
      <c r="E1103" t="s">
        <v>180</v>
      </c>
      <c r="F1103" t="str">
        <f>VLOOKUP(G1103,PC!B:D,2,FALSE)</f>
        <v>COMIDA</v>
      </c>
      <c r="G1103" s="4" t="s">
        <v>145</v>
      </c>
      <c r="H1103" s="1">
        <v>46.46</v>
      </c>
    </row>
    <row r="1104" spans="2:8" x14ac:dyDescent="0.2">
      <c r="B1104" t="str">
        <f>VLOOKUP(G1104,PC!B:D,3,FALSE)</f>
        <v>CPV</v>
      </c>
      <c r="C1104" s="22">
        <v>2023</v>
      </c>
      <c r="D1104" t="s">
        <v>112</v>
      </c>
      <c r="E1104" t="s">
        <v>6</v>
      </c>
      <c r="F1104" t="str">
        <f>VLOOKUP(G1104,PC!B:D,2,FALSE)</f>
        <v>COMIDA</v>
      </c>
      <c r="G1104" s="4" t="s">
        <v>145</v>
      </c>
      <c r="H1104" s="1">
        <v>60.84</v>
      </c>
    </row>
    <row r="1105" spans="2:8" x14ac:dyDescent="0.2">
      <c r="B1105" t="str">
        <f>VLOOKUP(G1105,PC!B:D,3,FALSE)</f>
        <v>CPV</v>
      </c>
      <c r="C1105" s="22">
        <v>2023</v>
      </c>
      <c r="D1105" t="s">
        <v>112</v>
      </c>
      <c r="E1105" t="s">
        <v>16</v>
      </c>
      <c r="F1105" t="str">
        <f>VLOOKUP(G1105,PC!B:D,2,FALSE)</f>
        <v>COMIDA</v>
      </c>
      <c r="G1105" s="4" t="s">
        <v>12</v>
      </c>
      <c r="H1105" s="1">
        <v>329.62</v>
      </c>
    </row>
    <row r="1106" spans="2:8" x14ac:dyDescent="0.2">
      <c r="B1106" t="str">
        <f>VLOOKUP(G1106,PC!B:D,3,FALSE)</f>
        <v>CPV</v>
      </c>
      <c r="C1106" s="22">
        <v>2023</v>
      </c>
      <c r="D1106" t="s">
        <v>112</v>
      </c>
      <c r="E1106" t="s">
        <v>28</v>
      </c>
      <c r="F1106" t="str">
        <f>VLOOKUP(G1106,PC!B:D,2,FALSE)</f>
        <v>BEBIDAS</v>
      </c>
      <c r="G1106" s="4" t="s">
        <v>26</v>
      </c>
      <c r="H1106" s="1">
        <v>686.9</v>
      </c>
    </row>
    <row r="1107" spans="2:8" x14ac:dyDescent="0.2">
      <c r="B1107" t="str">
        <f>VLOOKUP(G1107,PC!B:D,3,FALSE)</f>
        <v>CPV</v>
      </c>
      <c r="C1107" s="22">
        <v>2023</v>
      </c>
      <c r="D1107" t="s">
        <v>112</v>
      </c>
      <c r="E1107" t="s">
        <v>16</v>
      </c>
      <c r="F1107" t="str">
        <f>VLOOKUP(G1107,PC!B:D,2,FALSE)</f>
        <v>COMIDA</v>
      </c>
      <c r="G1107" s="4" t="s">
        <v>12</v>
      </c>
      <c r="H1107" s="1">
        <f>258.19+251.35</f>
        <v>509.53999999999996</v>
      </c>
    </row>
    <row r="1108" spans="2:8" x14ac:dyDescent="0.2">
      <c r="B1108" t="str">
        <f>VLOOKUP(G1108,PC!B:D,3,FALSE)</f>
        <v>CPV</v>
      </c>
      <c r="C1108" s="22">
        <v>2023</v>
      </c>
      <c r="D1108" t="s">
        <v>112</v>
      </c>
      <c r="E1108" t="s">
        <v>20</v>
      </c>
      <c r="F1108" t="str">
        <f>VLOOKUP(G1108,PC!B:D,2,FALSE)</f>
        <v>COMIDA</v>
      </c>
      <c r="G1108" s="4" t="s">
        <v>29</v>
      </c>
      <c r="H1108" s="1">
        <v>56.8</v>
      </c>
    </row>
    <row r="1109" spans="2:8" x14ac:dyDescent="0.2">
      <c r="B1109" t="str">
        <f>VLOOKUP(G1109,PC!B:D,3,FALSE)</f>
        <v>CPV</v>
      </c>
      <c r="C1109" s="22">
        <v>2023</v>
      </c>
      <c r="D1109" t="s">
        <v>112</v>
      </c>
      <c r="E1109" t="s">
        <v>40</v>
      </c>
      <c r="F1109" t="str">
        <f>VLOOKUP(G1109,PC!B:D,2,FALSE)</f>
        <v>BEBIDAS</v>
      </c>
      <c r="G1109" s="4" t="s">
        <v>26</v>
      </c>
      <c r="H1109" s="1">
        <v>119.8</v>
      </c>
    </row>
    <row r="1110" spans="2:8" x14ac:dyDescent="0.2">
      <c r="B1110" t="str">
        <f>VLOOKUP(G1110,PC!B:D,3,FALSE)</f>
        <v>CPV</v>
      </c>
      <c r="C1110" s="22">
        <v>2023</v>
      </c>
      <c r="D1110" t="s">
        <v>112</v>
      </c>
      <c r="E1110" t="s">
        <v>24</v>
      </c>
      <c r="F1110" t="str">
        <f>VLOOKUP(G1110,PC!B:D,2,FALSE)</f>
        <v>COMIDA</v>
      </c>
      <c r="G1110" s="4" t="s">
        <v>12</v>
      </c>
      <c r="H1110" s="1">
        <v>347.37</v>
      </c>
    </row>
    <row r="1111" spans="2:8" x14ac:dyDescent="0.2">
      <c r="B1111" t="str">
        <f>VLOOKUP(G1111,PC!B:D,3,FALSE)</f>
        <v>CPV</v>
      </c>
      <c r="C1111" s="22">
        <v>2023</v>
      </c>
      <c r="D1111" t="s">
        <v>112</v>
      </c>
      <c r="E1111" t="s">
        <v>28</v>
      </c>
      <c r="F1111" t="str">
        <f>VLOOKUP(G1111,PC!B:D,2,FALSE)</f>
        <v>BEBIDAS</v>
      </c>
      <c r="G1111" s="4" t="s">
        <v>26</v>
      </c>
      <c r="H1111" s="1">
        <v>4612.26</v>
      </c>
    </row>
    <row r="1112" spans="2:8" x14ac:dyDescent="0.2">
      <c r="B1112" t="str">
        <f>VLOOKUP(G1112,PC!B:D,3,FALSE)</f>
        <v>CPV</v>
      </c>
      <c r="C1112" s="22">
        <v>2023</v>
      </c>
      <c r="D1112" t="s">
        <v>112</v>
      </c>
      <c r="E1112" t="s">
        <v>14</v>
      </c>
      <c r="F1112" t="str">
        <f>VLOOKUP(G1112,PC!B:D,2,FALSE)</f>
        <v>BEBIDAS</v>
      </c>
      <c r="G1112" s="4" t="s">
        <v>25</v>
      </c>
      <c r="H1112" s="1">
        <f>1387.03-H1113</f>
        <v>922.81</v>
      </c>
    </row>
    <row r="1113" spans="2:8" x14ac:dyDescent="0.2">
      <c r="B1113" t="str">
        <f>VLOOKUP(G1113,PC!B:D,3,FALSE)</f>
        <v>CPV</v>
      </c>
      <c r="C1113" s="22">
        <v>2023</v>
      </c>
      <c r="D1113" t="s">
        <v>112</v>
      </c>
      <c r="E1113" t="s">
        <v>14</v>
      </c>
      <c r="F1113" t="str">
        <f>VLOOKUP(G1113,PC!B:D,2,FALSE)</f>
        <v>BEBIDAS</v>
      </c>
      <c r="G1113" s="4" t="s">
        <v>26</v>
      </c>
      <c r="H1113" s="1">
        <v>464.22</v>
      </c>
    </row>
    <row r="1114" spans="2:8" x14ac:dyDescent="0.2">
      <c r="B1114" t="str">
        <f>VLOOKUP(G1114,PC!B:D,3,FALSE)</f>
        <v>CPV</v>
      </c>
      <c r="C1114" s="22">
        <v>2023</v>
      </c>
      <c r="D1114" t="s">
        <v>112</v>
      </c>
      <c r="E1114" t="s">
        <v>95</v>
      </c>
      <c r="F1114" t="str">
        <f>VLOOKUP(G1114,PC!B:D,2,FALSE)</f>
        <v>BEBIDAS</v>
      </c>
      <c r="G1114" s="4" t="s">
        <v>144</v>
      </c>
      <c r="H1114" s="1">
        <v>238.57</v>
      </c>
    </row>
    <row r="1115" spans="2:8" x14ac:dyDescent="0.2">
      <c r="B1115" t="str">
        <f>VLOOKUP(G1115,PC!B:D,3,FALSE)</f>
        <v>CPV</v>
      </c>
      <c r="C1115" s="22">
        <v>2023</v>
      </c>
      <c r="D1115" t="s">
        <v>112</v>
      </c>
      <c r="E1115" t="s">
        <v>180</v>
      </c>
      <c r="F1115" t="str">
        <f>VLOOKUP(G1115,PC!B:D,2,FALSE)</f>
        <v>COMIDA</v>
      </c>
      <c r="G1115" s="4" t="s">
        <v>145</v>
      </c>
      <c r="H1115" s="1">
        <v>44.01</v>
      </c>
    </row>
    <row r="1116" spans="2:8" x14ac:dyDescent="0.2">
      <c r="B1116" t="str">
        <f>VLOOKUP(G1116,PC!B:D,3,FALSE)</f>
        <v>CPV</v>
      </c>
      <c r="C1116" s="22">
        <v>2023</v>
      </c>
      <c r="D1116" t="s">
        <v>112</v>
      </c>
      <c r="E1116" t="s">
        <v>159</v>
      </c>
      <c r="F1116" t="str">
        <f>VLOOKUP(G1116,PC!B:D,2,FALSE)</f>
        <v>SOBREMESA</v>
      </c>
      <c r="G1116" s="4" t="s">
        <v>8</v>
      </c>
      <c r="H1116" s="1">
        <v>29.41</v>
      </c>
    </row>
    <row r="1117" spans="2:8" x14ac:dyDescent="0.2">
      <c r="B1117" t="str">
        <f>VLOOKUP(G1117,PC!B:D,3,FALSE)</f>
        <v>CPV</v>
      </c>
      <c r="C1117" s="22">
        <v>2023</v>
      </c>
      <c r="D1117" t="s">
        <v>112</v>
      </c>
      <c r="E1117" t="s">
        <v>159</v>
      </c>
      <c r="F1117" t="str">
        <f>VLOOKUP(G1117,PC!B:D,2,FALSE)</f>
        <v>COMIDA</v>
      </c>
      <c r="G1117" s="4" t="s">
        <v>22</v>
      </c>
      <c r="H1117" s="1">
        <v>35.1</v>
      </c>
    </row>
    <row r="1118" spans="2:8" x14ac:dyDescent="0.2">
      <c r="B1118" t="str">
        <f>VLOOKUP(G1118,PC!B:D,3,FALSE)</f>
        <v>CPV</v>
      </c>
      <c r="C1118" s="22">
        <v>2023</v>
      </c>
      <c r="D1118" t="s">
        <v>112</v>
      </c>
      <c r="E1118" t="s">
        <v>156</v>
      </c>
      <c r="F1118" t="str">
        <f>VLOOKUP(G1118,PC!B:D,2,FALSE)</f>
        <v>BEBIDAS</v>
      </c>
      <c r="G1118" s="4" t="s">
        <v>26</v>
      </c>
      <c r="H1118" s="1">
        <v>215.2</v>
      </c>
    </row>
    <row r="1119" spans="2:8" x14ac:dyDescent="0.2">
      <c r="B1119" t="str">
        <f>VLOOKUP(G1119,PC!B:D,3,FALSE)</f>
        <v>RECEITA</v>
      </c>
      <c r="C1119" s="22">
        <v>2023</v>
      </c>
      <c r="D1119" t="s">
        <v>112</v>
      </c>
      <c r="F1119" t="str">
        <f>VLOOKUP(G1119,PC!B:D,2,FALSE)</f>
        <v>RECEITA</v>
      </c>
      <c r="G1119" s="4" t="s">
        <v>83</v>
      </c>
      <c r="H1119" s="1">
        <v>43.06</v>
      </c>
    </row>
    <row r="1120" spans="2:8" x14ac:dyDescent="0.2">
      <c r="B1120" t="str">
        <f>VLOOKUP(G1120,PC!B:D,3,FALSE)</f>
        <v>CPV</v>
      </c>
      <c r="C1120" s="22">
        <v>2023</v>
      </c>
      <c r="D1120" t="s">
        <v>112</v>
      </c>
      <c r="E1120" t="s">
        <v>10</v>
      </c>
      <c r="F1120" t="str">
        <f>VLOOKUP(G1120,PC!B:D,2,FALSE)</f>
        <v>COMIDA</v>
      </c>
      <c r="G1120" s="4" t="s">
        <v>33</v>
      </c>
      <c r="H1120" s="1">
        <v>470.04</v>
      </c>
    </row>
    <row r="1121" spans="2:9" x14ac:dyDescent="0.2">
      <c r="B1121" t="str">
        <f>VLOOKUP(G1121,PC!B:D,3,FALSE)</f>
        <v>CPV</v>
      </c>
      <c r="C1121" s="22">
        <v>2023</v>
      </c>
      <c r="D1121" t="s">
        <v>112</v>
      </c>
      <c r="E1121" t="s">
        <v>28</v>
      </c>
      <c r="F1121" t="str">
        <f>VLOOKUP(G1121,PC!B:D,2,FALSE)</f>
        <v>BEBIDAS</v>
      </c>
      <c r="G1121" s="4" t="s">
        <v>26</v>
      </c>
      <c r="H1121" s="1">
        <v>908.4</v>
      </c>
    </row>
    <row r="1122" spans="2:9" x14ac:dyDescent="0.2">
      <c r="B1122" t="str">
        <f>VLOOKUP(G1122,PC!B:D,3,FALSE)</f>
        <v>CPV</v>
      </c>
      <c r="C1122" s="22">
        <v>2023</v>
      </c>
      <c r="D1122" t="s">
        <v>112</v>
      </c>
      <c r="E1122" t="s">
        <v>14</v>
      </c>
      <c r="F1122" t="str">
        <f>VLOOKUP(G1122,PC!B:D,2,FALSE)</f>
        <v>BEBIDAS</v>
      </c>
      <c r="G1122" s="4" t="s">
        <v>25</v>
      </c>
      <c r="H1122" s="1">
        <v>444.12</v>
      </c>
    </row>
    <row r="1123" spans="2:9" x14ac:dyDescent="0.2">
      <c r="B1123" t="str">
        <f>VLOOKUP(G1123,PC!B:D,3,FALSE)</f>
        <v>CPV</v>
      </c>
      <c r="C1123" s="22">
        <v>2023</v>
      </c>
      <c r="D1123" t="s">
        <v>112</v>
      </c>
      <c r="E1123" t="s">
        <v>16</v>
      </c>
      <c r="F1123" t="str">
        <f>VLOOKUP(G1123,PC!B:D,2,FALSE)</f>
        <v>COMIDA</v>
      </c>
      <c r="G1123" s="4" t="s">
        <v>12</v>
      </c>
      <c r="H1123" s="1">
        <v>333.88</v>
      </c>
    </row>
    <row r="1124" spans="2:9" x14ac:dyDescent="0.2">
      <c r="B1124" t="str">
        <f>VLOOKUP(G1124,PC!B:D,3,FALSE)</f>
        <v>CPV</v>
      </c>
      <c r="C1124" s="22">
        <v>2023</v>
      </c>
      <c r="D1124" t="s">
        <v>112</v>
      </c>
      <c r="E1124" t="s">
        <v>5</v>
      </c>
      <c r="F1124" t="str">
        <f>VLOOKUP(G1124,PC!B:D,2,FALSE)</f>
        <v>COMIDA</v>
      </c>
      <c r="G1124" s="4" t="s">
        <v>18</v>
      </c>
      <c r="H1124" s="1">
        <v>234.92</v>
      </c>
    </row>
    <row r="1125" spans="2:9" x14ac:dyDescent="0.2">
      <c r="B1125" t="str">
        <f>VLOOKUP(G1125,PC!B:D,3,FALSE)</f>
        <v>CPV</v>
      </c>
      <c r="C1125" s="22">
        <v>2023</v>
      </c>
      <c r="D1125" t="s">
        <v>112</v>
      </c>
      <c r="E1125" t="s">
        <v>129</v>
      </c>
      <c r="F1125" t="str">
        <f>VLOOKUP(G1125,PC!B:D,2,FALSE)</f>
        <v>COMIDA</v>
      </c>
      <c r="G1125" s="4" t="s">
        <v>155</v>
      </c>
      <c r="H1125" s="1">
        <v>490</v>
      </c>
    </row>
    <row r="1126" spans="2:9" x14ac:dyDescent="0.2">
      <c r="B1126" t="str">
        <f>VLOOKUP(G1126,PC!B:D,3,FALSE)</f>
        <v>CPV</v>
      </c>
      <c r="C1126" s="22">
        <v>2023</v>
      </c>
      <c r="D1126" t="s">
        <v>112</v>
      </c>
      <c r="E1126" t="s">
        <v>77</v>
      </c>
      <c r="F1126" t="str">
        <f>VLOOKUP(G1126,PC!B:D,2,FALSE)</f>
        <v>OUTROS</v>
      </c>
      <c r="G1126" s="4" t="s">
        <v>37</v>
      </c>
      <c r="H1126" s="1">
        <v>572.41999999999996</v>
      </c>
    </row>
    <row r="1127" spans="2:9" x14ac:dyDescent="0.2">
      <c r="B1127" t="str">
        <f>VLOOKUP(G1127,PC!B:D,3,FALSE)</f>
        <v>CPV</v>
      </c>
      <c r="C1127" s="22">
        <v>2023</v>
      </c>
      <c r="D1127" t="s">
        <v>112</v>
      </c>
      <c r="E1127" t="s">
        <v>89</v>
      </c>
      <c r="F1127" t="str">
        <f>VLOOKUP(G1127,PC!B:D,2,FALSE)</f>
        <v>OUTROS</v>
      </c>
      <c r="G1127" s="4" t="s">
        <v>37</v>
      </c>
      <c r="H1127" s="1">
        <v>276.99</v>
      </c>
    </row>
    <row r="1128" spans="2:9" x14ac:dyDescent="0.2">
      <c r="B1128" t="str">
        <f>VLOOKUP(G1128,PC!B:D,3,FALSE)</f>
        <v>CPV</v>
      </c>
      <c r="C1128" s="22">
        <v>2023</v>
      </c>
      <c r="D1128" t="s">
        <v>112</v>
      </c>
      <c r="E1128" t="s">
        <v>129</v>
      </c>
      <c r="F1128" t="str">
        <f>VLOOKUP(G1128,PC!B:D,2,FALSE)</f>
        <v>COMIDA</v>
      </c>
      <c r="G1128" s="4" t="s">
        <v>155</v>
      </c>
      <c r="H1128" s="1">
        <v>320</v>
      </c>
    </row>
    <row r="1129" spans="2:9" x14ac:dyDescent="0.2">
      <c r="B1129" t="str">
        <f>VLOOKUP(G1129,PC!B:D,3,FALSE)</f>
        <v>DESPESA OPERACIONAL</v>
      </c>
      <c r="C1129" s="22">
        <v>2023</v>
      </c>
      <c r="D1129" t="s">
        <v>112</v>
      </c>
      <c r="F1129" t="str">
        <f>VLOOKUP(G1129,PC!B:D,2,FALSE)</f>
        <v>DESPESA OPERACIONAL</v>
      </c>
      <c r="G1129" s="4" t="s">
        <v>73</v>
      </c>
      <c r="H1129" s="1">
        <f>1614.37+1213.6+1466.77+1070.88+1444.29</f>
        <v>6809.91</v>
      </c>
    </row>
    <row r="1130" spans="2:9" x14ac:dyDescent="0.2">
      <c r="B1130" t="str">
        <f>VLOOKUP(G1130,PC!B:D,3,FALSE)</f>
        <v>RECEITA</v>
      </c>
      <c r="C1130" s="22">
        <v>2023</v>
      </c>
      <c r="D1130" t="s">
        <v>112</v>
      </c>
      <c r="F1130" t="str">
        <f>VLOOKUP(G1130,PC!B:D,2,FALSE)</f>
        <v>RECEITA</v>
      </c>
      <c r="G1130" s="4" t="s">
        <v>64</v>
      </c>
      <c r="H1130" s="1">
        <f>37.13+24.62+33.73+27.9+33.21</f>
        <v>156.59</v>
      </c>
    </row>
    <row r="1131" spans="2:9" x14ac:dyDescent="0.2">
      <c r="B1131" t="str">
        <f>VLOOKUP(G1131,PC!B:D,3,FALSE)</f>
        <v>CPV</v>
      </c>
      <c r="C1131" s="22">
        <v>2023</v>
      </c>
      <c r="D1131" t="s">
        <v>112</v>
      </c>
      <c r="E1131" t="s">
        <v>129</v>
      </c>
      <c r="F1131" t="str">
        <f>VLOOKUP(G1131,PC!B:D,2,FALSE)</f>
        <v>CIGARRO</v>
      </c>
      <c r="G1131" s="4" t="s">
        <v>57</v>
      </c>
      <c r="H1131" s="1">
        <f>704+128+62</f>
        <v>894</v>
      </c>
    </row>
    <row r="1132" spans="2:9" x14ac:dyDescent="0.2">
      <c r="B1132" t="str">
        <f>VLOOKUP(G1132,PC!B:D,3,FALSE)</f>
        <v>CPV</v>
      </c>
      <c r="C1132" s="22">
        <v>2023</v>
      </c>
      <c r="D1132" t="s">
        <v>112</v>
      </c>
      <c r="E1132" t="s">
        <v>129</v>
      </c>
      <c r="F1132" t="str">
        <f>VLOOKUP(G1132,PC!B:D,2,FALSE)</f>
        <v>CIGARRO</v>
      </c>
      <c r="G1132" s="4" t="s">
        <v>131</v>
      </c>
      <c r="H1132" s="1">
        <f>70+57+125</f>
        <v>252</v>
      </c>
    </row>
    <row r="1133" spans="2:9" x14ac:dyDescent="0.2">
      <c r="B1133" t="str">
        <f>VLOOKUP(G1133,PC!B:D,3,FALSE)</f>
        <v>CPV</v>
      </c>
      <c r="C1133" s="22">
        <v>2023</v>
      </c>
      <c r="D1133" t="s">
        <v>112</v>
      </c>
      <c r="E1133" t="s">
        <v>129</v>
      </c>
      <c r="F1133" t="str">
        <f>VLOOKUP(G1133,PC!B:D,2,FALSE)</f>
        <v>COMIDA</v>
      </c>
      <c r="G1133" s="4" t="s">
        <v>12</v>
      </c>
      <c r="H1133" s="1">
        <v>75</v>
      </c>
      <c r="I1133" s="7" t="s">
        <v>181</v>
      </c>
    </row>
    <row r="1134" spans="2:9" x14ac:dyDescent="0.2">
      <c r="B1134" t="str">
        <f>VLOOKUP(G1134,PC!B:D,3,FALSE)</f>
        <v>CPV</v>
      </c>
      <c r="C1134" s="22">
        <v>2023</v>
      </c>
      <c r="D1134" t="s">
        <v>112</v>
      </c>
      <c r="E1134" t="s">
        <v>129</v>
      </c>
      <c r="F1134" t="str">
        <f>VLOOKUP(G1134,PC!B:D,2,FALSE)</f>
        <v>SOBREMESA</v>
      </c>
      <c r="G1134" s="4" t="s">
        <v>8</v>
      </c>
      <c r="H1134" s="1">
        <v>85</v>
      </c>
    </row>
    <row r="1135" spans="2:9" x14ac:dyDescent="0.2">
      <c r="B1135" t="str">
        <f>VLOOKUP(G1135,PC!B:D,3,FALSE)</f>
        <v>CPV</v>
      </c>
      <c r="C1135" s="22">
        <v>2023</v>
      </c>
      <c r="D1135" t="s">
        <v>112</v>
      </c>
      <c r="E1135" t="s">
        <v>129</v>
      </c>
      <c r="F1135" t="str">
        <f>VLOOKUP(G1135,PC!B:D,2,FALSE)</f>
        <v>BEBIDAS</v>
      </c>
      <c r="G1135" s="4" t="s">
        <v>48</v>
      </c>
      <c r="H1135" s="1">
        <v>202</v>
      </c>
    </row>
    <row r="1136" spans="2:9" x14ac:dyDescent="0.2">
      <c r="B1136" t="str">
        <f>VLOOKUP(G1136,PC!B:D,3,FALSE)</f>
        <v>CPV</v>
      </c>
      <c r="C1136" s="22">
        <v>2023</v>
      </c>
      <c r="D1136" t="s">
        <v>112</v>
      </c>
      <c r="E1136" t="s">
        <v>129</v>
      </c>
      <c r="F1136" t="str">
        <f>VLOOKUP(G1136,PC!B:D,2,FALSE)</f>
        <v>BEBIDAS</v>
      </c>
      <c r="G1136" s="4" t="s">
        <v>48</v>
      </c>
      <c r="H1136" s="1">
        <v>369.6</v>
      </c>
    </row>
    <row r="1137" spans="2:9" x14ac:dyDescent="0.2">
      <c r="B1137" t="str">
        <f>VLOOKUP(G1137,PC!B:D,3,FALSE)</f>
        <v>CPV</v>
      </c>
      <c r="C1137" s="22">
        <v>2023</v>
      </c>
      <c r="D1137" t="s">
        <v>112</v>
      </c>
      <c r="E1137" t="s">
        <v>129</v>
      </c>
      <c r="F1137" t="str">
        <f>VLOOKUP(G1137,PC!B:D,2,FALSE)</f>
        <v>OUTROS</v>
      </c>
      <c r="G1137" s="4" t="s">
        <v>58</v>
      </c>
      <c r="H1137" s="1">
        <v>140</v>
      </c>
    </row>
    <row r="1138" spans="2:9" x14ac:dyDescent="0.2">
      <c r="B1138" t="str">
        <f>VLOOKUP(G1138,PC!B:D,3,FALSE)</f>
        <v>CPV</v>
      </c>
      <c r="C1138" s="22">
        <v>2023</v>
      </c>
      <c r="D1138" t="s">
        <v>112</v>
      </c>
      <c r="E1138" t="s">
        <v>129</v>
      </c>
      <c r="F1138" t="str">
        <f>VLOOKUP(G1138,PC!B:D,2,FALSE)</f>
        <v>CIGARRO</v>
      </c>
      <c r="G1138" s="4" t="s">
        <v>57</v>
      </c>
      <c r="H1138" s="1">
        <f>704+62</f>
        <v>766</v>
      </c>
    </row>
    <row r="1139" spans="2:9" x14ac:dyDescent="0.2">
      <c r="B1139" t="str">
        <f>VLOOKUP(G1139,PC!B:D,3,FALSE)</f>
        <v>CPV</v>
      </c>
      <c r="C1139" s="22">
        <v>2023</v>
      </c>
      <c r="D1139" t="s">
        <v>112</v>
      </c>
      <c r="E1139" t="s">
        <v>129</v>
      </c>
      <c r="F1139" t="str">
        <f>VLOOKUP(G1139,PC!B:D,2,FALSE)</f>
        <v>CIGARRO</v>
      </c>
      <c r="G1139" s="4" t="s">
        <v>131</v>
      </c>
      <c r="H1139" s="1">
        <f>45+70+45</f>
        <v>160</v>
      </c>
    </row>
    <row r="1140" spans="2:9" x14ac:dyDescent="0.2">
      <c r="B1140" t="str">
        <f>VLOOKUP(G1140,PC!B:D,3,FALSE)</f>
        <v>CPV</v>
      </c>
      <c r="C1140" s="22">
        <v>2023</v>
      </c>
      <c r="D1140" t="s">
        <v>112</v>
      </c>
      <c r="E1140" t="s">
        <v>129</v>
      </c>
      <c r="F1140" t="str">
        <f>VLOOKUP(G1140,PC!B:D,2,FALSE)</f>
        <v>COMIDA</v>
      </c>
      <c r="G1140" s="4" t="s">
        <v>12</v>
      </c>
      <c r="H1140" s="1">
        <v>75</v>
      </c>
    </row>
    <row r="1141" spans="2:9" x14ac:dyDescent="0.2">
      <c r="B1141" t="str">
        <f>VLOOKUP(G1141,PC!B:D,3,FALSE)</f>
        <v>CPV</v>
      </c>
      <c r="C1141" s="22">
        <v>2023</v>
      </c>
      <c r="D1141" t="s">
        <v>112</v>
      </c>
      <c r="E1141" t="s">
        <v>129</v>
      </c>
      <c r="F1141" t="str">
        <f>VLOOKUP(G1141,PC!B:D,2,FALSE)</f>
        <v>SOBREMESA</v>
      </c>
      <c r="G1141" s="4" t="s">
        <v>75</v>
      </c>
      <c r="H1141" s="1">
        <v>1061.45</v>
      </c>
    </row>
    <row r="1142" spans="2:9" x14ac:dyDescent="0.2">
      <c r="B1142" t="str">
        <f>VLOOKUP(G1142,PC!B:D,3,FALSE)</f>
        <v>DESCONTO DE FATURAMENTO</v>
      </c>
      <c r="C1142" s="22">
        <v>2023</v>
      </c>
      <c r="D1142" t="s">
        <v>111</v>
      </c>
      <c r="F1142" t="str">
        <f>VLOOKUP(G1142,PC!B:D,2,FALSE)</f>
        <v>IMPOSTO</v>
      </c>
      <c r="G1142" s="4" t="s">
        <v>88</v>
      </c>
      <c r="H1142" s="1">
        <v>4836.2</v>
      </c>
    </row>
    <row r="1143" spans="2:9" x14ac:dyDescent="0.2">
      <c r="B1143" t="str">
        <f>VLOOKUP(G1143,PC!B:D,3,FALSE)</f>
        <v>DESCONTO DE FATURAMENTO</v>
      </c>
      <c r="C1143" s="22">
        <v>2023</v>
      </c>
      <c r="D1143" t="s">
        <v>111</v>
      </c>
      <c r="F1143" t="str">
        <f>VLOOKUP(G1143,PC!B:D,2,FALSE)</f>
        <v>IMPOSTO</v>
      </c>
      <c r="G1143" s="4" t="s">
        <v>158</v>
      </c>
      <c r="H1143" s="1">
        <v>479.15</v>
      </c>
    </row>
    <row r="1144" spans="2:9" x14ac:dyDescent="0.2">
      <c r="B1144" t="str">
        <f>VLOOKUP(G1144,PC!B:D,3,FALSE)</f>
        <v>DESPESA PESSOAL</v>
      </c>
      <c r="C1144" s="22">
        <v>2023</v>
      </c>
      <c r="D1144" t="s">
        <v>111</v>
      </c>
      <c r="F1144" t="str">
        <f>VLOOKUP(G1144,PC!B:D,2,FALSE)</f>
        <v>DESPESA PESSOAL</v>
      </c>
      <c r="G1144" s="4" t="s">
        <v>68</v>
      </c>
      <c r="H1144" s="1">
        <v>632</v>
      </c>
      <c r="I1144" s="7" t="s">
        <v>157</v>
      </c>
    </row>
    <row r="1145" spans="2:9" x14ac:dyDescent="0.2">
      <c r="B1145" t="str">
        <f>VLOOKUP(G1145,PC!B:D,3,FALSE)</f>
        <v>SERV.TERCEIROS</v>
      </c>
      <c r="C1145" s="22">
        <v>2023</v>
      </c>
      <c r="D1145" t="s">
        <v>111</v>
      </c>
      <c r="F1145" t="str">
        <f>VLOOKUP(G1145,PC!B:D,2,FALSE)</f>
        <v>SERV.TERCEIROS</v>
      </c>
      <c r="G1145" s="4" t="s">
        <v>60</v>
      </c>
      <c r="H1145" s="1">
        <v>380</v>
      </c>
    </row>
    <row r="1146" spans="2:9" x14ac:dyDescent="0.2">
      <c r="B1146" t="str">
        <f>VLOOKUP(G1146,PC!B:D,3,FALSE)</f>
        <v>INVESTIMENTO</v>
      </c>
      <c r="C1146" s="22">
        <v>2023</v>
      </c>
      <c r="D1146" t="s">
        <v>112</v>
      </c>
      <c r="F1146" t="str">
        <f>VLOOKUP(G1146,PC!B:D,2,FALSE)</f>
        <v>INVESTIMENTO</v>
      </c>
      <c r="G1146" s="4" t="s">
        <v>130</v>
      </c>
      <c r="H1146" s="1">
        <v>500</v>
      </c>
    </row>
    <row r="1147" spans="2:9" x14ac:dyDescent="0.2">
      <c r="B1147" t="str">
        <f>VLOOKUP(G1147,PC!B:D,3,FALSE)</f>
        <v>RECEITAS NÃO OPERACIONAIS</v>
      </c>
      <c r="C1147" s="22">
        <v>2023</v>
      </c>
      <c r="D1147" t="s">
        <v>112</v>
      </c>
      <c r="F1147" t="str">
        <f>VLOOKUP(G1147,PC!B:D,2,FALSE)</f>
        <v>EMPRESTIMO</v>
      </c>
      <c r="G1147" s="4" t="s">
        <v>71</v>
      </c>
      <c r="H1147" s="1">
        <v>110</v>
      </c>
    </row>
    <row r="1148" spans="2:9" x14ac:dyDescent="0.2">
      <c r="B1148" t="str">
        <f>VLOOKUP(G1148,PC!B:D,3,FALSE)</f>
        <v>RECEITA</v>
      </c>
      <c r="C1148" s="22">
        <v>2023</v>
      </c>
      <c r="D1148" t="s">
        <v>112</v>
      </c>
      <c r="F1148" t="str">
        <f>VLOOKUP(G1148,PC!B:D,2,FALSE)</f>
        <v>RECEITA</v>
      </c>
      <c r="G1148" s="4" t="s">
        <v>54</v>
      </c>
      <c r="H1148" s="1">
        <f>110+280+160+20+206</f>
        <v>776</v>
      </c>
    </row>
    <row r="1149" spans="2:9" x14ac:dyDescent="0.2">
      <c r="B1149" t="str">
        <f>VLOOKUP(G1149,PC!B:D,3,FALSE)</f>
        <v>CPV</v>
      </c>
      <c r="C1149" s="22">
        <v>2023</v>
      </c>
      <c r="D1149" t="s">
        <v>112</v>
      </c>
      <c r="E1149" t="s">
        <v>129</v>
      </c>
      <c r="F1149" t="str">
        <f>VLOOKUP(G1149,PC!B:D,2,FALSE)</f>
        <v>COMIDA</v>
      </c>
      <c r="G1149" s="4" t="s">
        <v>12</v>
      </c>
      <c r="H1149" s="1">
        <v>206</v>
      </c>
    </row>
    <row r="1150" spans="2:9" x14ac:dyDescent="0.2">
      <c r="B1150" t="str">
        <f>VLOOKUP(G1150,PC!B:D,3,FALSE)</f>
        <v>DESPESA PESSOAL</v>
      </c>
      <c r="C1150" s="22">
        <v>2023</v>
      </c>
      <c r="D1150" t="s">
        <v>112</v>
      </c>
      <c r="F1150" t="str">
        <f>VLOOKUP(G1150,PC!B:D,2,FALSE)</f>
        <v>DESPESA PESSOAL</v>
      </c>
      <c r="G1150" s="4" t="s">
        <v>68</v>
      </c>
      <c r="H1150" s="1">
        <v>20</v>
      </c>
    </row>
    <row r="1151" spans="2:9" x14ac:dyDescent="0.2">
      <c r="B1151" t="str">
        <f>VLOOKUP(G1151,PC!B:D,3,FALSE)</f>
        <v>RECEITA</v>
      </c>
      <c r="C1151" s="22">
        <v>2023</v>
      </c>
      <c r="D1151" t="s">
        <v>112</v>
      </c>
      <c r="F1151" t="str">
        <f>VLOOKUP(G1151,PC!B:D,2,FALSE)</f>
        <v>RECEITA</v>
      </c>
      <c r="G1151" s="4" t="s">
        <v>54</v>
      </c>
      <c r="H1151" s="1">
        <v>750</v>
      </c>
    </row>
    <row r="1152" spans="2:9" x14ac:dyDescent="0.2">
      <c r="B1152" t="str">
        <f>VLOOKUP(G1152,PC!B:D,3,FALSE)</f>
        <v>RECEITA</v>
      </c>
      <c r="C1152" s="22">
        <v>2023</v>
      </c>
      <c r="D1152" t="s">
        <v>112</v>
      </c>
      <c r="F1152" t="str">
        <f>VLOOKUP(G1152,PC!B:D,2,FALSE)</f>
        <v>RECEITA</v>
      </c>
      <c r="G1152" s="4" t="s">
        <v>54</v>
      </c>
      <c r="H1152" s="1">
        <v>2650</v>
      </c>
    </row>
    <row r="1153" spans="2:8" x14ac:dyDescent="0.2">
      <c r="B1153" t="str">
        <f>VLOOKUP(G1153,PC!B:D,3,FALSE)</f>
        <v>RECEITA</v>
      </c>
      <c r="C1153" s="22">
        <v>2023</v>
      </c>
      <c r="D1153" t="s">
        <v>112</v>
      </c>
      <c r="F1153" t="str">
        <f>VLOOKUP(G1153,PC!B:D,2,FALSE)</f>
        <v>RECEITA</v>
      </c>
      <c r="G1153" s="4" t="s">
        <v>54</v>
      </c>
      <c r="H1153" s="1">
        <v>80</v>
      </c>
    </row>
    <row r="1154" spans="2:8" x14ac:dyDescent="0.2">
      <c r="B1154" t="str">
        <f>VLOOKUP(G1154,PC!B:D,3,FALSE)</f>
        <v>RECEITA</v>
      </c>
      <c r="C1154" s="22">
        <v>2023</v>
      </c>
      <c r="D1154" t="s">
        <v>112</v>
      </c>
      <c r="F1154" t="str">
        <f>VLOOKUP(G1154,PC!B:D,2,FALSE)</f>
        <v>RECEITA</v>
      </c>
      <c r="G1154" s="4" t="s">
        <v>54</v>
      </c>
      <c r="H1154" s="1">
        <v>2800</v>
      </c>
    </row>
    <row r="1155" spans="2:8" x14ac:dyDescent="0.2">
      <c r="B1155" t="str">
        <f>VLOOKUP(G1155,PC!B:D,3,FALSE)</f>
        <v>RECEITA</v>
      </c>
      <c r="C1155" s="22">
        <v>2023</v>
      </c>
      <c r="D1155" t="s">
        <v>112</v>
      </c>
      <c r="F1155" t="str">
        <f>VLOOKUP(G1155,PC!B:D,2,FALSE)</f>
        <v>RECEITA</v>
      </c>
      <c r="G1155" s="4" t="s">
        <v>182</v>
      </c>
      <c r="H1155" s="1">
        <f>215+30+29+300+40</f>
        <v>614</v>
      </c>
    </row>
    <row r="1156" spans="2:8" x14ac:dyDescent="0.2">
      <c r="B1156" t="str">
        <f>VLOOKUP(G1156,PC!B:D,3,FALSE)</f>
        <v>DESPESA PESSOAL</v>
      </c>
      <c r="C1156" s="22">
        <v>2023</v>
      </c>
      <c r="D1156" t="s">
        <v>112</v>
      </c>
      <c r="F1156" t="str">
        <f>VLOOKUP(G1156,PC!B:D,2,FALSE)</f>
        <v>DESPESA PESSOAL</v>
      </c>
      <c r="G1156" s="4" t="s">
        <v>56</v>
      </c>
      <c r="H1156" s="1">
        <v>300</v>
      </c>
    </row>
    <row r="1157" spans="2:8" x14ac:dyDescent="0.2">
      <c r="B1157" t="str">
        <f>VLOOKUP(G1157,PC!B:D,3,FALSE)</f>
        <v>DESPESA PESSOAL</v>
      </c>
      <c r="C1157" s="22">
        <v>2023</v>
      </c>
      <c r="D1157" t="s">
        <v>112</v>
      </c>
      <c r="F1157" t="str">
        <f>VLOOKUP(G1157,PC!B:D,2,FALSE)</f>
        <v>DESPESA PESSOAL</v>
      </c>
      <c r="G1157" s="4" t="s">
        <v>56</v>
      </c>
      <c r="H1157" s="1">
        <v>40</v>
      </c>
    </row>
    <row r="1158" spans="2:8" x14ac:dyDescent="0.2">
      <c r="B1158" t="str">
        <f>VLOOKUP(G1158,PC!B:D,3,FALSE)</f>
        <v>RECEITA</v>
      </c>
      <c r="C1158" s="22">
        <v>2023</v>
      </c>
      <c r="D1158" t="s">
        <v>112</v>
      </c>
      <c r="F1158" t="str">
        <f>VLOOKUP(G1158,PC!B:D,2,FALSE)</f>
        <v>RECEITA</v>
      </c>
      <c r="G1158" s="4" t="s">
        <v>54</v>
      </c>
      <c r="H1158" s="1">
        <v>1800</v>
      </c>
    </row>
    <row r="1159" spans="2:8" x14ac:dyDescent="0.2">
      <c r="B1159" t="str">
        <f>VLOOKUP(G1159,PC!B:D,3,FALSE)</f>
        <v>RECEITA</v>
      </c>
      <c r="C1159" s="22">
        <v>2023</v>
      </c>
      <c r="D1159" t="s">
        <v>112</v>
      </c>
      <c r="F1159" t="str">
        <f>VLOOKUP(G1159,PC!B:D,2,FALSE)</f>
        <v>RECEITA</v>
      </c>
      <c r="G1159" s="4" t="s">
        <v>54</v>
      </c>
      <c r="H1159" s="1">
        <v>2450</v>
      </c>
    </row>
    <row r="1160" spans="2:8" x14ac:dyDescent="0.2">
      <c r="B1160" t="str">
        <f>VLOOKUP(G1160,PC!B:D,3,FALSE)</f>
        <v>CPV</v>
      </c>
      <c r="C1160" s="22">
        <v>2023</v>
      </c>
      <c r="D1160" t="s">
        <v>112</v>
      </c>
      <c r="E1160" t="s">
        <v>129</v>
      </c>
      <c r="F1160" t="str">
        <f>VLOOKUP(G1160,PC!B:D,2,FALSE)</f>
        <v>COMIDA</v>
      </c>
      <c r="G1160" s="4" t="s">
        <v>22</v>
      </c>
      <c r="H1160" s="1">
        <v>29</v>
      </c>
    </row>
    <row r="1161" spans="2:8" x14ac:dyDescent="0.2">
      <c r="B1161" t="str">
        <f>VLOOKUP(G1161,PC!B:D,3,FALSE)</f>
        <v>CPV</v>
      </c>
      <c r="C1161" s="22">
        <v>2023</v>
      </c>
      <c r="D1161" t="s">
        <v>112</v>
      </c>
      <c r="E1161" t="s">
        <v>129</v>
      </c>
      <c r="F1161" t="str">
        <f>VLOOKUP(G1161,PC!B:D,2,FALSE)</f>
        <v>SOBREMESA</v>
      </c>
      <c r="G1161" s="4" t="s">
        <v>7</v>
      </c>
      <c r="H1161" s="1">
        <v>30</v>
      </c>
    </row>
    <row r="1162" spans="2:8" x14ac:dyDescent="0.2">
      <c r="B1162" t="str">
        <f>VLOOKUP(G1162,PC!B:D,3,FALSE)</f>
        <v>DESPESA PESSOAL</v>
      </c>
      <c r="C1162" s="22">
        <v>2023</v>
      </c>
      <c r="D1162" t="s">
        <v>112</v>
      </c>
      <c r="F1162" t="str">
        <f>VLOOKUP(G1162,PC!B:D,2,FALSE)</f>
        <v>DESPESA PESSOAL</v>
      </c>
      <c r="G1162" s="4" t="s">
        <v>56</v>
      </c>
      <c r="H1162" s="1">
        <v>350</v>
      </c>
    </row>
    <row r="1163" spans="2:8" x14ac:dyDescent="0.2">
      <c r="B1163" t="str">
        <f>VLOOKUP(G1163,PC!B:D,3,FALSE)</f>
        <v>RECEITA</v>
      </c>
      <c r="C1163" s="22">
        <v>2023</v>
      </c>
      <c r="D1163" t="s">
        <v>112</v>
      </c>
      <c r="F1163" t="str">
        <f>VLOOKUP(G1163,PC!B:D,2,FALSE)</f>
        <v>RECEITA</v>
      </c>
      <c r="G1163" s="4" t="s">
        <v>54</v>
      </c>
      <c r="H1163" s="1">
        <v>350</v>
      </c>
    </row>
    <row r="1164" spans="2:8" x14ac:dyDescent="0.2">
      <c r="B1164" t="str">
        <f>VLOOKUP(G1164,PC!B:D,3,FALSE)</f>
        <v>RECEITA</v>
      </c>
      <c r="C1164" s="22">
        <v>2023</v>
      </c>
      <c r="D1164" t="s">
        <v>112</v>
      </c>
      <c r="F1164" t="str">
        <f>VLOOKUP(G1164,PC!B:D,2,FALSE)</f>
        <v>RECEITA</v>
      </c>
      <c r="G1164" s="4" t="s">
        <v>54</v>
      </c>
      <c r="H1164" s="1">
        <v>2300</v>
      </c>
    </row>
    <row r="1165" spans="2:8" x14ac:dyDescent="0.2">
      <c r="B1165" t="str">
        <f>VLOOKUP(G1165,PC!B:D,3,FALSE)</f>
        <v>DESPESA PESSOAL</v>
      </c>
      <c r="C1165" s="22">
        <v>2023</v>
      </c>
      <c r="D1165" t="s">
        <v>112</v>
      </c>
      <c r="F1165" t="str">
        <f>VLOOKUP(G1165,PC!B:D,2,FALSE)</f>
        <v>DESPESA PESSOAL</v>
      </c>
      <c r="G1165" s="4" t="s">
        <v>68</v>
      </c>
      <c r="H1165" s="1">
        <v>120</v>
      </c>
    </row>
    <row r="1166" spans="2:8" x14ac:dyDescent="0.2">
      <c r="B1166" t="str">
        <f>VLOOKUP(G1166,PC!B:D,3,FALSE)</f>
        <v>RECEITA</v>
      </c>
      <c r="C1166" s="22">
        <v>2023</v>
      </c>
      <c r="D1166" t="s">
        <v>112</v>
      </c>
      <c r="F1166" t="str">
        <f>VLOOKUP(G1166,PC!B:D,2,FALSE)</f>
        <v>RECEITA</v>
      </c>
      <c r="G1166" s="4" t="s">
        <v>54</v>
      </c>
      <c r="H1166" s="1">
        <f>53.4+120+184+500</f>
        <v>857.4</v>
      </c>
    </row>
    <row r="1167" spans="2:8" x14ac:dyDescent="0.2">
      <c r="B1167" t="str">
        <f>VLOOKUP(G1167,PC!B:D,3,FALSE)</f>
        <v>RECEITAS NÃO OPERACIONAIS</v>
      </c>
      <c r="C1167" s="22">
        <v>2023</v>
      </c>
      <c r="D1167" t="s">
        <v>112</v>
      </c>
      <c r="F1167" t="str">
        <f>VLOOKUP(G1167,PC!B:D,2,FALSE)</f>
        <v>EMPRESTIMO</v>
      </c>
      <c r="G1167" s="4" t="s">
        <v>71</v>
      </c>
      <c r="H1167" s="1">
        <v>500</v>
      </c>
    </row>
    <row r="1168" spans="2:8" x14ac:dyDescent="0.2">
      <c r="B1168" t="str">
        <f>VLOOKUP(G1168,PC!B:D,3,FALSE)</f>
        <v>RECEITA</v>
      </c>
      <c r="C1168" s="22">
        <v>2023</v>
      </c>
      <c r="D1168" t="s">
        <v>112</v>
      </c>
      <c r="F1168" t="str">
        <f>VLOOKUP(G1168,PC!B:D,2,FALSE)</f>
        <v>RECEITA</v>
      </c>
      <c r="G1168" s="4" t="s">
        <v>54</v>
      </c>
      <c r="H1168" s="1">
        <v>300</v>
      </c>
    </row>
    <row r="1169" spans="2:9" x14ac:dyDescent="0.2">
      <c r="B1169" t="str">
        <f>VLOOKUP(G1169,PC!B:D,3,FALSE)</f>
        <v>RECEITA</v>
      </c>
      <c r="C1169" s="22">
        <v>2023</v>
      </c>
      <c r="D1169" t="s">
        <v>112</v>
      </c>
      <c r="F1169" t="str">
        <f>VLOOKUP(G1169,PC!B:D,2,FALSE)</f>
        <v>RECEITA</v>
      </c>
      <c r="G1169" s="4" t="s">
        <v>54</v>
      </c>
      <c r="H1169" s="1">
        <v>1600</v>
      </c>
    </row>
    <row r="1170" spans="2:9" x14ac:dyDescent="0.2">
      <c r="B1170" t="str">
        <f>VLOOKUP(G1170,PC!B:D,3,FALSE)</f>
        <v>RECEITA</v>
      </c>
      <c r="C1170" s="22">
        <v>2023</v>
      </c>
      <c r="D1170" t="s">
        <v>112</v>
      </c>
      <c r="F1170" t="str">
        <f>VLOOKUP(G1170,PC!B:D,2,FALSE)</f>
        <v>RECEITA</v>
      </c>
      <c r="G1170" s="4" t="s">
        <v>54</v>
      </c>
      <c r="H1170" s="1">
        <f>300+400+270</f>
        <v>970</v>
      </c>
    </row>
    <row r="1171" spans="2:9" x14ac:dyDescent="0.2">
      <c r="B1171" t="str">
        <f>VLOOKUP(G1171,PC!B:D,3,FALSE)</f>
        <v>SERV. PUBLICOS</v>
      </c>
      <c r="C1171" s="22">
        <v>2023</v>
      </c>
      <c r="D1171" t="s">
        <v>111</v>
      </c>
      <c r="F1171" t="str">
        <f>VLOOKUP(G1171,PC!B:D,2,FALSE)</f>
        <v>SERV. PUBLICOS</v>
      </c>
      <c r="G1171" s="4" t="s">
        <v>104</v>
      </c>
      <c r="H1171" s="1">
        <v>200</v>
      </c>
    </row>
    <row r="1172" spans="2:9" x14ac:dyDescent="0.2">
      <c r="B1172" t="str">
        <f>VLOOKUP(G1172,PC!B:D,3,FALSE)</f>
        <v>RECEITA</v>
      </c>
      <c r="C1172" s="22">
        <v>2023</v>
      </c>
      <c r="D1172" t="s">
        <v>112</v>
      </c>
      <c r="F1172" t="str">
        <f>VLOOKUP(G1172,PC!B:D,2,FALSE)</f>
        <v>RECEITA</v>
      </c>
      <c r="G1172" s="4" t="s">
        <v>54</v>
      </c>
      <c r="H1172" s="1">
        <v>400</v>
      </c>
    </row>
    <row r="1173" spans="2:9" x14ac:dyDescent="0.2">
      <c r="B1173" t="str">
        <f>VLOOKUP(G1173,PC!B:D,3,FALSE)</f>
        <v>CPV</v>
      </c>
      <c r="C1173" s="22">
        <v>2023</v>
      </c>
      <c r="D1173" t="s">
        <v>112</v>
      </c>
      <c r="E1173" t="s">
        <v>129</v>
      </c>
      <c r="F1173" t="str">
        <f>VLOOKUP(G1173,PC!B:D,2,FALSE)</f>
        <v>COMIDA</v>
      </c>
      <c r="G1173" s="4" t="s">
        <v>33</v>
      </c>
      <c r="H1173" s="1">
        <v>270</v>
      </c>
    </row>
    <row r="1174" spans="2:9" x14ac:dyDescent="0.2">
      <c r="B1174" t="str">
        <f>VLOOKUP(G1174,PC!B:D,3,FALSE)</f>
        <v>RECEITA</v>
      </c>
      <c r="C1174" s="22">
        <v>2023</v>
      </c>
      <c r="D1174" t="s">
        <v>112</v>
      </c>
      <c r="F1174" t="str">
        <f>VLOOKUP(G1174,PC!B:D,2,FALSE)</f>
        <v>RECEITA</v>
      </c>
      <c r="G1174" s="4" t="s">
        <v>54</v>
      </c>
      <c r="H1174" s="1">
        <v>1700</v>
      </c>
    </row>
    <row r="1175" spans="2:9" x14ac:dyDescent="0.2">
      <c r="B1175" t="str">
        <f>VLOOKUP(G1175,PC!B:D,3,FALSE)</f>
        <v>RECEITA</v>
      </c>
      <c r="C1175" s="22">
        <v>2023</v>
      </c>
      <c r="D1175" t="s">
        <v>112</v>
      </c>
      <c r="F1175" t="str">
        <f>VLOOKUP(G1175,PC!B:D,2,FALSE)</f>
        <v>RECEITA</v>
      </c>
      <c r="G1175" s="4" t="s">
        <v>54</v>
      </c>
      <c r="H1175" s="1">
        <f>108+28+75+56+140+20+60+63</f>
        <v>550</v>
      </c>
    </row>
    <row r="1176" spans="2:9" x14ac:dyDescent="0.2">
      <c r="B1176" t="str">
        <f>VLOOKUP(G1176,PC!B:D,3,FALSE)</f>
        <v>CPV</v>
      </c>
      <c r="C1176" s="22">
        <v>2023</v>
      </c>
      <c r="D1176" t="s">
        <v>112</v>
      </c>
      <c r="E1176" t="s">
        <v>129</v>
      </c>
      <c r="F1176" t="str">
        <f>VLOOKUP(G1176,PC!B:D,2,FALSE)</f>
        <v>SOBREMESA</v>
      </c>
      <c r="G1176" s="4" t="s">
        <v>7</v>
      </c>
      <c r="H1176" s="1">
        <v>108</v>
      </c>
    </row>
    <row r="1177" spans="2:9" x14ac:dyDescent="0.2">
      <c r="B1177" t="str">
        <f>VLOOKUP(G1177,PC!B:D,3,FALSE)</f>
        <v>CPV</v>
      </c>
      <c r="C1177" s="22">
        <v>2023</v>
      </c>
      <c r="D1177" t="s">
        <v>112</v>
      </c>
      <c r="E1177" t="s">
        <v>129</v>
      </c>
      <c r="F1177" t="str">
        <f>VLOOKUP(G1177,PC!B:D,2,FALSE)</f>
        <v>COMIDA</v>
      </c>
      <c r="G1177" s="4" t="s">
        <v>12</v>
      </c>
      <c r="H1177" s="1">
        <v>28</v>
      </c>
    </row>
    <row r="1178" spans="2:9" x14ac:dyDescent="0.2">
      <c r="B1178" t="str">
        <f>VLOOKUP(G1178,PC!B:D,3,FALSE)</f>
        <v>CPV</v>
      </c>
      <c r="C1178" s="22">
        <v>2023</v>
      </c>
      <c r="D1178" t="s">
        <v>112</v>
      </c>
      <c r="E1178" t="s">
        <v>129</v>
      </c>
      <c r="F1178" t="str">
        <f>VLOOKUP(G1178,PC!B:D,2,FALSE)</f>
        <v>COMIDA</v>
      </c>
      <c r="G1178" s="4" t="s">
        <v>12</v>
      </c>
      <c r="H1178" s="1">
        <v>56</v>
      </c>
    </row>
    <row r="1179" spans="2:9" x14ac:dyDescent="0.2">
      <c r="B1179" t="str">
        <f>VLOOKUP(G1179,PC!B:D,3,FALSE)</f>
        <v>DESPESA OPERACIONAL</v>
      </c>
      <c r="C1179" s="22">
        <v>2023</v>
      </c>
      <c r="D1179" t="s">
        <v>112</v>
      </c>
      <c r="F1179" t="str">
        <f>VLOOKUP(G1179,PC!B:D,2,FALSE)</f>
        <v>DESPESA OPERACIONAL</v>
      </c>
      <c r="G1179" s="4" t="s">
        <v>70</v>
      </c>
      <c r="H1179" s="1">
        <v>140</v>
      </c>
    </row>
    <row r="1180" spans="2:9" x14ac:dyDescent="0.2">
      <c r="B1180" t="str">
        <f>VLOOKUP(G1180,PC!B:D,3,FALSE)</f>
        <v>DESPESA PESSOAL</v>
      </c>
      <c r="C1180" s="22">
        <v>2023</v>
      </c>
      <c r="D1180" t="s">
        <v>112</v>
      </c>
      <c r="F1180" t="str">
        <f>VLOOKUP(G1180,PC!B:D,2,FALSE)</f>
        <v>DESPESA PESSOAL</v>
      </c>
      <c r="G1180" s="4" t="s">
        <v>56</v>
      </c>
      <c r="H1180" s="1">
        <v>20</v>
      </c>
    </row>
    <row r="1181" spans="2:9" x14ac:dyDescent="0.2">
      <c r="B1181" t="str">
        <f>VLOOKUP(G1181,PC!B:D,3,FALSE)</f>
        <v>CPV</v>
      </c>
      <c r="C1181" s="22">
        <v>2023</v>
      </c>
      <c r="D1181" t="s">
        <v>112</v>
      </c>
      <c r="E1181" t="s">
        <v>129</v>
      </c>
      <c r="F1181" t="str">
        <f>VLOOKUP(G1181,PC!B:D,2,FALSE)</f>
        <v>SOBREMESA</v>
      </c>
      <c r="G1181" s="4" t="s">
        <v>8</v>
      </c>
      <c r="H1181" s="1">
        <v>60</v>
      </c>
    </row>
    <row r="1182" spans="2:9" x14ac:dyDescent="0.2">
      <c r="B1182" t="str">
        <f>VLOOKUP(G1182,PC!B:D,3,FALSE)</f>
        <v>CPV</v>
      </c>
      <c r="C1182" s="22">
        <v>2023</v>
      </c>
      <c r="D1182" t="s">
        <v>112</v>
      </c>
      <c r="E1182" t="s">
        <v>129</v>
      </c>
      <c r="F1182" t="str">
        <f>VLOOKUP(G1182,PC!B:D,2,FALSE)</f>
        <v>COMIDA</v>
      </c>
      <c r="G1182" s="4" t="s">
        <v>33</v>
      </c>
      <c r="H1182" s="1">
        <v>63</v>
      </c>
      <c r="I1182" s="7" t="s">
        <v>183</v>
      </c>
    </row>
    <row r="1183" spans="2:9" x14ac:dyDescent="0.2">
      <c r="B1183" t="str">
        <f>VLOOKUP(G1183,PC!B:D,3,FALSE)</f>
        <v>RECEITA</v>
      </c>
      <c r="C1183" s="22">
        <v>2023</v>
      </c>
      <c r="D1183" t="s">
        <v>112</v>
      </c>
      <c r="F1183" t="str">
        <f>VLOOKUP(G1183,PC!B:D,2,FALSE)</f>
        <v>RECEITA</v>
      </c>
      <c r="G1183" s="4" t="s">
        <v>54</v>
      </c>
      <c r="H1183" s="1">
        <v>1750</v>
      </c>
    </row>
    <row r="1184" spans="2:9" x14ac:dyDescent="0.2">
      <c r="B1184" t="str">
        <f>VLOOKUP(G1184,PC!B:D,3,FALSE)</f>
        <v>RECEITA</v>
      </c>
      <c r="C1184" s="22">
        <v>2023</v>
      </c>
      <c r="D1184" t="s">
        <v>112</v>
      </c>
      <c r="F1184" t="str">
        <f>VLOOKUP(G1184,PC!B:D,2,FALSE)</f>
        <v>RECEITA</v>
      </c>
      <c r="G1184" s="4" t="s">
        <v>54</v>
      </c>
      <c r="H1184" s="1">
        <f>35+20+65+60+182</f>
        <v>362</v>
      </c>
    </row>
    <row r="1185" spans="2:9" x14ac:dyDescent="0.2">
      <c r="B1185" t="str">
        <f>VLOOKUP(G1185,PC!B:D,3,FALSE)</f>
        <v>CPV</v>
      </c>
      <c r="C1185" s="22">
        <v>2023</v>
      </c>
      <c r="D1185" t="s">
        <v>112</v>
      </c>
      <c r="E1185" t="s">
        <v>129</v>
      </c>
      <c r="F1185" t="str">
        <f>VLOOKUP(G1185,PC!B:D,2,FALSE)</f>
        <v>COMIDA</v>
      </c>
      <c r="G1185" s="4" t="s">
        <v>12</v>
      </c>
      <c r="H1185" s="1">
        <v>35</v>
      </c>
    </row>
    <row r="1186" spans="2:9" x14ac:dyDescent="0.2">
      <c r="B1186" t="str">
        <f>VLOOKUP(G1186,PC!B:D,3,FALSE)</f>
        <v>DESPESA PESSOAL</v>
      </c>
      <c r="C1186" s="22">
        <v>2023</v>
      </c>
      <c r="D1186" t="s">
        <v>112</v>
      </c>
      <c r="F1186" t="str">
        <f>VLOOKUP(G1186,PC!B:D,2,FALSE)</f>
        <v>DESPESA PESSOAL</v>
      </c>
      <c r="G1186" s="4" t="s">
        <v>68</v>
      </c>
      <c r="H1186" s="1">
        <v>20</v>
      </c>
    </row>
    <row r="1187" spans="2:9" x14ac:dyDescent="0.2">
      <c r="B1187" t="str">
        <f>VLOOKUP(G1187,PC!B:D,3,FALSE)</f>
        <v>CPV</v>
      </c>
      <c r="C1187" s="22">
        <v>2023</v>
      </c>
      <c r="D1187" t="s">
        <v>112</v>
      </c>
      <c r="E1187" t="s">
        <v>129</v>
      </c>
      <c r="F1187" t="str">
        <f>VLOOKUP(G1187,PC!B:D,2,FALSE)</f>
        <v>COMIDA</v>
      </c>
      <c r="G1187" s="4" t="s">
        <v>18</v>
      </c>
      <c r="H1187" s="1">
        <v>65</v>
      </c>
    </row>
    <row r="1188" spans="2:9" x14ac:dyDescent="0.2">
      <c r="B1188" t="str">
        <f>VLOOKUP(G1188,PC!B:D,3,FALSE)</f>
        <v>CPV</v>
      </c>
      <c r="C1188" s="22">
        <v>2023</v>
      </c>
      <c r="D1188" t="s">
        <v>112</v>
      </c>
      <c r="E1188" t="s">
        <v>129</v>
      </c>
      <c r="F1188" t="str">
        <f>VLOOKUP(G1188,PC!B:D,2,FALSE)</f>
        <v>COMIDA</v>
      </c>
      <c r="G1188" s="4" t="s">
        <v>146</v>
      </c>
      <c r="H1188" s="1">
        <v>60</v>
      </c>
    </row>
    <row r="1189" spans="2:9" x14ac:dyDescent="0.2">
      <c r="B1189" t="str">
        <f>VLOOKUP(G1189,PC!B:D,3,FALSE)</f>
        <v>CPV</v>
      </c>
      <c r="C1189" s="22">
        <v>2023</v>
      </c>
      <c r="D1189" t="s">
        <v>112</v>
      </c>
      <c r="E1189" t="s">
        <v>129</v>
      </c>
      <c r="F1189" t="str">
        <f>VLOOKUP(G1189,PC!B:D,2,FALSE)</f>
        <v>COMIDA</v>
      </c>
      <c r="G1189" s="4" t="s">
        <v>12</v>
      </c>
      <c r="H1189" s="1">
        <v>182</v>
      </c>
    </row>
    <row r="1190" spans="2:9" x14ac:dyDescent="0.2">
      <c r="B1190" t="str">
        <f>VLOOKUP(G1190,PC!B:D,3,FALSE)</f>
        <v>RECEITA</v>
      </c>
      <c r="C1190" s="22">
        <v>2023</v>
      </c>
      <c r="D1190" t="s">
        <v>112</v>
      </c>
      <c r="F1190" t="str">
        <f>VLOOKUP(G1190,PC!B:D,2,FALSE)</f>
        <v>RECEITA</v>
      </c>
      <c r="G1190" s="4" t="s">
        <v>54</v>
      </c>
      <c r="H1190" s="1">
        <v>1000</v>
      </c>
    </row>
    <row r="1191" spans="2:9" x14ac:dyDescent="0.2">
      <c r="B1191" t="str">
        <f>VLOOKUP(G1191,PC!B:D,3,FALSE)</f>
        <v>RECEITA</v>
      </c>
      <c r="C1191" s="22">
        <v>2023</v>
      </c>
      <c r="D1191" t="s">
        <v>112</v>
      </c>
      <c r="F1191" t="str">
        <f>VLOOKUP(G1191,PC!B:D,2,FALSE)</f>
        <v>RECEITA</v>
      </c>
      <c r="G1191" s="4" t="s">
        <v>54</v>
      </c>
      <c r="H1191" s="1">
        <v>50</v>
      </c>
    </row>
    <row r="1192" spans="2:9" x14ac:dyDescent="0.2">
      <c r="B1192" t="str">
        <f>VLOOKUP(G1192,PC!B:D,3,FALSE)</f>
        <v>RECEITA</v>
      </c>
      <c r="C1192" s="22">
        <v>2023</v>
      </c>
      <c r="D1192" t="s">
        <v>112</v>
      </c>
      <c r="F1192" t="str">
        <f>VLOOKUP(G1192,PC!B:D,2,FALSE)</f>
        <v>RECEITA</v>
      </c>
      <c r="G1192" s="4" t="s">
        <v>54</v>
      </c>
      <c r="H1192" s="1">
        <v>2500</v>
      </c>
    </row>
    <row r="1193" spans="2:9" x14ac:dyDescent="0.2">
      <c r="B1193" t="str">
        <f>VLOOKUP(G1193,PC!B:D,3,FALSE)</f>
        <v>RECEITA</v>
      </c>
      <c r="C1193" s="22">
        <v>2023</v>
      </c>
      <c r="D1193" t="s">
        <v>112</v>
      </c>
      <c r="F1193" t="str">
        <f>VLOOKUP(G1193,PC!B:D,2,FALSE)</f>
        <v>RECEITA</v>
      </c>
      <c r="G1193" s="4" t="s">
        <v>59</v>
      </c>
      <c r="H1193" s="1">
        <v>2400</v>
      </c>
    </row>
    <row r="1194" spans="2:9" x14ac:dyDescent="0.2">
      <c r="B1194" t="str">
        <f>VLOOKUP(G1194,PC!B:D,3,FALSE)</f>
        <v>RECEITA</v>
      </c>
      <c r="C1194" s="22">
        <v>2023</v>
      </c>
      <c r="D1194" t="s">
        <v>112</v>
      </c>
      <c r="F1194" t="str">
        <f>VLOOKUP(G1194,PC!B:D,2,FALSE)</f>
        <v>RECEITA</v>
      </c>
      <c r="G1194" s="4" t="s">
        <v>54</v>
      </c>
      <c r="H1194" s="1">
        <v>1620</v>
      </c>
    </row>
    <row r="1195" spans="2:9" x14ac:dyDescent="0.2">
      <c r="B1195" t="str">
        <f>VLOOKUP(G1195,PC!B:D,3,FALSE)</f>
        <v>RECEITA</v>
      </c>
      <c r="C1195" s="22">
        <v>2023</v>
      </c>
      <c r="D1195" t="s">
        <v>112</v>
      </c>
      <c r="F1195" t="str">
        <f>VLOOKUP(G1195,PC!B:D,2,FALSE)</f>
        <v>RECEITA</v>
      </c>
      <c r="G1195" s="4" t="s">
        <v>54</v>
      </c>
      <c r="H1195" s="1">
        <v>400</v>
      </c>
    </row>
    <row r="1196" spans="2:9" x14ac:dyDescent="0.2">
      <c r="B1196" t="str">
        <f>VLOOKUP(G1196,PC!B:D,3,FALSE)</f>
        <v>RECEITA</v>
      </c>
      <c r="C1196" s="22">
        <v>2023</v>
      </c>
      <c r="D1196" t="s">
        <v>112</v>
      </c>
      <c r="F1196" t="str">
        <f>VLOOKUP(G1196,PC!B:D,2,FALSE)</f>
        <v>RECEITA</v>
      </c>
      <c r="G1196" s="4" t="s">
        <v>54</v>
      </c>
      <c r="H1196" s="1">
        <f>44+30+56.8</f>
        <v>130.80000000000001</v>
      </c>
    </row>
    <row r="1197" spans="2:9" x14ac:dyDescent="0.2">
      <c r="B1197" t="str">
        <f>VLOOKUP(G1197,PC!B:D,3,FALSE)</f>
        <v>CPV</v>
      </c>
      <c r="C1197" s="22">
        <v>2023</v>
      </c>
      <c r="D1197" t="s">
        <v>112</v>
      </c>
      <c r="F1197" t="str">
        <f>VLOOKUP(G1197,PC!B:D,2,FALSE)</f>
        <v>COMIDA</v>
      </c>
      <c r="G1197" s="4" t="s">
        <v>18</v>
      </c>
      <c r="H1197" s="1">
        <v>44</v>
      </c>
    </row>
    <row r="1198" spans="2:9" x14ac:dyDescent="0.2">
      <c r="B1198" t="str">
        <f>VLOOKUP(G1198,PC!B:D,3,FALSE)</f>
        <v>CPV</v>
      </c>
      <c r="C1198" s="22">
        <v>2023</v>
      </c>
      <c r="D1198" t="s">
        <v>112</v>
      </c>
      <c r="F1198" t="str">
        <f>VLOOKUP(G1198,PC!B:D,2,FALSE)</f>
        <v>COMIDA</v>
      </c>
      <c r="G1198" s="4" t="s">
        <v>12</v>
      </c>
      <c r="H1198" s="1">
        <v>30</v>
      </c>
      <c r="I1198" s="7" t="s">
        <v>184</v>
      </c>
    </row>
    <row r="1199" spans="2:9" x14ac:dyDescent="0.2">
      <c r="B1199" t="str">
        <f>VLOOKUP(G1199,PC!B:D,3,FALSE)</f>
        <v>RECEITA</v>
      </c>
      <c r="C1199" s="22">
        <v>2023</v>
      </c>
      <c r="D1199" t="s">
        <v>112</v>
      </c>
      <c r="F1199" t="str">
        <f>VLOOKUP(G1199,PC!B:D,2,FALSE)</f>
        <v>RECEITA</v>
      </c>
      <c r="G1199" s="4" t="s">
        <v>54</v>
      </c>
      <c r="H1199" s="1">
        <v>1200</v>
      </c>
    </row>
    <row r="1200" spans="2:9" x14ac:dyDescent="0.2">
      <c r="B1200" t="str">
        <f>VLOOKUP(G1200,PC!B:D,3,FALSE)</f>
        <v>RECEITA</v>
      </c>
      <c r="C1200" s="22">
        <v>2023</v>
      </c>
      <c r="D1200" t="s">
        <v>112</v>
      </c>
      <c r="F1200" t="str">
        <f>VLOOKUP(G1200,PC!B:D,2,FALSE)</f>
        <v>RECEITA</v>
      </c>
      <c r="G1200" s="4" t="s">
        <v>54</v>
      </c>
      <c r="H1200" s="1">
        <v>2000</v>
      </c>
    </row>
    <row r="1201" spans="2:8" x14ac:dyDescent="0.2">
      <c r="B1201" t="str">
        <f>VLOOKUP(G1201,PC!B:D,3,FALSE)</f>
        <v>RECEITA</v>
      </c>
      <c r="C1201" s="22">
        <v>2023</v>
      </c>
      <c r="D1201" t="s">
        <v>112</v>
      </c>
      <c r="F1201" t="str">
        <f>VLOOKUP(G1201,PC!B:D,2,FALSE)</f>
        <v>RECEITA</v>
      </c>
      <c r="G1201" s="4" t="s">
        <v>54</v>
      </c>
      <c r="H1201" s="1">
        <v>1700</v>
      </c>
    </row>
    <row r="1202" spans="2:8" x14ac:dyDescent="0.2">
      <c r="B1202" t="str">
        <f>VLOOKUP(G1202,PC!B:D,3,FALSE)</f>
        <v>RECEITA</v>
      </c>
      <c r="C1202" s="22">
        <v>2023</v>
      </c>
      <c r="D1202" t="s">
        <v>112</v>
      </c>
      <c r="F1202" t="str">
        <f>VLOOKUP(G1202,PC!B:D,2,FALSE)</f>
        <v>RECEITA</v>
      </c>
      <c r="G1202" s="4" t="s">
        <v>54</v>
      </c>
      <c r="H1202" s="1">
        <v>600</v>
      </c>
    </row>
    <row r="1203" spans="2:8" x14ac:dyDescent="0.2">
      <c r="B1203" t="str">
        <f>VLOOKUP(G1203,PC!B:D,3,FALSE)</f>
        <v>RECEITA</v>
      </c>
      <c r="C1203" s="22">
        <v>2023</v>
      </c>
      <c r="D1203" t="s">
        <v>112</v>
      </c>
      <c r="F1203" t="str">
        <f>VLOOKUP(G1203,PC!B:D,2,FALSE)</f>
        <v>RECEITA</v>
      </c>
      <c r="G1203" s="4" t="s">
        <v>54</v>
      </c>
      <c r="H1203" s="1">
        <v>850</v>
      </c>
    </row>
    <row r="1204" spans="2:8" x14ac:dyDescent="0.2">
      <c r="B1204" t="str">
        <f>VLOOKUP(G1204,PC!B:D,3,FALSE)</f>
        <v>RECEITA</v>
      </c>
      <c r="C1204" s="22">
        <v>2023</v>
      </c>
      <c r="D1204" t="s">
        <v>112</v>
      </c>
      <c r="F1204" t="str">
        <f>VLOOKUP(G1204,PC!B:D,2,FALSE)</f>
        <v>RECEITA</v>
      </c>
      <c r="G1204" s="4" t="s">
        <v>54</v>
      </c>
      <c r="H1204" s="1">
        <v>1450</v>
      </c>
    </row>
    <row r="1205" spans="2:8" x14ac:dyDescent="0.2">
      <c r="B1205" t="str">
        <f>VLOOKUP(G1205,PC!B:D,3,FALSE)</f>
        <v>RECEITA</v>
      </c>
      <c r="C1205" s="22">
        <v>2023</v>
      </c>
      <c r="D1205" t="s">
        <v>112</v>
      </c>
      <c r="F1205" t="str">
        <f>VLOOKUP(G1205,PC!B:D,2,FALSE)</f>
        <v>RECEITA</v>
      </c>
      <c r="G1205" s="4" t="s">
        <v>54</v>
      </c>
      <c r="H1205" s="1">
        <f>105+84+300</f>
        <v>489</v>
      </c>
    </row>
    <row r="1206" spans="2:8" x14ac:dyDescent="0.2">
      <c r="B1206" t="str">
        <f>VLOOKUP(G1206,PC!B:D,3,FALSE)</f>
        <v>CPV</v>
      </c>
      <c r="C1206" s="22">
        <v>2023</v>
      </c>
      <c r="D1206" t="s">
        <v>112</v>
      </c>
      <c r="F1206" t="str">
        <f>VLOOKUP(G1206,PC!B:D,2,FALSE)</f>
        <v>COMIDA</v>
      </c>
      <c r="G1206" s="4" t="s">
        <v>18</v>
      </c>
      <c r="H1206" s="1">
        <v>84</v>
      </c>
    </row>
    <row r="1207" spans="2:8" x14ac:dyDescent="0.2">
      <c r="B1207" t="str">
        <f>VLOOKUP(G1207,PC!B:D,3,FALSE)</f>
        <v>DESPESA PESSOAL</v>
      </c>
      <c r="C1207" s="22">
        <v>2023</v>
      </c>
      <c r="D1207" t="s">
        <v>112</v>
      </c>
      <c r="F1207" t="str">
        <f>VLOOKUP(G1207,PC!B:D,2,FALSE)</f>
        <v>DESPESA PESSOAL</v>
      </c>
      <c r="G1207" s="4" t="s">
        <v>56</v>
      </c>
      <c r="H1207" s="1">
        <v>300</v>
      </c>
    </row>
    <row r="1208" spans="2:8" x14ac:dyDescent="0.2">
      <c r="B1208" t="str">
        <f>VLOOKUP(G1208,PC!B:D,3,FALSE)</f>
        <v>RECEITA</v>
      </c>
      <c r="C1208" s="22">
        <v>2023</v>
      </c>
      <c r="D1208" t="s">
        <v>112</v>
      </c>
      <c r="F1208" t="str">
        <f>VLOOKUP(G1208,PC!B:D,2,FALSE)</f>
        <v>RECEITA</v>
      </c>
      <c r="G1208" s="4" t="s">
        <v>54</v>
      </c>
      <c r="H1208" s="1">
        <v>850</v>
      </c>
    </row>
    <row r="1209" spans="2:8" x14ac:dyDescent="0.2">
      <c r="B1209" t="str">
        <f>VLOOKUP(G1209,PC!B:D,3,FALSE)</f>
        <v>RECEITA</v>
      </c>
      <c r="C1209" s="22">
        <v>2023</v>
      </c>
      <c r="D1209" t="s">
        <v>112</v>
      </c>
      <c r="F1209" t="str">
        <f>VLOOKUP(G1209,PC!B:D,2,FALSE)</f>
        <v>RECEITA</v>
      </c>
      <c r="G1209" s="4" t="s">
        <v>54</v>
      </c>
      <c r="H1209" s="1">
        <v>1500</v>
      </c>
    </row>
    <row r="1210" spans="2:8" x14ac:dyDescent="0.2">
      <c r="B1210" t="str">
        <f>VLOOKUP(G1210,PC!B:D,3,FALSE)</f>
        <v>RECEITA</v>
      </c>
      <c r="C1210" s="22">
        <v>2023</v>
      </c>
      <c r="D1210" t="s">
        <v>112</v>
      </c>
      <c r="F1210" t="str">
        <f>VLOOKUP(G1210,PC!B:D,2,FALSE)</f>
        <v>RECEITA</v>
      </c>
      <c r="G1210" s="4" t="s">
        <v>54</v>
      </c>
      <c r="H1210" s="1">
        <v>2200</v>
      </c>
    </row>
    <row r="1211" spans="2:8" x14ac:dyDescent="0.2">
      <c r="B1211" t="str">
        <f>VLOOKUP(G1211,PC!B:D,3,FALSE)</f>
        <v>RECEITA</v>
      </c>
      <c r="C1211" s="22">
        <v>2023</v>
      </c>
      <c r="D1211" t="s">
        <v>112</v>
      </c>
      <c r="F1211" t="str">
        <f>VLOOKUP(G1211,PC!B:D,2,FALSE)</f>
        <v>RECEITA</v>
      </c>
      <c r="G1211" s="4" t="s">
        <v>54</v>
      </c>
      <c r="H1211" s="1">
        <v>700</v>
      </c>
    </row>
    <row r="1212" spans="2:8" x14ac:dyDescent="0.2">
      <c r="B1212" t="str">
        <f>VLOOKUP(G1212,PC!B:D,3,FALSE)</f>
        <v>RECEITA</v>
      </c>
      <c r="C1212" s="22">
        <v>2023</v>
      </c>
      <c r="D1212" t="s">
        <v>112</v>
      </c>
      <c r="F1212" t="str">
        <f>VLOOKUP(G1212,PC!B:D,2,FALSE)</f>
        <v>RECEITA</v>
      </c>
      <c r="G1212" s="4" t="s">
        <v>54</v>
      </c>
      <c r="H1212" s="1">
        <v>350</v>
      </c>
    </row>
    <row r="1213" spans="2:8" x14ac:dyDescent="0.2">
      <c r="B1213" t="str">
        <f>VLOOKUP(G1213,PC!B:D,3,FALSE)</f>
        <v>DESPESA PESSOAL</v>
      </c>
      <c r="C1213" s="22">
        <v>2023</v>
      </c>
      <c r="D1213" t="s">
        <v>112</v>
      </c>
      <c r="F1213" t="str">
        <f>VLOOKUP(G1213,PC!B:D,2,FALSE)</f>
        <v>DESPESA PESSOAL</v>
      </c>
      <c r="G1213" s="4" t="s">
        <v>56</v>
      </c>
      <c r="H1213" s="1">
        <v>350</v>
      </c>
    </row>
    <row r="1214" spans="2:8" x14ac:dyDescent="0.2">
      <c r="B1214" t="str">
        <f>VLOOKUP(G1214,PC!B:D,3,FALSE)</f>
        <v>DESPESA PESSOAL</v>
      </c>
      <c r="C1214" s="22">
        <v>2023</v>
      </c>
      <c r="D1214" t="s">
        <v>112</v>
      </c>
      <c r="F1214" t="str">
        <f>VLOOKUP(G1214,PC!B:D,2,FALSE)</f>
        <v>DESPESA PESSOAL</v>
      </c>
      <c r="G1214" s="4" t="s">
        <v>124</v>
      </c>
      <c r="H1214" s="1">
        <v>700</v>
      </c>
    </row>
    <row r="1215" spans="2:8" x14ac:dyDescent="0.2">
      <c r="B1215" t="str">
        <f>VLOOKUP(G1215,PC!B:D,3,FALSE)</f>
        <v>RECEITA</v>
      </c>
      <c r="C1215" s="22">
        <v>2023</v>
      </c>
      <c r="D1215" t="s">
        <v>112</v>
      </c>
      <c r="F1215" t="str">
        <f>VLOOKUP(G1215,PC!B:D,2,FALSE)</f>
        <v>RECEITA</v>
      </c>
      <c r="G1215" s="4" t="s">
        <v>54</v>
      </c>
      <c r="H1215" s="1">
        <f>35</f>
        <v>35</v>
      </c>
    </row>
    <row r="1216" spans="2:8" x14ac:dyDescent="0.2">
      <c r="B1216" t="str">
        <f>VLOOKUP(G1216,PC!B:D,3,FALSE)</f>
        <v>RECEITA</v>
      </c>
      <c r="C1216" s="22">
        <v>2023</v>
      </c>
      <c r="D1216" t="s">
        <v>112</v>
      </c>
      <c r="F1216" t="str">
        <f>VLOOKUP(G1216,PC!B:D,2,FALSE)</f>
        <v>RECEITA</v>
      </c>
      <c r="G1216" s="4" t="s">
        <v>54</v>
      </c>
      <c r="H1216" s="1">
        <f>1000+650+1300</f>
        <v>2950</v>
      </c>
    </row>
    <row r="1217" spans="2:8" x14ac:dyDescent="0.2">
      <c r="B1217" t="str">
        <f>VLOOKUP(G1217,PC!B:D,3,FALSE)</f>
        <v>RECEITA</v>
      </c>
      <c r="C1217" s="22">
        <v>2023</v>
      </c>
      <c r="D1217" t="s">
        <v>112</v>
      </c>
      <c r="F1217" t="str">
        <f>VLOOKUP(G1217,PC!B:D,2,FALSE)</f>
        <v>RECEITA</v>
      </c>
      <c r="G1217" s="4" t="s">
        <v>54</v>
      </c>
      <c r="H1217" s="1">
        <f>35+490+152+27+60</f>
        <v>764</v>
      </c>
    </row>
    <row r="1218" spans="2:8" x14ac:dyDescent="0.2">
      <c r="B1218" t="str">
        <f>VLOOKUP(G1218,PC!B:D,3,FALSE)</f>
        <v>CPV</v>
      </c>
      <c r="C1218" s="22">
        <v>2023</v>
      </c>
      <c r="D1218" t="s">
        <v>112</v>
      </c>
      <c r="F1218" t="str">
        <f>VLOOKUP(G1218,PC!B:D,2,FALSE)</f>
        <v>COMIDA</v>
      </c>
      <c r="G1218" s="4" t="s">
        <v>18</v>
      </c>
      <c r="H1218" s="1">
        <v>35</v>
      </c>
    </row>
    <row r="1219" spans="2:8" x14ac:dyDescent="0.2">
      <c r="B1219" t="str">
        <f>VLOOKUP(G1219,PC!B:D,3,FALSE)</f>
        <v>CPV</v>
      </c>
      <c r="C1219" s="22">
        <v>2023</v>
      </c>
      <c r="D1219" t="s">
        <v>112</v>
      </c>
      <c r="F1219" t="str">
        <f>VLOOKUP(G1219,PC!B:D,2,FALSE)</f>
        <v>COMIDA</v>
      </c>
      <c r="G1219" s="4" t="s">
        <v>12</v>
      </c>
      <c r="H1219" s="1">
        <v>152</v>
      </c>
    </row>
    <row r="1220" spans="2:8" x14ac:dyDescent="0.2">
      <c r="B1220" t="str">
        <f>VLOOKUP(G1220,PC!B:D,3,FALSE)</f>
        <v>CPV</v>
      </c>
      <c r="C1220" s="22">
        <v>2023</v>
      </c>
      <c r="D1220" t="s">
        <v>112</v>
      </c>
      <c r="F1220" t="str">
        <f>VLOOKUP(G1220,PC!B:D,2,FALSE)</f>
        <v>COMIDA</v>
      </c>
      <c r="G1220" s="4" t="s">
        <v>12</v>
      </c>
      <c r="H1220" s="1">
        <v>27</v>
      </c>
    </row>
    <row r="1221" spans="2:8" x14ac:dyDescent="0.2">
      <c r="B1221" t="str">
        <f>VLOOKUP(G1221,PC!B:D,3,FALSE)</f>
        <v>RECEITA</v>
      </c>
      <c r="C1221" s="22">
        <v>2023</v>
      </c>
      <c r="D1221" t="s">
        <v>112</v>
      </c>
      <c r="F1221" t="str">
        <f>VLOOKUP(G1221,PC!B:D,2,FALSE)</f>
        <v>RECEITA</v>
      </c>
      <c r="G1221" s="4" t="s">
        <v>54</v>
      </c>
      <c r="H1221" s="1">
        <v>550</v>
      </c>
    </row>
    <row r="1222" spans="2:8" x14ac:dyDescent="0.2">
      <c r="B1222" t="str">
        <f>VLOOKUP(G1222,PC!B:D,3,FALSE)</f>
        <v>RECEITA</v>
      </c>
      <c r="C1222" s="22">
        <v>2023</v>
      </c>
      <c r="D1222" t="s">
        <v>112</v>
      </c>
      <c r="F1222" t="str">
        <f>VLOOKUP(G1222,PC!B:D,2,FALSE)</f>
        <v>RECEITA</v>
      </c>
      <c r="G1222" s="4" t="s">
        <v>54</v>
      </c>
      <c r="H1222" s="1">
        <v>2100</v>
      </c>
    </row>
    <row r="1223" spans="2:8" x14ac:dyDescent="0.2">
      <c r="B1223" t="str">
        <f>VLOOKUP(G1223,PC!B:D,3,FALSE)</f>
        <v>RECEITA</v>
      </c>
      <c r="C1223" s="22">
        <v>2023</v>
      </c>
      <c r="D1223" t="s">
        <v>112</v>
      </c>
      <c r="F1223" t="str">
        <f>VLOOKUP(G1223,PC!B:D,2,FALSE)</f>
        <v>RECEITA</v>
      </c>
      <c r="G1223" s="4" t="s">
        <v>182</v>
      </c>
      <c r="H1223" s="1">
        <f>28+184+75+51.3+85</f>
        <v>423.3</v>
      </c>
    </row>
    <row r="1224" spans="2:8" x14ac:dyDescent="0.2">
      <c r="B1224" t="str">
        <f>VLOOKUP(G1224,PC!B:D,3,FALSE)</f>
        <v>CPV</v>
      </c>
      <c r="C1224" s="22">
        <v>2023</v>
      </c>
      <c r="D1224" t="s">
        <v>112</v>
      </c>
      <c r="F1224" t="str">
        <f>VLOOKUP(G1224,PC!B:D,2,FALSE)</f>
        <v>COMIDA</v>
      </c>
      <c r="G1224" s="4" t="s">
        <v>12</v>
      </c>
      <c r="H1224" s="1">
        <v>28</v>
      </c>
    </row>
    <row r="1225" spans="2:8" x14ac:dyDescent="0.2">
      <c r="B1225" t="str">
        <f>VLOOKUP(G1225,PC!B:D,3,FALSE)</f>
        <v>CPV</v>
      </c>
      <c r="C1225" s="22">
        <v>2023</v>
      </c>
      <c r="D1225" t="s">
        <v>112</v>
      </c>
      <c r="F1225" t="str">
        <f>VLOOKUP(G1225,PC!B:D,2,FALSE)</f>
        <v>SOBREMESA</v>
      </c>
      <c r="G1225" s="4" t="s">
        <v>7</v>
      </c>
      <c r="H1225" s="1">
        <v>184</v>
      </c>
    </row>
    <row r="1226" spans="2:8" x14ac:dyDescent="0.2">
      <c r="B1226" t="str">
        <f>VLOOKUP(G1226,PC!B:D,3,FALSE)</f>
        <v>CPV</v>
      </c>
      <c r="C1226" s="22">
        <v>2023</v>
      </c>
      <c r="D1226" t="s">
        <v>112</v>
      </c>
      <c r="F1226" t="str">
        <f>VLOOKUP(G1226,PC!B:D,2,FALSE)</f>
        <v>COMIDA</v>
      </c>
      <c r="G1226" s="4" t="s">
        <v>12</v>
      </c>
      <c r="H1226" s="1">
        <v>51.3</v>
      </c>
    </row>
    <row r="1227" spans="2:8" x14ac:dyDescent="0.2">
      <c r="B1227" t="str">
        <f>VLOOKUP(G1227,PC!B:D,3,FALSE)</f>
        <v>RECEITA</v>
      </c>
      <c r="C1227" s="22">
        <v>2023</v>
      </c>
      <c r="D1227" t="s">
        <v>112</v>
      </c>
      <c r="F1227" t="str">
        <f>VLOOKUP(G1227,PC!B:D,2,FALSE)</f>
        <v>RECEITA</v>
      </c>
      <c r="G1227" s="4" t="s">
        <v>54</v>
      </c>
      <c r="H1227" s="1">
        <v>1400</v>
      </c>
    </row>
    <row r="1228" spans="2:8" x14ac:dyDescent="0.2">
      <c r="B1228" t="str">
        <f>VLOOKUP(G1228,PC!B:D,3,FALSE)</f>
        <v>RECEITA</v>
      </c>
      <c r="C1228" s="22">
        <v>2023</v>
      </c>
      <c r="D1228" t="s">
        <v>112</v>
      </c>
      <c r="F1228" t="str">
        <f>VLOOKUP(G1228,PC!B:D,2,FALSE)</f>
        <v>RECEITA</v>
      </c>
      <c r="G1228" s="4" t="s">
        <v>54</v>
      </c>
      <c r="H1228" s="1">
        <v>500</v>
      </c>
    </row>
    <row r="1229" spans="2:8" x14ac:dyDescent="0.2">
      <c r="B1229" t="str">
        <f>VLOOKUP(G1229,PC!B:D,3,FALSE)</f>
        <v>RECEITA</v>
      </c>
      <c r="C1229" s="22">
        <v>2023</v>
      </c>
      <c r="D1229" t="s">
        <v>112</v>
      </c>
      <c r="F1229" t="str">
        <f>VLOOKUP(G1229,PC!B:D,2,FALSE)</f>
        <v>RECEITA</v>
      </c>
      <c r="G1229" s="4" t="s">
        <v>54</v>
      </c>
      <c r="H1229" s="1">
        <v>1100</v>
      </c>
    </row>
    <row r="1230" spans="2:8" x14ac:dyDescent="0.2">
      <c r="B1230" t="str">
        <f>VLOOKUP(G1230,PC!B:D,3,FALSE)</f>
        <v>RECEITA</v>
      </c>
      <c r="C1230" s="22">
        <v>2023</v>
      </c>
      <c r="D1230" t="s">
        <v>112</v>
      </c>
      <c r="F1230" t="str">
        <f>VLOOKUP(G1230,PC!B:D,2,FALSE)</f>
        <v>RECEITA</v>
      </c>
      <c r="G1230" s="4" t="s">
        <v>54</v>
      </c>
      <c r="H1230" s="1">
        <v>950</v>
      </c>
    </row>
    <row r="1231" spans="2:8" x14ac:dyDescent="0.2">
      <c r="B1231" t="str">
        <f>VLOOKUP(G1231,PC!B:D,3,FALSE)</f>
        <v>DESPESA PESSOAL</v>
      </c>
      <c r="C1231" s="22">
        <v>2023</v>
      </c>
      <c r="D1231" t="s">
        <v>112</v>
      </c>
      <c r="F1231" t="str">
        <f>VLOOKUP(G1231,PC!B:D,2,FALSE)</f>
        <v>DESPESA PESSOAL</v>
      </c>
      <c r="G1231" s="4" t="s">
        <v>68</v>
      </c>
      <c r="H1231" s="1">
        <v>34</v>
      </c>
    </row>
    <row r="1232" spans="2:8" x14ac:dyDescent="0.2">
      <c r="B1232" t="str">
        <f>VLOOKUP(G1232,PC!B:D,3,FALSE)</f>
        <v>CPV</v>
      </c>
      <c r="C1232" s="22">
        <v>2023</v>
      </c>
      <c r="D1232" t="s">
        <v>112</v>
      </c>
      <c r="F1232" t="str">
        <f>VLOOKUP(G1232,PC!B:D,2,FALSE)</f>
        <v>COMIDA</v>
      </c>
      <c r="G1232" s="4" t="s">
        <v>12</v>
      </c>
      <c r="H1232" s="1">
        <v>59</v>
      </c>
    </row>
    <row r="1233" spans="2:8" x14ac:dyDescent="0.2">
      <c r="B1233" t="str">
        <f>VLOOKUP(G1233,PC!B:D,3,FALSE)</f>
        <v>RECEITA</v>
      </c>
      <c r="C1233" s="22">
        <v>2023</v>
      </c>
      <c r="D1233" t="s">
        <v>112</v>
      </c>
      <c r="F1233" t="str">
        <f>VLOOKUP(G1233,PC!B:D,2,FALSE)</f>
        <v>RECEITA</v>
      </c>
      <c r="G1233" s="4" t="s">
        <v>54</v>
      </c>
      <c r="H1233" s="1">
        <f>34+59+235</f>
        <v>328</v>
      </c>
    </row>
    <row r="1234" spans="2:8" x14ac:dyDescent="0.2">
      <c r="B1234" t="str">
        <f>VLOOKUP(G1234,PC!B:D,3,FALSE)</f>
        <v>RECEITA</v>
      </c>
      <c r="C1234" s="22">
        <v>2023</v>
      </c>
      <c r="D1234" t="s">
        <v>112</v>
      </c>
      <c r="F1234" t="str">
        <f>VLOOKUP(G1234,PC!B:D,2,FALSE)</f>
        <v>RECEITA</v>
      </c>
      <c r="G1234" s="4" t="s">
        <v>54</v>
      </c>
      <c r="H1234" s="1">
        <v>700</v>
      </c>
    </row>
    <row r="1235" spans="2:8" x14ac:dyDescent="0.2">
      <c r="B1235" t="str">
        <f>VLOOKUP(G1235,PC!B:D,3,FALSE)</f>
        <v>RECEITA</v>
      </c>
      <c r="C1235" s="22">
        <v>2023</v>
      </c>
      <c r="D1235" t="s">
        <v>112</v>
      </c>
      <c r="F1235" t="str">
        <f>VLOOKUP(G1235,PC!B:D,2,FALSE)</f>
        <v>RECEITA</v>
      </c>
      <c r="G1235" s="4" t="s">
        <v>59</v>
      </c>
      <c r="H1235" s="1">
        <v>230</v>
      </c>
    </row>
    <row r="1236" spans="2:8" x14ac:dyDescent="0.2">
      <c r="B1236" t="str">
        <f>VLOOKUP(G1236,PC!B:D,3,FALSE)</f>
        <v>RECEITA</v>
      </c>
      <c r="C1236" s="22">
        <v>2023</v>
      </c>
      <c r="D1236" t="s">
        <v>112</v>
      </c>
      <c r="F1236" t="str">
        <f>VLOOKUP(G1236,PC!B:D,2,FALSE)</f>
        <v>RECEITA</v>
      </c>
      <c r="G1236" s="4" t="s">
        <v>54</v>
      </c>
      <c r="H1236" s="1">
        <v>1900</v>
      </c>
    </row>
    <row r="1237" spans="2:8" x14ac:dyDescent="0.2">
      <c r="B1237" t="str">
        <f>VLOOKUP(G1237,PC!B:D,3,FALSE)</f>
        <v>RECEITA</v>
      </c>
      <c r="C1237" s="22">
        <v>2023</v>
      </c>
      <c r="D1237" t="s">
        <v>112</v>
      </c>
      <c r="F1237" t="str">
        <f>VLOOKUP(G1237,PC!B:D,2,FALSE)</f>
        <v>RECEITA</v>
      </c>
      <c r="G1237" s="4" t="s">
        <v>54</v>
      </c>
      <c r="H1237" s="1">
        <f>153+268.6+116.8+40+30+35.2+58.5</f>
        <v>702.1</v>
      </c>
    </row>
    <row r="1238" spans="2:8" x14ac:dyDescent="0.2">
      <c r="B1238" t="str">
        <f>VLOOKUP(G1238,PC!B:D,3,FALSE)</f>
        <v>CPV</v>
      </c>
      <c r="C1238" s="22">
        <v>2023</v>
      </c>
      <c r="D1238" t="s">
        <v>112</v>
      </c>
      <c r="F1238" t="str">
        <f>VLOOKUP(G1238,PC!B:D,2,FALSE)</f>
        <v>COMIDA</v>
      </c>
      <c r="G1238" s="4" t="s">
        <v>12</v>
      </c>
      <c r="H1238" s="1">
        <v>153</v>
      </c>
    </row>
    <row r="1239" spans="2:8" x14ac:dyDescent="0.2">
      <c r="B1239" t="str">
        <f>VLOOKUP(G1239,PC!B:D,3,FALSE)</f>
        <v>CPV</v>
      </c>
      <c r="C1239" s="22">
        <v>2023</v>
      </c>
      <c r="D1239" t="s">
        <v>112</v>
      </c>
      <c r="F1239" t="str">
        <f>VLOOKUP(G1239,PC!B:D,2,FALSE)</f>
        <v>OUTROS</v>
      </c>
      <c r="G1239" s="4" t="s">
        <v>37</v>
      </c>
      <c r="H1239" s="1">
        <v>268.60000000000002</v>
      </c>
    </row>
    <row r="1240" spans="2:8" x14ac:dyDescent="0.2">
      <c r="B1240" t="str">
        <f>VLOOKUP(G1240,PC!B:D,3,FALSE)</f>
        <v>CPV</v>
      </c>
      <c r="C1240" s="22">
        <v>2023</v>
      </c>
      <c r="D1240" t="s">
        <v>112</v>
      </c>
      <c r="F1240" t="str">
        <f>VLOOKUP(G1240,PC!B:D,2,FALSE)</f>
        <v>SOBREMESA</v>
      </c>
      <c r="G1240" s="4" t="s">
        <v>7</v>
      </c>
      <c r="H1240" s="1">
        <v>30</v>
      </c>
    </row>
    <row r="1241" spans="2:8" x14ac:dyDescent="0.2">
      <c r="B1241" t="str">
        <f>VLOOKUP(G1241,PC!B:D,3,FALSE)</f>
        <v>CPV</v>
      </c>
      <c r="C1241" s="22">
        <v>2023</v>
      </c>
      <c r="D1241" t="s">
        <v>112</v>
      </c>
      <c r="F1241" t="str">
        <f>VLOOKUP(G1241,PC!B:D,2,FALSE)</f>
        <v>COMIDA</v>
      </c>
      <c r="G1241" s="4" t="s">
        <v>18</v>
      </c>
      <c r="H1241" s="1">
        <v>35.200000000000003</v>
      </c>
    </row>
    <row r="1242" spans="2:8" x14ac:dyDescent="0.2">
      <c r="B1242" t="str">
        <f>VLOOKUP(G1242,PC!B:D,3,FALSE)</f>
        <v>CPV</v>
      </c>
      <c r="C1242" s="22">
        <v>2023</v>
      </c>
      <c r="D1242" t="s">
        <v>112</v>
      </c>
      <c r="F1242" t="str">
        <f>VLOOKUP(G1242,PC!B:D,2,FALSE)</f>
        <v>COMIDA</v>
      </c>
      <c r="G1242" s="4" t="s">
        <v>12</v>
      </c>
      <c r="H1242" s="1">
        <v>58.5</v>
      </c>
    </row>
    <row r="1243" spans="2:8" x14ac:dyDescent="0.2">
      <c r="B1243" t="str">
        <f>VLOOKUP(G1243,PC!B:D,3,FALSE)</f>
        <v>RECEITA</v>
      </c>
      <c r="C1243" s="22">
        <v>2023</v>
      </c>
      <c r="D1243" t="s">
        <v>112</v>
      </c>
      <c r="F1243" t="str">
        <f>VLOOKUP(G1243,PC!B:D,2,FALSE)</f>
        <v>RECEITA</v>
      </c>
      <c r="G1243" s="4" t="s">
        <v>54</v>
      </c>
      <c r="H1243" s="1">
        <v>270</v>
      </c>
    </row>
    <row r="1244" spans="2:8" x14ac:dyDescent="0.2">
      <c r="B1244" t="str">
        <f>VLOOKUP(G1244,PC!B:D,3,FALSE)</f>
        <v>RECEITA</v>
      </c>
      <c r="C1244" s="22">
        <v>2023</v>
      </c>
      <c r="D1244" t="s">
        <v>112</v>
      </c>
      <c r="F1244" t="str">
        <f>VLOOKUP(G1244,PC!B:D,2,FALSE)</f>
        <v>RECEITA</v>
      </c>
      <c r="G1244" s="4" t="s">
        <v>54</v>
      </c>
      <c r="H1244" s="1">
        <v>800</v>
      </c>
    </row>
    <row r="1245" spans="2:8" x14ac:dyDescent="0.2">
      <c r="B1245" t="str">
        <f>VLOOKUP(G1245,PC!B:D,3,FALSE)</f>
        <v>RECEITA</v>
      </c>
      <c r="C1245" s="22">
        <v>2023</v>
      </c>
      <c r="D1245" t="s">
        <v>112</v>
      </c>
      <c r="F1245" t="str">
        <f>VLOOKUP(G1245,PC!B:D,2,FALSE)</f>
        <v>RECEITA</v>
      </c>
      <c r="G1245" s="4" t="s">
        <v>54</v>
      </c>
      <c r="H1245" s="1">
        <v>1000</v>
      </c>
    </row>
    <row r="1246" spans="2:8" x14ac:dyDescent="0.2">
      <c r="B1246" t="str">
        <f>VLOOKUP(G1246,PC!B:D,3,FALSE)</f>
        <v>RECEITA</v>
      </c>
      <c r="C1246" s="22">
        <v>2023</v>
      </c>
      <c r="D1246" t="s">
        <v>112</v>
      </c>
      <c r="F1246" t="str">
        <f>VLOOKUP(G1246,PC!B:D,2,FALSE)</f>
        <v>RECEITA</v>
      </c>
      <c r="G1246" s="4" t="s">
        <v>54</v>
      </c>
      <c r="H1246" s="1">
        <v>650</v>
      </c>
    </row>
    <row r="1247" spans="2:8" x14ac:dyDescent="0.2">
      <c r="B1247" t="str">
        <f>VLOOKUP(G1247,PC!B:D,3,FALSE)</f>
        <v>RECEITA</v>
      </c>
      <c r="C1247" s="22">
        <v>2023</v>
      </c>
      <c r="D1247" t="s">
        <v>112</v>
      </c>
      <c r="F1247" t="str">
        <f>VLOOKUP(G1247,PC!B:D,2,FALSE)</f>
        <v>RECEITA</v>
      </c>
      <c r="G1247" s="4" t="s">
        <v>54</v>
      </c>
      <c r="H1247" s="1">
        <v>1450</v>
      </c>
    </row>
    <row r="1248" spans="2:8" x14ac:dyDescent="0.2">
      <c r="B1248" t="str">
        <f>VLOOKUP(G1248,PC!B:D,3,FALSE)</f>
        <v>RECEITA</v>
      </c>
      <c r="C1248" s="22">
        <v>2023</v>
      </c>
      <c r="D1248" t="s">
        <v>112</v>
      </c>
      <c r="F1248" t="str">
        <f>VLOOKUP(G1248,PC!B:D,2,FALSE)</f>
        <v>RECEITA</v>
      </c>
      <c r="G1248" s="4" t="s">
        <v>54</v>
      </c>
      <c r="H1248" s="1">
        <f>20+239.2+300+40</f>
        <v>599.20000000000005</v>
      </c>
    </row>
    <row r="1249" spans="2:8" x14ac:dyDescent="0.2">
      <c r="B1249" t="str">
        <f>VLOOKUP(G1249,PC!B:D,3,FALSE)</f>
        <v>RECEITA</v>
      </c>
      <c r="C1249" s="22">
        <v>2023</v>
      </c>
      <c r="D1249" t="s">
        <v>112</v>
      </c>
      <c r="F1249" t="str">
        <f>VLOOKUP(G1249,PC!B:D,2,FALSE)</f>
        <v>RECEITA</v>
      </c>
      <c r="G1249" s="4" t="s">
        <v>54</v>
      </c>
      <c r="H1249" s="1">
        <v>1000</v>
      </c>
    </row>
    <row r="1250" spans="2:8" x14ac:dyDescent="0.2">
      <c r="B1250" t="str">
        <f>VLOOKUP(G1250,PC!B:D,3,FALSE)</f>
        <v>RECEITA</v>
      </c>
      <c r="C1250" s="22">
        <v>2023</v>
      </c>
      <c r="D1250" t="s">
        <v>112</v>
      </c>
      <c r="F1250" t="str">
        <f>VLOOKUP(G1250,PC!B:D,2,FALSE)</f>
        <v>RECEITA</v>
      </c>
      <c r="G1250" s="4" t="s">
        <v>54</v>
      </c>
      <c r="H1250" s="1">
        <v>1200</v>
      </c>
    </row>
    <row r="1251" spans="2:8" x14ac:dyDescent="0.2">
      <c r="B1251" t="str">
        <f>VLOOKUP(G1251,PC!B:D,3,FALSE)</f>
        <v>RECEITA</v>
      </c>
      <c r="C1251" s="22">
        <v>2023</v>
      </c>
      <c r="D1251" t="s">
        <v>112</v>
      </c>
      <c r="F1251" t="str">
        <f>VLOOKUP(G1251,PC!B:D,2,FALSE)</f>
        <v>RECEITA</v>
      </c>
      <c r="G1251" s="4" t="s">
        <v>54</v>
      </c>
      <c r="H1251" s="1">
        <v>850</v>
      </c>
    </row>
    <row r="1252" spans="2:8" x14ac:dyDescent="0.2">
      <c r="B1252" t="str">
        <f>VLOOKUP(G1252,PC!B:D,3,FALSE)</f>
        <v>CPV</v>
      </c>
      <c r="C1252" s="22">
        <v>2023</v>
      </c>
      <c r="D1252" t="s">
        <v>112</v>
      </c>
      <c r="F1252" t="str">
        <f>VLOOKUP(G1252,PC!B:D,2,FALSE)</f>
        <v>COMIDA</v>
      </c>
      <c r="G1252" s="4" t="s">
        <v>12</v>
      </c>
      <c r="H1252" s="1">
        <v>20</v>
      </c>
    </row>
    <row r="1253" spans="2:8" x14ac:dyDescent="0.2">
      <c r="B1253" t="str">
        <f>VLOOKUP(G1253,PC!B:D,3,FALSE)</f>
        <v>DESPESA PESSOAL</v>
      </c>
      <c r="C1253" s="22">
        <v>2023</v>
      </c>
      <c r="D1253" t="s">
        <v>112</v>
      </c>
      <c r="F1253" t="str">
        <f>VLOOKUP(G1253,PC!B:D,2,FALSE)</f>
        <v>DESPESA PESSOAL</v>
      </c>
      <c r="G1253" s="4" t="s">
        <v>56</v>
      </c>
      <c r="H1253" s="1">
        <v>300</v>
      </c>
    </row>
    <row r="1254" spans="2:8" x14ac:dyDescent="0.2">
      <c r="B1254" t="str">
        <f>VLOOKUP(G1254,PC!B:D,3,FALSE)</f>
        <v>DESPESA PESSOAL</v>
      </c>
      <c r="C1254" s="22">
        <v>2023</v>
      </c>
      <c r="D1254" t="s">
        <v>112</v>
      </c>
      <c r="F1254" t="str">
        <f>VLOOKUP(G1254,PC!B:D,2,FALSE)</f>
        <v>DESPESA PESSOAL</v>
      </c>
      <c r="G1254" s="4" t="s">
        <v>56</v>
      </c>
      <c r="H1254" s="1">
        <v>40</v>
      </c>
    </row>
    <row r="1255" spans="2:8" x14ac:dyDescent="0.2">
      <c r="B1255" t="str">
        <f>VLOOKUP(G1255,PC!B:D,3,FALSE)</f>
        <v>CPV</v>
      </c>
      <c r="C1255" s="22">
        <v>2023</v>
      </c>
      <c r="D1255" t="s">
        <v>112</v>
      </c>
      <c r="E1255" t="s">
        <v>14</v>
      </c>
      <c r="F1255" t="str">
        <f>VLOOKUP(G1255,PC!B:D,2,FALSE)</f>
        <v>BEBIDAS</v>
      </c>
      <c r="G1255" s="4" t="s">
        <v>51</v>
      </c>
      <c r="H1255" s="1">
        <v>38.65</v>
      </c>
    </row>
    <row r="1256" spans="2:8" x14ac:dyDescent="0.2">
      <c r="B1256" t="str">
        <f>VLOOKUP(G1256,PC!B:D,3,FALSE)</f>
        <v>CPV</v>
      </c>
      <c r="C1256" s="22">
        <v>2023</v>
      </c>
      <c r="D1256" t="s">
        <v>112</v>
      </c>
      <c r="E1256" t="s">
        <v>14</v>
      </c>
      <c r="F1256" t="str">
        <f>VLOOKUP(G1256,PC!B:D,2,FALSE)</f>
        <v>BEBIDAS</v>
      </c>
      <c r="G1256" s="4" t="s">
        <v>26</v>
      </c>
      <c r="H1256" s="1">
        <v>309.48</v>
      </c>
    </row>
    <row r="1257" spans="2:8" x14ac:dyDescent="0.2">
      <c r="B1257" t="str">
        <f>VLOOKUP(G1257,PC!B:D,3,FALSE)</f>
        <v>CPV</v>
      </c>
      <c r="C1257" s="22">
        <v>2023</v>
      </c>
      <c r="D1257" t="s">
        <v>112</v>
      </c>
      <c r="E1257" t="s">
        <v>14</v>
      </c>
      <c r="F1257" t="str">
        <f>VLOOKUP(G1257,PC!B:D,2,FALSE)</f>
        <v>BEBIDAS</v>
      </c>
      <c r="G1257" s="4" t="s">
        <v>25</v>
      </c>
      <c r="H1257" s="1">
        <f>1367.74-H1256</f>
        <v>1058.26</v>
      </c>
    </row>
    <row r="1258" spans="2:8" x14ac:dyDescent="0.2">
      <c r="B1258" t="str">
        <f>VLOOKUP(G1258,PC!B:D,3,FALSE)</f>
        <v>CPV</v>
      </c>
      <c r="C1258" s="22">
        <v>2023</v>
      </c>
      <c r="D1258" t="s">
        <v>112</v>
      </c>
      <c r="E1258" t="s">
        <v>156</v>
      </c>
      <c r="F1258" t="str">
        <f>VLOOKUP(G1258,PC!B:D,2,FALSE)</f>
        <v>BEBIDAS</v>
      </c>
      <c r="G1258" s="4" t="s">
        <v>26</v>
      </c>
      <c r="H1258" s="1">
        <v>239.18</v>
      </c>
    </row>
    <row r="1259" spans="2:8" x14ac:dyDescent="0.2">
      <c r="B1259" t="str">
        <f>VLOOKUP(G1259,PC!B:D,3,FALSE)</f>
        <v>RECEITA</v>
      </c>
      <c r="C1259" s="22">
        <v>2023</v>
      </c>
      <c r="D1259" t="s">
        <v>112</v>
      </c>
      <c r="F1259" t="str">
        <f>VLOOKUP(G1259,PC!B:D,2,FALSE)</f>
        <v>RECEITA</v>
      </c>
      <c r="G1259" s="4" t="s">
        <v>83</v>
      </c>
      <c r="H1259" s="1">
        <v>43.06</v>
      </c>
    </row>
    <row r="1260" spans="2:8" x14ac:dyDescent="0.2">
      <c r="B1260" t="str">
        <f>VLOOKUP(G1260,PC!B:D,3,FALSE)</f>
        <v>CPV</v>
      </c>
      <c r="C1260" s="22">
        <v>2023</v>
      </c>
      <c r="D1260" t="s">
        <v>112</v>
      </c>
      <c r="E1260" t="s">
        <v>28</v>
      </c>
      <c r="F1260" t="str">
        <f>VLOOKUP(G1260,PC!B:D,2,FALSE)</f>
        <v>BEBIDAS</v>
      </c>
      <c r="G1260" s="4" t="s">
        <v>26</v>
      </c>
      <c r="H1260" s="1">
        <v>1772.3</v>
      </c>
    </row>
    <row r="1261" spans="2:8" x14ac:dyDescent="0.2">
      <c r="B1261" t="str">
        <f>VLOOKUP(G1261,PC!B:D,3,FALSE)</f>
        <v>CPV</v>
      </c>
      <c r="C1261" s="22">
        <v>2023</v>
      </c>
      <c r="D1261" t="s">
        <v>112</v>
      </c>
      <c r="E1261" t="s">
        <v>185</v>
      </c>
      <c r="F1261" t="str">
        <f>VLOOKUP(G1261,PC!B:D,2,FALSE)</f>
        <v>OUTROS</v>
      </c>
      <c r="G1261" s="4" t="s">
        <v>133</v>
      </c>
      <c r="H1261" s="1">
        <v>118.27</v>
      </c>
    </row>
    <row r="1262" spans="2:8" x14ac:dyDescent="0.2">
      <c r="B1262" t="str">
        <f>VLOOKUP(G1262,PC!B:D,3,FALSE)</f>
        <v>CPV</v>
      </c>
      <c r="C1262" s="22">
        <v>2023</v>
      </c>
      <c r="D1262" t="s">
        <v>112</v>
      </c>
      <c r="E1262" t="s">
        <v>159</v>
      </c>
      <c r="F1262" t="str">
        <f>VLOOKUP(G1262,PC!B:D,2,FALSE)</f>
        <v>SOBREMESA</v>
      </c>
      <c r="G1262" s="4" t="s">
        <v>8</v>
      </c>
      <c r="H1262" s="1">
        <v>107.04</v>
      </c>
    </row>
    <row r="1263" spans="2:8" x14ac:dyDescent="0.2">
      <c r="B1263" t="str">
        <f>VLOOKUP(G1263,PC!B:D,3,FALSE)</f>
        <v>CPV</v>
      </c>
      <c r="C1263" s="22">
        <v>2023</v>
      </c>
      <c r="D1263" t="s">
        <v>112</v>
      </c>
      <c r="E1263" t="s">
        <v>159</v>
      </c>
      <c r="F1263" t="str">
        <f>VLOOKUP(G1263,PC!B:D,2,FALSE)</f>
        <v>COMIDA</v>
      </c>
      <c r="G1263" s="4" t="s">
        <v>34</v>
      </c>
      <c r="H1263" s="1">
        <v>179.44</v>
      </c>
    </row>
    <row r="1264" spans="2:8" x14ac:dyDescent="0.2">
      <c r="B1264" t="str">
        <f>VLOOKUP(G1264,PC!B:D,3,FALSE)</f>
        <v>CPV</v>
      </c>
      <c r="C1264" s="22">
        <v>2023</v>
      </c>
      <c r="D1264" t="s">
        <v>112</v>
      </c>
      <c r="E1264" t="s">
        <v>24</v>
      </c>
      <c r="F1264" t="str">
        <f>VLOOKUP(G1264,PC!B:D,2,FALSE)</f>
        <v>COMIDA</v>
      </c>
      <c r="G1264" s="4" t="s">
        <v>33</v>
      </c>
      <c r="H1264" s="1">
        <v>457.83</v>
      </c>
    </row>
    <row r="1265" spans="2:8" x14ac:dyDescent="0.2">
      <c r="B1265" t="str">
        <f>VLOOKUP(G1265,PC!B:D,3,FALSE)</f>
        <v>CPV</v>
      </c>
      <c r="C1265" s="22">
        <v>2023</v>
      </c>
      <c r="D1265" t="s">
        <v>112</v>
      </c>
      <c r="E1265" t="s">
        <v>14</v>
      </c>
      <c r="F1265" t="str">
        <f>VLOOKUP(G1265,PC!B:D,2,FALSE)</f>
        <v>BEBIDAS</v>
      </c>
      <c r="G1265" s="4" t="s">
        <v>26</v>
      </c>
      <c r="H1265" s="1">
        <f>458.89+394.71</f>
        <v>853.59999999999991</v>
      </c>
    </row>
    <row r="1266" spans="2:8" x14ac:dyDescent="0.2">
      <c r="B1266" t="str">
        <f>VLOOKUP(G1266,PC!B:D,3,FALSE)</f>
        <v>CPV</v>
      </c>
      <c r="C1266" s="22">
        <v>2023</v>
      </c>
      <c r="D1266" t="s">
        <v>112</v>
      </c>
      <c r="E1266" t="s">
        <v>14</v>
      </c>
      <c r="F1266" t="str">
        <f>VLOOKUP(G1266,PC!B:D,2,FALSE)</f>
        <v>BEBIDAS</v>
      </c>
      <c r="G1266" s="4" t="s">
        <v>25</v>
      </c>
      <c r="H1266" s="1">
        <f>1104.49-H1265</f>
        <v>250.8900000000001</v>
      </c>
    </row>
    <row r="1267" spans="2:8" x14ac:dyDescent="0.2">
      <c r="B1267" t="str">
        <f>VLOOKUP(G1267,PC!B:D,3,FALSE)</f>
        <v>CPV</v>
      </c>
      <c r="C1267" s="22">
        <v>2023</v>
      </c>
      <c r="D1267" t="s">
        <v>112</v>
      </c>
      <c r="E1267" t="s">
        <v>28</v>
      </c>
      <c r="F1267" t="str">
        <f>VLOOKUP(G1267,PC!B:D,2,FALSE)</f>
        <v>BEBIDAS</v>
      </c>
      <c r="G1267" s="4" t="s">
        <v>26</v>
      </c>
      <c r="H1267" s="1">
        <v>199.5</v>
      </c>
    </row>
    <row r="1268" spans="2:8" x14ac:dyDescent="0.2">
      <c r="B1268" t="str">
        <f>VLOOKUP(G1268,PC!B:D,3,FALSE)</f>
        <v>CPV</v>
      </c>
      <c r="C1268" s="22">
        <v>2023</v>
      </c>
      <c r="D1268" t="s">
        <v>112</v>
      </c>
      <c r="E1268" t="s">
        <v>6</v>
      </c>
      <c r="F1268" t="str">
        <f>VLOOKUP(G1268,PC!B:D,2,FALSE)</f>
        <v>COMIDA</v>
      </c>
      <c r="G1268" s="4" t="s">
        <v>145</v>
      </c>
      <c r="H1268" s="1">
        <v>46.05</v>
      </c>
    </row>
    <row r="1269" spans="2:8" x14ac:dyDescent="0.2">
      <c r="B1269" t="str">
        <f>VLOOKUP(G1269,PC!B:D,3,FALSE)</f>
        <v>CPV</v>
      </c>
      <c r="C1269" s="22">
        <v>2023</v>
      </c>
      <c r="D1269" t="s">
        <v>112</v>
      </c>
      <c r="E1269" t="s">
        <v>78</v>
      </c>
      <c r="F1269" t="str">
        <f>VLOOKUP(G1269,PC!B:D,2,FALSE)</f>
        <v>CIGARRO</v>
      </c>
      <c r="G1269" s="4" t="s">
        <v>82</v>
      </c>
      <c r="H1269" s="1">
        <v>357.27</v>
      </c>
    </row>
    <row r="1270" spans="2:8" x14ac:dyDescent="0.2">
      <c r="B1270" t="str">
        <f>VLOOKUP(G1270,PC!B:D,3,FALSE)</f>
        <v>CPV</v>
      </c>
      <c r="C1270" s="22">
        <v>2023</v>
      </c>
      <c r="D1270" t="s">
        <v>112</v>
      </c>
      <c r="E1270" t="s">
        <v>16</v>
      </c>
      <c r="F1270" t="str">
        <f>VLOOKUP(G1270,PC!B:D,2,FALSE)</f>
        <v>COMIDA</v>
      </c>
      <c r="G1270" s="4" t="s">
        <v>12</v>
      </c>
      <c r="H1270" s="1">
        <v>504.96</v>
      </c>
    </row>
    <row r="1271" spans="2:8" x14ac:dyDescent="0.2">
      <c r="B1271" t="str">
        <f>VLOOKUP(G1271,PC!B:D,3,FALSE)</f>
        <v>CPV</v>
      </c>
      <c r="C1271" s="22">
        <v>2023</v>
      </c>
      <c r="D1271" t="s">
        <v>112</v>
      </c>
      <c r="E1271" t="s">
        <v>129</v>
      </c>
      <c r="F1271" t="str">
        <f>VLOOKUP(G1271,PC!B:D,2,FALSE)</f>
        <v>BEBIDAS</v>
      </c>
      <c r="G1271" s="4" t="s">
        <v>48</v>
      </c>
      <c r="H1271" s="1">
        <v>480.5</v>
      </c>
    </row>
    <row r="1272" spans="2:8" x14ac:dyDescent="0.2">
      <c r="B1272" t="str">
        <f>VLOOKUP(G1272,PC!B:D,3,FALSE)</f>
        <v>CPV</v>
      </c>
      <c r="C1272" s="22">
        <v>2023</v>
      </c>
      <c r="D1272" t="s">
        <v>112</v>
      </c>
      <c r="E1272" t="s">
        <v>30</v>
      </c>
      <c r="F1272" t="str">
        <f>VLOOKUP(G1272,PC!B:D,2,FALSE)</f>
        <v>SOBREMESA</v>
      </c>
      <c r="G1272" s="4" t="s">
        <v>23</v>
      </c>
      <c r="H1272" s="1">
        <v>150.26</v>
      </c>
    </row>
    <row r="1273" spans="2:8" x14ac:dyDescent="0.2">
      <c r="B1273" t="str">
        <f>VLOOKUP(G1273,PC!B:D,3,FALSE)</f>
        <v>CPV</v>
      </c>
      <c r="C1273" s="22">
        <v>2023</v>
      </c>
      <c r="D1273" t="s">
        <v>112</v>
      </c>
      <c r="E1273" t="s">
        <v>20</v>
      </c>
      <c r="F1273" t="str">
        <f>VLOOKUP(G1273,PC!B:D,2,FALSE)</f>
        <v>COMIDA</v>
      </c>
      <c r="G1273" s="4" t="s">
        <v>29</v>
      </c>
      <c r="H1273" s="1">
        <v>79.900000000000006</v>
      </c>
    </row>
    <row r="1274" spans="2:8" x14ac:dyDescent="0.2">
      <c r="B1274" t="str">
        <f>VLOOKUP(G1274,PC!B:D,3,FALSE)</f>
        <v>CPV</v>
      </c>
      <c r="C1274" s="22">
        <v>2023</v>
      </c>
      <c r="D1274" t="s">
        <v>112</v>
      </c>
      <c r="E1274" t="s">
        <v>28</v>
      </c>
      <c r="F1274" t="str">
        <f>VLOOKUP(G1274,PC!B:D,2,FALSE)</f>
        <v>BEBIDAS</v>
      </c>
      <c r="G1274" s="4" t="s">
        <v>25</v>
      </c>
      <c r="H1274" s="1">
        <v>717.5</v>
      </c>
    </row>
    <row r="1275" spans="2:8" x14ac:dyDescent="0.2">
      <c r="B1275" t="str">
        <f>VLOOKUP(G1275,PC!B:D,3,FALSE)</f>
        <v>CPV</v>
      </c>
      <c r="C1275" s="22">
        <v>2023</v>
      </c>
      <c r="D1275" t="s">
        <v>112</v>
      </c>
      <c r="E1275" t="s">
        <v>28</v>
      </c>
      <c r="F1275" t="str">
        <f>VLOOKUP(G1275,PC!B:D,2,FALSE)</f>
        <v>BEBIDAS</v>
      </c>
      <c r="G1275" s="4" t="s">
        <v>26</v>
      </c>
      <c r="H1275" s="1">
        <f>3717.5-H1274</f>
        <v>3000</v>
      </c>
    </row>
    <row r="1276" spans="2:8" x14ac:dyDescent="0.2">
      <c r="B1276" t="str">
        <f>VLOOKUP(G1276,PC!B:D,3,FALSE)</f>
        <v>CPV</v>
      </c>
      <c r="C1276" s="22">
        <v>2023</v>
      </c>
      <c r="D1276" t="s">
        <v>112</v>
      </c>
      <c r="E1276" t="s">
        <v>156</v>
      </c>
      <c r="F1276" t="str">
        <f>VLOOKUP(G1276,PC!B:D,2,FALSE)</f>
        <v>BEBIDAS</v>
      </c>
      <c r="G1276" s="4" t="s">
        <v>26</v>
      </c>
      <c r="H1276" s="1">
        <v>215.3</v>
      </c>
    </row>
    <row r="1277" spans="2:8" x14ac:dyDescent="0.2">
      <c r="B1277" t="str">
        <f>VLOOKUP(G1277,PC!B:D,3,FALSE)</f>
        <v>RECEITA</v>
      </c>
      <c r="C1277" s="22">
        <v>2023</v>
      </c>
      <c r="D1277" t="s">
        <v>112</v>
      </c>
      <c r="F1277" t="str">
        <f>VLOOKUP(G1277,PC!B:D,2,FALSE)</f>
        <v>RECEITA</v>
      </c>
      <c r="G1277" s="4" t="s">
        <v>83</v>
      </c>
      <c r="H1277" s="1">
        <v>43.06</v>
      </c>
    </row>
    <row r="1278" spans="2:8" x14ac:dyDescent="0.2">
      <c r="B1278" t="str">
        <f>VLOOKUP(G1278,PC!B:D,3,FALSE)</f>
        <v>CPV</v>
      </c>
      <c r="C1278" s="22">
        <v>2023</v>
      </c>
      <c r="D1278" t="s">
        <v>112</v>
      </c>
      <c r="E1278" t="s">
        <v>40</v>
      </c>
      <c r="F1278" t="str">
        <f>VLOOKUP(G1278,PC!B:D,2,FALSE)</f>
        <v>BEBIDAS</v>
      </c>
      <c r="G1278" s="4" t="s">
        <v>26</v>
      </c>
      <c r="H1278" s="1">
        <v>190.94</v>
      </c>
    </row>
    <row r="1279" spans="2:8" x14ac:dyDescent="0.2">
      <c r="B1279" t="str">
        <f>VLOOKUP(G1279,PC!B:D,3,FALSE)</f>
        <v>CPV</v>
      </c>
      <c r="C1279" s="22">
        <v>2023</v>
      </c>
      <c r="D1279" t="s">
        <v>112</v>
      </c>
      <c r="E1279" t="s">
        <v>159</v>
      </c>
      <c r="F1279" t="str">
        <f>VLOOKUP(G1279,PC!B:D,2,FALSE)</f>
        <v>COMIDA</v>
      </c>
      <c r="G1279" s="4" t="s">
        <v>38</v>
      </c>
      <c r="H1279" s="1">
        <v>269.42</v>
      </c>
    </row>
    <row r="1280" spans="2:8" x14ac:dyDescent="0.2">
      <c r="B1280" t="str">
        <f>VLOOKUP(G1280,PC!B:D,3,FALSE)</f>
        <v>CPV</v>
      </c>
      <c r="C1280" s="22">
        <v>2023</v>
      </c>
      <c r="D1280" t="s">
        <v>112</v>
      </c>
      <c r="E1280" t="s">
        <v>180</v>
      </c>
      <c r="F1280" t="str">
        <f>VLOOKUP(G1280,PC!B:D,2,FALSE)</f>
        <v>COMIDA</v>
      </c>
      <c r="G1280" s="4" t="s">
        <v>145</v>
      </c>
    </row>
    <row r="1281" spans="2:8" x14ac:dyDescent="0.2">
      <c r="B1281" t="str">
        <f>VLOOKUP(G1281,PC!B:D,3,FALSE)</f>
        <v>RECEITA</v>
      </c>
      <c r="C1281" s="22">
        <v>2023</v>
      </c>
      <c r="D1281" t="s">
        <v>112</v>
      </c>
      <c r="F1281" t="str">
        <f>VLOOKUP(G1281,PC!B:D,2,FALSE)</f>
        <v>RECEITA</v>
      </c>
      <c r="G1281" s="4" t="s">
        <v>64</v>
      </c>
      <c r="H1281" s="1">
        <f>31.59+23.81</f>
        <v>55.4</v>
      </c>
    </row>
    <row r="1282" spans="2:8" x14ac:dyDescent="0.2">
      <c r="B1282" t="str">
        <f>VLOOKUP(G1282,PC!B:D,3,FALSE)</f>
        <v>DESPESA OPERACIONAL</v>
      </c>
      <c r="C1282" s="22">
        <v>2023</v>
      </c>
      <c r="D1282" t="s">
        <v>112</v>
      </c>
      <c r="F1282" t="str">
        <f>VLOOKUP(G1282,PC!B:D,2,FALSE)</f>
        <v>DESPESA OPERACIONAL</v>
      </c>
      <c r="G1282" s="4" t="s">
        <v>73</v>
      </c>
      <c r="H1282" s="1">
        <f>1373.91+1105.59</f>
        <v>2479.5</v>
      </c>
    </row>
    <row r="1283" spans="2:8" x14ac:dyDescent="0.2">
      <c r="B1283" t="str">
        <f>VLOOKUP(G1283,PC!B:D,3,FALSE)</f>
        <v>CPV</v>
      </c>
      <c r="C1283" s="22">
        <v>2023</v>
      </c>
      <c r="D1283" t="s">
        <v>112</v>
      </c>
      <c r="E1283" t="s">
        <v>129</v>
      </c>
      <c r="F1283" t="str">
        <f>VLOOKUP(G1283,PC!B:D,2,FALSE)</f>
        <v>COMIDA</v>
      </c>
      <c r="G1283" s="4" t="s">
        <v>155</v>
      </c>
      <c r="H1283" s="1">
        <v>470</v>
      </c>
    </row>
    <row r="1284" spans="2:8" x14ac:dyDescent="0.2">
      <c r="B1284" t="str">
        <f>VLOOKUP(G1284,PC!B:D,3,FALSE)</f>
        <v>CPV</v>
      </c>
      <c r="C1284" s="22">
        <v>2023</v>
      </c>
      <c r="D1284" t="s">
        <v>112</v>
      </c>
      <c r="E1284" t="s">
        <v>185</v>
      </c>
      <c r="F1284" t="str">
        <f>VLOOKUP(G1284,PC!B:D,2,FALSE)</f>
        <v>OUTROS</v>
      </c>
      <c r="G1284" s="4" t="s">
        <v>133</v>
      </c>
      <c r="H1284" s="1">
        <v>118.27</v>
      </c>
    </row>
    <row r="1285" spans="2:8" x14ac:dyDescent="0.2">
      <c r="B1285" t="str">
        <f>VLOOKUP(G1285,PC!B:D,3,FALSE)</f>
        <v>CPV</v>
      </c>
      <c r="C1285" s="22">
        <v>2023</v>
      </c>
      <c r="D1285" t="s">
        <v>112</v>
      </c>
      <c r="E1285" t="s">
        <v>129</v>
      </c>
      <c r="F1285" t="str">
        <f>VLOOKUP(G1285,PC!B:D,2,FALSE)</f>
        <v>COMIDA</v>
      </c>
      <c r="G1285" s="4" t="s">
        <v>33</v>
      </c>
      <c r="H1285" s="1">
        <v>63</v>
      </c>
    </row>
    <row r="1286" spans="2:8" x14ac:dyDescent="0.2">
      <c r="B1286" t="str">
        <f>VLOOKUP(G1286,PC!B:D,3,FALSE)</f>
        <v>CPV</v>
      </c>
      <c r="C1286" s="22">
        <v>2023</v>
      </c>
      <c r="D1286" t="s">
        <v>112</v>
      </c>
      <c r="E1286" t="s">
        <v>129</v>
      </c>
      <c r="F1286" t="str">
        <f>VLOOKUP(G1286,PC!B:D,2,FALSE)</f>
        <v>CIGARRO</v>
      </c>
      <c r="G1286" s="4" t="s">
        <v>57</v>
      </c>
      <c r="H1286" s="1">
        <f>704+128</f>
        <v>832</v>
      </c>
    </row>
    <row r="1287" spans="2:8" x14ac:dyDescent="0.2">
      <c r="B1287" t="str">
        <f>VLOOKUP(G1287,PC!B:D,3,FALSE)</f>
        <v>CPV</v>
      </c>
      <c r="C1287" s="22">
        <v>2023</v>
      </c>
      <c r="D1287" t="s">
        <v>112</v>
      </c>
      <c r="E1287" t="s">
        <v>129</v>
      </c>
      <c r="F1287" t="str">
        <f>VLOOKUP(G1287,PC!B:D,2,FALSE)</f>
        <v>CIGARRO</v>
      </c>
      <c r="G1287" s="4" t="s">
        <v>131</v>
      </c>
      <c r="H1287" s="1">
        <f>124+140</f>
        <v>264</v>
      </c>
    </row>
    <row r="1288" spans="2:8" x14ac:dyDescent="0.2">
      <c r="B1288" t="str">
        <f>VLOOKUP(G1288,PC!B:D,3,FALSE)</f>
        <v>CPV</v>
      </c>
      <c r="C1288" s="22">
        <v>2023</v>
      </c>
      <c r="D1288" t="s">
        <v>112</v>
      </c>
      <c r="E1288" t="s">
        <v>129</v>
      </c>
      <c r="F1288" t="str">
        <f>VLOOKUP(G1288,PC!B:D,2,FALSE)</f>
        <v>COMIDA</v>
      </c>
      <c r="G1288" s="4" t="s">
        <v>22</v>
      </c>
      <c r="H1288" s="1">
        <v>80</v>
      </c>
    </row>
    <row r="1289" spans="2:8" x14ac:dyDescent="0.2">
      <c r="B1289" t="str">
        <f>VLOOKUP(G1289,PC!B:D,3,FALSE)</f>
        <v>CPV</v>
      </c>
      <c r="C1289" s="22">
        <v>2023</v>
      </c>
      <c r="D1289" t="s">
        <v>112</v>
      </c>
      <c r="E1289" t="s">
        <v>129</v>
      </c>
      <c r="F1289" t="str">
        <f>VLOOKUP(G1289,PC!B:D,2,FALSE)</f>
        <v>COMIDA</v>
      </c>
      <c r="G1289" s="4" t="s">
        <v>12</v>
      </c>
      <c r="H1289" s="1">
        <v>150</v>
      </c>
    </row>
    <row r="1290" spans="2:8" x14ac:dyDescent="0.2">
      <c r="B1290" t="str">
        <f>VLOOKUP(G1290,PC!B:D,3,FALSE)</f>
        <v>CPV</v>
      </c>
      <c r="C1290" s="22">
        <v>2023</v>
      </c>
      <c r="D1290" t="s">
        <v>112</v>
      </c>
      <c r="E1290" t="s">
        <v>129</v>
      </c>
      <c r="F1290" t="str">
        <f>VLOOKUP(G1290,PC!B:D,2,FALSE)</f>
        <v>BEBIDAS</v>
      </c>
      <c r="G1290" s="4" t="s">
        <v>26</v>
      </c>
      <c r="H1290" s="1">
        <v>47</v>
      </c>
    </row>
    <row r="1291" spans="2:8" x14ac:dyDescent="0.2">
      <c r="B1291" t="str">
        <f>VLOOKUP(G1291,PC!B:D,3,FALSE)</f>
        <v>CPV</v>
      </c>
      <c r="C1291" s="22">
        <v>2023</v>
      </c>
      <c r="D1291" t="s">
        <v>112</v>
      </c>
      <c r="E1291" t="s">
        <v>129</v>
      </c>
      <c r="F1291" t="str">
        <f>VLOOKUP(G1291,PC!B:D,2,FALSE)</f>
        <v>SOBREMESA</v>
      </c>
      <c r="G1291" s="4" t="s">
        <v>8</v>
      </c>
      <c r="H1291" s="1">
        <v>50</v>
      </c>
    </row>
    <row r="1292" spans="2:8" x14ac:dyDescent="0.2">
      <c r="B1292" t="str">
        <f>VLOOKUP(G1292,PC!B:D,3,FALSE)</f>
        <v>CPV</v>
      </c>
      <c r="C1292" s="22">
        <v>2023</v>
      </c>
      <c r="D1292" t="s">
        <v>112</v>
      </c>
      <c r="E1292" t="s">
        <v>129</v>
      </c>
      <c r="F1292" t="str">
        <f>VLOOKUP(G1292,PC!B:D,2,FALSE)</f>
        <v>COMIDA</v>
      </c>
      <c r="G1292" s="4" t="s">
        <v>145</v>
      </c>
      <c r="H1292" s="1">
        <v>53.4</v>
      </c>
    </row>
    <row r="1293" spans="2:8" x14ac:dyDescent="0.2">
      <c r="B1293" t="str">
        <f>VLOOKUP(G1293,PC!B:D,3,FALSE)</f>
        <v>CPV</v>
      </c>
      <c r="C1293" s="22">
        <v>2023</v>
      </c>
      <c r="D1293" t="s">
        <v>112</v>
      </c>
      <c r="E1293" t="s">
        <v>77</v>
      </c>
      <c r="F1293" t="str">
        <f>VLOOKUP(G1293,PC!B:D,2,FALSE)</f>
        <v>OUTROS</v>
      </c>
      <c r="G1293" s="4" t="s">
        <v>37</v>
      </c>
      <c r="H1293" s="1">
        <v>428.43</v>
      </c>
    </row>
    <row r="1294" spans="2:8" x14ac:dyDescent="0.2">
      <c r="B1294" t="str">
        <f>VLOOKUP(G1294,PC!B:D,3,FALSE)</f>
        <v>CPV</v>
      </c>
      <c r="C1294" s="22">
        <v>2023</v>
      </c>
      <c r="D1294" t="s">
        <v>112</v>
      </c>
      <c r="E1294" t="s">
        <v>89</v>
      </c>
      <c r="F1294" t="str">
        <f>VLOOKUP(G1294,PC!B:D,2,FALSE)</f>
        <v>OUTROS</v>
      </c>
      <c r="G1294" s="4" t="s">
        <v>37</v>
      </c>
      <c r="H1294" s="1">
        <v>309.47000000000003</v>
      </c>
    </row>
    <row r="1295" spans="2:8" x14ac:dyDescent="0.2">
      <c r="B1295" t="str">
        <f>VLOOKUP(G1295,PC!B:D,3,FALSE)</f>
        <v>CPV</v>
      </c>
      <c r="C1295" s="22">
        <v>2023</v>
      </c>
      <c r="D1295" t="s">
        <v>112</v>
      </c>
      <c r="E1295" t="s">
        <v>89</v>
      </c>
      <c r="F1295" t="str">
        <f>VLOOKUP(G1295,PC!B:D,2,FALSE)</f>
        <v>OUTROS</v>
      </c>
      <c r="G1295" s="4" t="s">
        <v>37</v>
      </c>
      <c r="H1295" s="1">
        <v>238.31</v>
      </c>
    </row>
    <row r="1296" spans="2:8" x14ac:dyDescent="0.2">
      <c r="B1296" t="str">
        <f>VLOOKUP(G1296,PC!B:D,3,FALSE)</f>
        <v>RECEITA</v>
      </c>
      <c r="C1296" s="22">
        <v>2023</v>
      </c>
      <c r="D1296" t="s">
        <v>112</v>
      </c>
      <c r="F1296" t="str">
        <f>VLOOKUP(G1296,PC!B:D,2,FALSE)</f>
        <v>RECEITA</v>
      </c>
      <c r="G1296" s="4" t="s">
        <v>54</v>
      </c>
      <c r="H1296" s="1">
        <v>2000</v>
      </c>
    </row>
    <row r="1297" spans="2:8" x14ac:dyDescent="0.2">
      <c r="B1297" t="str">
        <f>VLOOKUP(G1297,PC!B:D,3,FALSE)</f>
        <v>RECEITA</v>
      </c>
      <c r="C1297" s="22">
        <v>2023</v>
      </c>
      <c r="D1297" t="s">
        <v>112</v>
      </c>
      <c r="F1297" t="str">
        <f>VLOOKUP(G1297,PC!B:D,2,FALSE)</f>
        <v>RECEITA</v>
      </c>
      <c r="G1297" s="4" t="s">
        <v>54</v>
      </c>
      <c r="H1297" s="1">
        <v>570</v>
      </c>
    </row>
    <row r="1298" spans="2:8" x14ac:dyDescent="0.2">
      <c r="B1298" t="str">
        <f>VLOOKUP(G1298,PC!B:D,3,FALSE)</f>
        <v>DESPESA PESSOAL</v>
      </c>
      <c r="C1298" s="22">
        <v>2023</v>
      </c>
      <c r="D1298" t="s">
        <v>112</v>
      </c>
      <c r="F1298" t="str">
        <f>VLOOKUP(G1298,PC!B:D,2,FALSE)</f>
        <v>DESPESA PESSOAL</v>
      </c>
      <c r="G1298" s="4" t="s">
        <v>56</v>
      </c>
      <c r="H1298" s="1">
        <v>350</v>
      </c>
    </row>
    <row r="1299" spans="2:8" x14ac:dyDescent="0.2">
      <c r="B1299" t="str">
        <f>VLOOKUP(G1299,PC!B:D,3,FALSE)</f>
        <v>DESPESA PESSOAL</v>
      </c>
      <c r="C1299" s="22">
        <v>2023</v>
      </c>
      <c r="D1299" t="s">
        <v>112</v>
      </c>
      <c r="F1299" t="str">
        <f>VLOOKUP(G1299,PC!B:D,2,FALSE)</f>
        <v>DESPESA PESSOAL</v>
      </c>
      <c r="G1299" s="4" t="s">
        <v>68</v>
      </c>
      <c r="H1299" s="1">
        <v>180</v>
      </c>
    </row>
    <row r="1300" spans="2:8" x14ac:dyDescent="0.2">
      <c r="B1300" t="str">
        <f>VLOOKUP(G1300,PC!B:D,3,FALSE)</f>
        <v>RECEITA</v>
      </c>
      <c r="C1300" s="22">
        <v>2023</v>
      </c>
      <c r="D1300" t="s">
        <v>112</v>
      </c>
      <c r="F1300" t="str">
        <f>VLOOKUP(G1300,PC!B:D,2,FALSE)</f>
        <v>RECEITA</v>
      </c>
      <c r="G1300" s="4" t="s">
        <v>54</v>
      </c>
      <c r="H1300" s="1">
        <f>180+53</f>
        <v>233</v>
      </c>
    </row>
    <row r="1301" spans="2:8" x14ac:dyDescent="0.2">
      <c r="B1301" t="str">
        <f>VLOOKUP(G1301,PC!B:D,3,FALSE)</f>
        <v>RECEITA</v>
      </c>
      <c r="C1301" s="22">
        <v>2023</v>
      </c>
      <c r="D1301" t="s">
        <v>112</v>
      </c>
      <c r="F1301" t="str">
        <f>VLOOKUP(G1301,PC!B:D,2,FALSE)</f>
        <v>RECEITA</v>
      </c>
      <c r="G1301" s="4" t="s">
        <v>54</v>
      </c>
      <c r="H1301" s="1">
        <v>900</v>
      </c>
    </row>
    <row r="1302" spans="2:8" x14ac:dyDescent="0.2">
      <c r="B1302" t="str">
        <f>VLOOKUP(G1302,PC!B:D,3,FALSE)</f>
        <v>RECEITA</v>
      </c>
      <c r="C1302" s="22">
        <v>2023</v>
      </c>
      <c r="D1302" t="s">
        <v>112</v>
      </c>
      <c r="F1302" t="str">
        <f>VLOOKUP(G1302,PC!B:D,2,FALSE)</f>
        <v>RECEITA</v>
      </c>
      <c r="G1302" s="4" t="s">
        <v>54</v>
      </c>
      <c r="H1302" s="1">
        <v>1400</v>
      </c>
    </row>
    <row r="1303" spans="2:8" x14ac:dyDescent="0.2">
      <c r="B1303" t="str">
        <f>VLOOKUP(G1303,PC!B:D,3,FALSE)</f>
        <v>RECEITA</v>
      </c>
      <c r="C1303" s="22">
        <v>2023</v>
      </c>
      <c r="D1303" t="s">
        <v>112</v>
      </c>
      <c r="F1303" t="str">
        <f>VLOOKUP(G1303,PC!B:D,2,FALSE)</f>
        <v>RECEITA</v>
      </c>
      <c r="G1303" s="4" t="s">
        <v>54</v>
      </c>
      <c r="H1303" s="1">
        <f>52+35+280+170+150</f>
        <v>687</v>
      </c>
    </row>
    <row r="1304" spans="2:8" x14ac:dyDescent="0.2">
      <c r="B1304" t="str">
        <f>VLOOKUP(G1304,PC!B:D,3,FALSE)</f>
        <v>RECEITA</v>
      </c>
      <c r="C1304" s="22">
        <v>2023</v>
      </c>
      <c r="D1304" t="s">
        <v>112</v>
      </c>
      <c r="F1304" t="str">
        <f>VLOOKUP(G1304,PC!B:D,2,FALSE)</f>
        <v>RECEITA</v>
      </c>
      <c r="G1304" s="4" t="s">
        <v>54</v>
      </c>
      <c r="H1304" s="1">
        <v>850</v>
      </c>
    </row>
    <row r="1305" spans="2:8" x14ac:dyDescent="0.2">
      <c r="B1305" t="str">
        <f>VLOOKUP(G1305,PC!B:D,3,FALSE)</f>
        <v>RECEITA</v>
      </c>
      <c r="C1305" s="22">
        <v>2023</v>
      </c>
      <c r="D1305" t="s">
        <v>112</v>
      </c>
      <c r="F1305" t="str">
        <f>VLOOKUP(G1305,PC!B:D,2,FALSE)</f>
        <v>RECEITA</v>
      </c>
      <c r="G1305" s="4" t="s">
        <v>54</v>
      </c>
      <c r="H1305" s="1">
        <v>2200</v>
      </c>
    </row>
    <row r="1306" spans="2:8" x14ac:dyDescent="0.2">
      <c r="B1306" t="str">
        <f>VLOOKUP(G1306,PC!B:D,3,FALSE)</f>
        <v>DESPESA OPERACIONAL</v>
      </c>
      <c r="C1306" s="22">
        <v>2023</v>
      </c>
      <c r="D1306" t="s">
        <v>112</v>
      </c>
      <c r="F1306" t="str">
        <f>VLOOKUP(G1306,PC!B:D,2,FALSE)</f>
        <v>DESPESA OPERACIONAL</v>
      </c>
      <c r="G1306" s="4" t="s">
        <v>70</v>
      </c>
      <c r="H1306" s="1">
        <v>52</v>
      </c>
    </row>
    <row r="1307" spans="2:8" x14ac:dyDescent="0.2">
      <c r="B1307" t="str">
        <f>VLOOKUP(G1307,PC!B:D,3,FALSE)</f>
        <v>CPV</v>
      </c>
      <c r="C1307" s="22">
        <v>2023</v>
      </c>
      <c r="D1307" t="s">
        <v>112</v>
      </c>
      <c r="F1307" t="str">
        <f>VLOOKUP(G1307,PC!B:D,2,FALSE)</f>
        <v>COMIDA</v>
      </c>
      <c r="G1307" s="4" t="s">
        <v>18</v>
      </c>
      <c r="H1307" s="1">
        <v>35</v>
      </c>
    </row>
    <row r="1308" spans="2:8" x14ac:dyDescent="0.2">
      <c r="B1308" t="str">
        <f>VLOOKUP(G1308,PC!B:D,3,FALSE)</f>
        <v>CPV</v>
      </c>
      <c r="C1308" s="22">
        <v>2023</v>
      </c>
      <c r="D1308" t="s">
        <v>112</v>
      </c>
      <c r="F1308" t="str">
        <f>VLOOKUP(G1308,PC!B:D,2,FALSE)</f>
        <v>CIGARRO</v>
      </c>
      <c r="G1308" s="4" t="s">
        <v>53</v>
      </c>
      <c r="H1308" s="1">
        <v>280</v>
      </c>
    </row>
    <row r="1309" spans="2:8" x14ac:dyDescent="0.2">
      <c r="B1309" t="str">
        <f>VLOOKUP(G1309,PC!B:D,3,FALSE)</f>
        <v>RECEITA</v>
      </c>
      <c r="C1309" s="22">
        <v>2023</v>
      </c>
      <c r="D1309" t="s">
        <v>112</v>
      </c>
      <c r="F1309" t="str">
        <f>VLOOKUP(G1309,PC!B:D,2,FALSE)</f>
        <v>RECEITA</v>
      </c>
      <c r="G1309" s="4" t="s">
        <v>54</v>
      </c>
      <c r="H1309" s="1">
        <f>170</f>
        <v>170</v>
      </c>
    </row>
    <row r="1310" spans="2:8" x14ac:dyDescent="0.2">
      <c r="B1310" t="str">
        <f>VLOOKUP(G1310,PC!B:D,3,FALSE)</f>
        <v>RECEITA</v>
      </c>
      <c r="C1310" s="22">
        <v>2023</v>
      </c>
      <c r="D1310" t="s">
        <v>112</v>
      </c>
      <c r="F1310" t="str">
        <f>VLOOKUP(G1310,PC!B:D,2,FALSE)</f>
        <v>RECEITA</v>
      </c>
      <c r="G1310" s="4" t="s">
        <v>54</v>
      </c>
      <c r="H1310" s="1">
        <v>1400</v>
      </c>
    </row>
    <row r="1311" spans="2:8" x14ac:dyDescent="0.2">
      <c r="B1311" t="str">
        <f>VLOOKUP(G1311,PC!B:D,3,FALSE)</f>
        <v>RECEITA</v>
      </c>
      <c r="C1311" s="22">
        <v>2023</v>
      </c>
      <c r="D1311" t="s">
        <v>112</v>
      </c>
      <c r="F1311" t="str">
        <f>VLOOKUP(G1311,PC!B:D,2,FALSE)</f>
        <v>RECEITA</v>
      </c>
      <c r="G1311" s="4" t="s">
        <v>54</v>
      </c>
      <c r="H1311" s="1">
        <v>2000</v>
      </c>
    </row>
    <row r="1312" spans="2:8" x14ac:dyDescent="0.2">
      <c r="B1312" t="str">
        <f>VLOOKUP(G1312,PC!B:D,3,FALSE)</f>
        <v>RECEITA</v>
      </c>
      <c r="C1312" s="22">
        <v>2023</v>
      </c>
      <c r="D1312" t="s">
        <v>112</v>
      </c>
      <c r="F1312" t="str">
        <f>VLOOKUP(G1312,PC!B:D,2,FALSE)</f>
        <v>RECEITA</v>
      </c>
      <c r="G1312" s="4" t="s">
        <v>54</v>
      </c>
      <c r="H1312" s="1">
        <v>400</v>
      </c>
    </row>
    <row r="1313" spans="2:8" x14ac:dyDescent="0.2">
      <c r="B1313" t="str">
        <f>VLOOKUP(G1313,PC!B:D,3,FALSE)</f>
        <v>CPV</v>
      </c>
      <c r="C1313" s="22">
        <v>2023</v>
      </c>
      <c r="D1313" t="s">
        <v>112</v>
      </c>
      <c r="E1313" t="s">
        <v>129</v>
      </c>
      <c r="F1313" t="str">
        <f>VLOOKUP(G1313,PC!B:D,2,FALSE)</f>
        <v>SOBREMESA</v>
      </c>
      <c r="G1313" s="4" t="s">
        <v>7</v>
      </c>
      <c r="H1313" s="1">
        <v>170</v>
      </c>
    </row>
    <row r="1314" spans="2:8" x14ac:dyDescent="0.2">
      <c r="B1314" t="str">
        <f>VLOOKUP(G1314,PC!B:D,3,FALSE)</f>
        <v>RECEITA</v>
      </c>
      <c r="C1314" s="22">
        <v>2023</v>
      </c>
      <c r="D1314" t="s">
        <v>112</v>
      </c>
      <c r="F1314" t="str">
        <f>VLOOKUP(G1314,PC!B:D,2,FALSE)</f>
        <v>RECEITA</v>
      </c>
      <c r="G1314" s="4" t="s">
        <v>54</v>
      </c>
      <c r="H1314" s="1">
        <f>56+40+20+15+173.5+60+150+50</f>
        <v>564.5</v>
      </c>
    </row>
    <row r="1315" spans="2:8" x14ac:dyDescent="0.2">
      <c r="B1315" t="str">
        <f>VLOOKUP(G1315,PC!B:D,3,FALSE)</f>
        <v>CPV</v>
      </c>
      <c r="C1315" s="22">
        <v>2023</v>
      </c>
      <c r="D1315" t="s">
        <v>112</v>
      </c>
      <c r="F1315" t="str">
        <f>VLOOKUP(G1315,PC!B:D,2,FALSE)</f>
        <v>COMIDA</v>
      </c>
      <c r="G1315" s="4" t="s">
        <v>12</v>
      </c>
      <c r="H1315" s="1">
        <v>56</v>
      </c>
    </row>
    <row r="1316" spans="2:8" x14ac:dyDescent="0.2">
      <c r="B1316" t="str">
        <f>VLOOKUP(G1316,PC!B:D,3,FALSE)</f>
        <v>CPV</v>
      </c>
      <c r="C1316" s="22">
        <v>2023</v>
      </c>
      <c r="D1316" t="s">
        <v>112</v>
      </c>
      <c r="F1316" t="str">
        <f>VLOOKUP(G1316,PC!B:D,2,FALSE)</f>
        <v>COMIDA</v>
      </c>
      <c r="G1316" s="4" t="s">
        <v>18</v>
      </c>
      <c r="H1316" s="1">
        <v>40</v>
      </c>
    </row>
    <row r="1317" spans="2:8" x14ac:dyDescent="0.2">
      <c r="B1317" t="str">
        <f>VLOOKUP(G1317,PC!B:D,3,FALSE)</f>
        <v>DESPESA PESSOAL</v>
      </c>
      <c r="C1317" s="22">
        <v>2023</v>
      </c>
      <c r="D1317" t="s">
        <v>112</v>
      </c>
      <c r="F1317" t="str">
        <f>VLOOKUP(G1317,PC!B:D,2,FALSE)</f>
        <v>DESPESA PESSOAL</v>
      </c>
      <c r="G1317" s="4" t="s">
        <v>68</v>
      </c>
      <c r="H1317" s="1">
        <v>35</v>
      </c>
    </row>
    <row r="1318" spans="2:8" x14ac:dyDescent="0.2">
      <c r="B1318" t="str">
        <f>VLOOKUP(G1318,PC!B:D,3,FALSE)</f>
        <v>CPV</v>
      </c>
      <c r="C1318" s="22">
        <v>2023</v>
      </c>
      <c r="D1318" t="s">
        <v>112</v>
      </c>
      <c r="F1318" t="str">
        <f>VLOOKUP(G1318,PC!B:D,2,FALSE)</f>
        <v>COMIDA</v>
      </c>
      <c r="G1318" s="4" t="s">
        <v>146</v>
      </c>
      <c r="H1318" s="1">
        <v>60</v>
      </c>
    </row>
    <row r="1319" spans="2:8" x14ac:dyDescent="0.2">
      <c r="B1319" t="str">
        <f>VLOOKUP(G1319,PC!B:D,3,FALSE)</f>
        <v>CPV</v>
      </c>
      <c r="C1319" s="22">
        <v>2023</v>
      </c>
      <c r="D1319" t="s">
        <v>112</v>
      </c>
      <c r="F1319" t="str">
        <f>VLOOKUP(G1319,PC!B:D,2,FALSE)</f>
        <v>COMIDA</v>
      </c>
      <c r="G1319" s="4" t="s">
        <v>12</v>
      </c>
      <c r="H1319" s="1">
        <v>150</v>
      </c>
    </row>
    <row r="1320" spans="2:8" x14ac:dyDescent="0.2">
      <c r="B1320" t="str">
        <f>VLOOKUP(G1320,PC!B:D,3,FALSE)</f>
        <v>CPV</v>
      </c>
      <c r="C1320" s="22">
        <v>2023</v>
      </c>
      <c r="D1320" t="s">
        <v>112</v>
      </c>
      <c r="F1320" t="str">
        <f>VLOOKUP(G1320,PC!B:D,2,FALSE)</f>
        <v>SOBREMESA</v>
      </c>
      <c r="G1320" s="4" t="s">
        <v>7</v>
      </c>
      <c r="H1320" s="1">
        <v>50</v>
      </c>
    </row>
    <row r="1321" spans="2:8" x14ac:dyDescent="0.2">
      <c r="B1321" t="str">
        <f>VLOOKUP(G1321,PC!B:D,3,FALSE)</f>
        <v>RECEITA</v>
      </c>
      <c r="C1321" s="22">
        <v>2023</v>
      </c>
      <c r="D1321" t="s">
        <v>112</v>
      </c>
      <c r="F1321" t="str">
        <f>VLOOKUP(G1321,PC!B:D,2,FALSE)</f>
        <v>RECEITA</v>
      </c>
      <c r="G1321" s="4" t="s">
        <v>54</v>
      </c>
      <c r="H1321" s="1">
        <v>400</v>
      </c>
    </row>
    <row r="1322" spans="2:8" x14ac:dyDescent="0.2">
      <c r="B1322" t="str">
        <f>VLOOKUP(G1322,PC!B:D,3,FALSE)</f>
        <v>RECEITA</v>
      </c>
      <c r="C1322" s="22">
        <v>2023</v>
      </c>
      <c r="D1322" t="s">
        <v>112</v>
      </c>
      <c r="F1322" t="str">
        <f>VLOOKUP(G1322,PC!B:D,2,FALSE)</f>
        <v>RECEITA</v>
      </c>
      <c r="G1322" s="4" t="s">
        <v>54</v>
      </c>
      <c r="H1322" s="1">
        <v>1800</v>
      </c>
    </row>
    <row r="1323" spans="2:8" x14ac:dyDescent="0.2">
      <c r="B1323" t="str">
        <f>VLOOKUP(G1323,PC!B:D,3,FALSE)</f>
        <v>RECEITA</v>
      </c>
      <c r="C1323" s="22">
        <v>2023</v>
      </c>
      <c r="D1323" t="s">
        <v>112</v>
      </c>
      <c r="F1323" t="str">
        <f>VLOOKUP(G1323,PC!B:D,2,FALSE)</f>
        <v>RECEITA</v>
      </c>
      <c r="G1323" s="4" t="s">
        <v>54</v>
      </c>
      <c r="H1323" s="1">
        <v>800</v>
      </c>
    </row>
    <row r="1324" spans="2:8" x14ac:dyDescent="0.2">
      <c r="B1324" t="str">
        <f>VLOOKUP(G1324,PC!B:D,3,FALSE)</f>
        <v>RECEITA</v>
      </c>
      <c r="C1324" s="22">
        <v>2023</v>
      </c>
      <c r="D1324" t="s">
        <v>112</v>
      </c>
      <c r="F1324" t="str">
        <f>VLOOKUP(G1324,PC!B:D,2,FALSE)</f>
        <v>RECEITA</v>
      </c>
      <c r="G1324" s="4" t="s">
        <v>54</v>
      </c>
      <c r="H1324" s="1">
        <f>35.2+80+94+188.5</f>
        <v>397.7</v>
      </c>
    </row>
    <row r="1325" spans="2:8" x14ac:dyDescent="0.2">
      <c r="B1325" t="str">
        <f>VLOOKUP(G1325,PC!B:D,3,FALSE)</f>
        <v>CPV</v>
      </c>
      <c r="C1325" s="22">
        <v>2023</v>
      </c>
      <c r="D1325" t="s">
        <v>112</v>
      </c>
      <c r="F1325" t="str">
        <f>VLOOKUP(G1325,PC!B:D,2,FALSE)</f>
        <v>COMIDA</v>
      </c>
      <c r="G1325" s="4" t="s">
        <v>18</v>
      </c>
      <c r="H1325" s="1">
        <v>35.200000000000003</v>
      </c>
    </row>
    <row r="1326" spans="2:8" x14ac:dyDescent="0.2">
      <c r="B1326" t="str">
        <f>VLOOKUP(G1326,PC!B:D,3,FALSE)</f>
        <v>RECEITA</v>
      </c>
      <c r="C1326" s="22">
        <v>2023</v>
      </c>
      <c r="D1326" t="s">
        <v>112</v>
      </c>
      <c r="F1326" t="str">
        <f>VLOOKUP(G1326,PC!B:D,2,FALSE)</f>
        <v>RECEITA</v>
      </c>
      <c r="G1326" s="4" t="s">
        <v>54</v>
      </c>
      <c r="H1326" s="1">
        <v>1100</v>
      </c>
    </row>
    <row r="1327" spans="2:8" x14ac:dyDescent="0.2">
      <c r="B1327" t="str">
        <f>VLOOKUP(G1327,PC!B:D,3,FALSE)</f>
        <v>RECEITA</v>
      </c>
      <c r="C1327" s="22">
        <v>2023</v>
      </c>
      <c r="D1327" t="s">
        <v>112</v>
      </c>
      <c r="F1327" t="str">
        <f>VLOOKUP(G1327,PC!B:D,2,FALSE)</f>
        <v>RECEITA</v>
      </c>
      <c r="G1327" s="4" t="s">
        <v>54</v>
      </c>
      <c r="H1327" s="1">
        <v>1400</v>
      </c>
    </row>
    <row r="1328" spans="2:8" x14ac:dyDescent="0.2">
      <c r="B1328" t="str">
        <f>VLOOKUP(G1328,PC!B:D,3,FALSE)</f>
        <v>RECEITA</v>
      </c>
      <c r="C1328" s="22">
        <v>2023</v>
      </c>
      <c r="D1328" t="s">
        <v>112</v>
      </c>
      <c r="F1328" t="str">
        <f>VLOOKUP(G1328,PC!B:D,2,FALSE)</f>
        <v>RECEITA</v>
      </c>
      <c r="G1328" s="4" t="s">
        <v>54</v>
      </c>
      <c r="H1328" s="1">
        <f>215+80+300</f>
        <v>595</v>
      </c>
    </row>
    <row r="1329" spans="2:9" x14ac:dyDescent="0.2">
      <c r="B1329" t="str">
        <f>VLOOKUP(G1329,PC!B:D,3,FALSE)</f>
        <v>RECEITA</v>
      </c>
      <c r="C1329" s="22">
        <v>2023</v>
      </c>
      <c r="D1329" t="s">
        <v>112</v>
      </c>
      <c r="F1329" t="str">
        <f>VLOOKUP(G1329,PC!B:D,2,FALSE)</f>
        <v>RECEITA</v>
      </c>
      <c r="G1329" s="4" t="s">
        <v>54</v>
      </c>
      <c r="H1329" s="1">
        <v>1000</v>
      </c>
    </row>
    <row r="1330" spans="2:9" x14ac:dyDescent="0.2">
      <c r="B1330" t="str">
        <f>VLOOKUP(G1330,PC!B:D,3,FALSE)</f>
        <v>RECEITA</v>
      </c>
      <c r="C1330" s="22">
        <v>2023</v>
      </c>
      <c r="D1330" t="s">
        <v>112</v>
      </c>
      <c r="F1330" t="str">
        <f>VLOOKUP(G1330,PC!B:D,2,FALSE)</f>
        <v>RECEITA</v>
      </c>
      <c r="G1330" s="4" t="s">
        <v>54</v>
      </c>
      <c r="H1330" s="1">
        <v>1126</v>
      </c>
    </row>
    <row r="1331" spans="2:9" x14ac:dyDescent="0.2">
      <c r="B1331" t="str">
        <f>VLOOKUP(G1331,PC!B:D,3,FALSE)</f>
        <v>DESPESA PESSOAL</v>
      </c>
      <c r="C1331" s="22">
        <v>2023</v>
      </c>
      <c r="D1331" t="s">
        <v>112</v>
      </c>
      <c r="F1331" t="str">
        <f>VLOOKUP(G1331,PC!B:D,2,FALSE)</f>
        <v>DESPESA PESSOAL</v>
      </c>
      <c r="G1331" s="4" t="s">
        <v>56</v>
      </c>
      <c r="H1331" s="1">
        <v>300</v>
      </c>
    </row>
    <row r="1332" spans="2:9" x14ac:dyDescent="0.2">
      <c r="B1332" t="str">
        <f>VLOOKUP(G1332,PC!B:D,3,FALSE)</f>
        <v>RECEITA</v>
      </c>
      <c r="C1332" s="22">
        <v>2023</v>
      </c>
      <c r="D1332" t="s">
        <v>112</v>
      </c>
      <c r="F1332" t="str">
        <f>VLOOKUP(G1332,PC!B:D,2,FALSE)</f>
        <v>RECEITA</v>
      </c>
      <c r="G1332" s="4" t="s">
        <v>54</v>
      </c>
      <c r="H1332" s="1">
        <v>1200</v>
      </c>
    </row>
    <row r="1333" spans="2:9" x14ac:dyDescent="0.2">
      <c r="B1333" t="str">
        <f>VLOOKUP(G1333,PC!B:D,3,FALSE)</f>
        <v>RECEITA</v>
      </c>
      <c r="C1333" s="22">
        <v>2023</v>
      </c>
      <c r="D1333" t="s">
        <v>112</v>
      </c>
      <c r="F1333" t="str">
        <f>VLOOKUP(G1333,PC!B:D,2,FALSE)</f>
        <v>RECEITA</v>
      </c>
      <c r="G1333" s="4" t="s">
        <v>54</v>
      </c>
      <c r="H1333" s="1">
        <v>850</v>
      </c>
    </row>
    <row r="1334" spans="2:9" x14ac:dyDescent="0.2">
      <c r="B1334" t="str">
        <f>VLOOKUP(G1334,PC!B:D,3,FALSE)</f>
        <v>CPV</v>
      </c>
      <c r="C1334" s="22">
        <v>2023</v>
      </c>
      <c r="D1334" t="s">
        <v>112</v>
      </c>
      <c r="E1334" t="s">
        <v>129</v>
      </c>
      <c r="F1334" t="str">
        <f>VLOOKUP(G1334,PC!B:D,2,FALSE)</f>
        <v>SOBREMESA</v>
      </c>
      <c r="G1334" s="4" t="s">
        <v>7</v>
      </c>
      <c r="H1334" s="1">
        <v>86</v>
      </c>
    </row>
    <row r="1335" spans="2:9" x14ac:dyDescent="0.2">
      <c r="B1335" t="str">
        <f>VLOOKUP(G1335,PC!B:D,3,FALSE)</f>
        <v>CPV</v>
      </c>
      <c r="C1335" s="22">
        <v>2023</v>
      </c>
      <c r="D1335" t="s">
        <v>112</v>
      </c>
      <c r="E1335" t="s">
        <v>28</v>
      </c>
      <c r="F1335" t="str">
        <f>VLOOKUP(G1335,PC!B:D,2,FALSE)</f>
        <v>BEBIDAS</v>
      </c>
      <c r="G1335" s="4" t="s">
        <v>26</v>
      </c>
      <c r="H1335" s="1">
        <v>589</v>
      </c>
      <c r="I1335" s="4"/>
    </row>
    <row r="1336" spans="2:9" x14ac:dyDescent="0.2">
      <c r="B1336" t="str">
        <f>VLOOKUP(G1336,PC!B:D,3,FALSE)</f>
        <v>CPV</v>
      </c>
      <c r="C1336" s="22">
        <v>2023</v>
      </c>
      <c r="D1336" t="s">
        <v>112</v>
      </c>
      <c r="E1336" t="s">
        <v>14</v>
      </c>
      <c r="F1336" t="str">
        <f>VLOOKUP(G1336,PC!B:D,2,FALSE)</f>
        <v>BEBIDAS</v>
      </c>
      <c r="G1336" s="4" t="s">
        <v>46</v>
      </c>
      <c r="H1336" s="1">
        <f>3*29.79</f>
        <v>89.37</v>
      </c>
      <c r="I1336" s="4"/>
    </row>
    <row r="1337" spans="2:9" x14ac:dyDescent="0.2">
      <c r="B1337" t="str">
        <f>VLOOKUP(G1337,PC!B:D,3,FALSE)</f>
        <v>CPV</v>
      </c>
      <c r="C1337" s="22">
        <v>2023</v>
      </c>
      <c r="D1337" t="s">
        <v>112</v>
      </c>
      <c r="E1337" t="s">
        <v>14</v>
      </c>
      <c r="F1337" t="str">
        <f>VLOOKUP(G1337,PC!B:D,2,FALSE)</f>
        <v>BEBIDAS</v>
      </c>
      <c r="G1337" s="4" t="s">
        <v>46</v>
      </c>
      <c r="H1337" s="1">
        <v>33.659999999999997</v>
      </c>
    </row>
    <row r="1338" spans="2:9" x14ac:dyDescent="0.2">
      <c r="B1338" t="str">
        <f>VLOOKUP(G1338,PC!B:D,3,FALSE)</f>
        <v>CPV</v>
      </c>
      <c r="C1338" s="22">
        <v>2023</v>
      </c>
      <c r="D1338" t="s">
        <v>112</v>
      </c>
      <c r="E1338" t="s">
        <v>14</v>
      </c>
      <c r="F1338" t="str">
        <f>VLOOKUP(G1338,PC!B:D,2,FALSE)</f>
        <v>BEBIDAS</v>
      </c>
      <c r="G1338" s="4" t="s">
        <v>25</v>
      </c>
      <c r="H1338" s="1">
        <f>622.08-H1337-H1336</f>
        <v>499.05000000000007</v>
      </c>
    </row>
    <row r="1339" spans="2:9" x14ac:dyDescent="0.2">
      <c r="B1339" t="str">
        <f>VLOOKUP(G1339,PC!B:D,3,FALSE)</f>
        <v>CPV</v>
      </c>
      <c r="C1339" s="22">
        <v>2023</v>
      </c>
      <c r="D1339" t="s">
        <v>112</v>
      </c>
      <c r="E1339" t="s">
        <v>100</v>
      </c>
      <c r="F1339" t="str">
        <f>VLOOKUP(G1339,PC!B:D,2,FALSE)</f>
        <v>SOBREMESA</v>
      </c>
      <c r="G1339" s="4" t="s">
        <v>8</v>
      </c>
      <c r="H1339" s="1">
        <v>71.739999999999995</v>
      </c>
    </row>
    <row r="1340" spans="2:9" x14ac:dyDescent="0.2">
      <c r="B1340" t="str">
        <f>VLOOKUP(G1340,PC!B:D,3,FALSE)</f>
        <v>CPV</v>
      </c>
      <c r="C1340" s="22">
        <v>2023</v>
      </c>
      <c r="D1340" t="s">
        <v>112</v>
      </c>
      <c r="E1340" t="s">
        <v>49</v>
      </c>
      <c r="F1340" t="str">
        <f>VLOOKUP(G1340,PC!B:D,2,FALSE)</f>
        <v>CIGARRO</v>
      </c>
      <c r="G1340" s="4" t="s">
        <v>52</v>
      </c>
      <c r="H1340" s="1">
        <v>6171.34</v>
      </c>
    </row>
    <row r="1341" spans="2:9" x14ac:dyDescent="0.2">
      <c r="B1341" t="str">
        <f>VLOOKUP(G1341,PC!B:D,3,FALSE)</f>
        <v>CPV</v>
      </c>
      <c r="C1341" s="22">
        <v>2023</v>
      </c>
      <c r="D1341" t="s">
        <v>112</v>
      </c>
      <c r="E1341" t="s">
        <v>28</v>
      </c>
      <c r="F1341" t="str">
        <f>VLOOKUP(G1341,PC!B:D,2,FALSE)</f>
        <v>BEBIDAS</v>
      </c>
      <c r="G1341" s="4" t="s">
        <v>26</v>
      </c>
      <c r="H1341" s="1">
        <v>2872.22</v>
      </c>
    </row>
    <row r="1342" spans="2:9" x14ac:dyDescent="0.2">
      <c r="B1342" t="str">
        <f>VLOOKUP(G1342,PC!B:D,3,FALSE)</f>
        <v>CPV</v>
      </c>
      <c r="C1342" s="22">
        <v>2023</v>
      </c>
      <c r="D1342" t="s">
        <v>112</v>
      </c>
      <c r="E1342" t="s">
        <v>28</v>
      </c>
      <c r="F1342" t="str">
        <f>VLOOKUP(G1342,PC!B:D,2,FALSE)</f>
        <v>BEBIDAS</v>
      </c>
      <c r="G1342" s="4" t="s">
        <v>26</v>
      </c>
      <c r="H1342" s="1">
        <v>734</v>
      </c>
    </row>
    <row r="1343" spans="2:9" x14ac:dyDescent="0.2">
      <c r="B1343" t="str">
        <f>VLOOKUP(G1343,PC!B:D,3,FALSE)</f>
        <v>CPV</v>
      </c>
      <c r="C1343" s="22">
        <v>2023</v>
      </c>
      <c r="D1343" t="s">
        <v>112</v>
      </c>
      <c r="E1343" t="s">
        <v>35</v>
      </c>
      <c r="F1343" t="str">
        <f>VLOOKUP(G1343,PC!B:D,2,FALSE)</f>
        <v>LIMPEZA</v>
      </c>
      <c r="G1343" s="4" t="s">
        <v>43</v>
      </c>
      <c r="H1343" s="1">
        <v>120.32</v>
      </c>
    </row>
    <row r="1344" spans="2:9" x14ac:dyDescent="0.2">
      <c r="B1344" t="str">
        <f>VLOOKUP(G1344,PC!B:D,3,FALSE)</f>
        <v>CPV</v>
      </c>
      <c r="C1344" s="22">
        <v>2023</v>
      </c>
      <c r="D1344" t="s">
        <v>112</v>
      </c>
      <c r="E1344" t="s">
        <v>35</v>
      </c>
      <c r="F1344" t="str">
        <f>VLOOKUP(G1344,PC!B:D,2,FALSE)</f>
        <v>OUTROS</v>
      </c>
      <c r="G1344" s="4" t="s">
        <v>37</v>
      </c>
      <c r="H1344" s="1">
        <v>51.51</v>
      </c>
    </row>
    <row r="1345" spans="2:8" x14ac:dyDescent="0.2">
      <c r="B1345" t="str">
        <f>VLOOKUP(G1345,PC!B:D,3,FALSE)</f>
        <v>CPV</v>
      </c>
      <c r="C1345" s="22">
        <v>2023</v>
      </c>
      <c r="D1345" t="s">
        <v>112</v>
      </c>
      <c r="E1345" t="s">
        <v>35</v>
      </c>
      <c r="F1345" t="str">
        <f>VLOOKUP(G1345,PC!B:D,2,FALSE)</f>
        <v>COMIDA</v>
      </c>
      <c r="G1345" s="4" t="s">
        <v>29</v>
      </c>
      <c r="H1345" s="1">
        <v>27.97</v>
      </c>
    </row>
    <row r="1346" spans="2:8" x14ac:dyDescent="0.2">
      <c r="B1346" t="str">
        <f>VLOOKUP(G1346,PC!B:D,3,FALSE)</f>
        <v>CPV</v>
      </c>
      <c r="C1346" s="22">
        <v>2023</v>
      </c>
      <c r="D1346" t="s">
        <v>112</v>
      </c>
      <c r="E1346" t="s">
        <v>35</v>
      </c>
      <c r="F1346" t="str">
        <f>VLOOKUP(G1346,PC!B:D,2,FALSE)</f>
        <v>COMIDA</v>
      </c>
      <c r="G1346" s="4" t="s">
        <v>22</v>
      </c>
      <c r="H1346" s="1">
        <v>35.25</v>
      </c>
    </row>
    <row r="1347" spans="2:8" x14ac:dyDescent="0.2">
      <c r="B1347" t="str">
        <f>VLOOKUP(G1347,PC!B:D,3,FALSE)</f>
        <v>CPV</v>
      </c>
      <c r="C1347" s="22">
        <v>2023</v>
      </c>
      <c r="D1347" t="s">
        <v>112</v>
      </c>
      <c r="E1347" t="s">
        <v>35</v>
      </c>
      <c r="F1347" t="str">
        <f>VLOOKUP(G1347,PC!B:D,2,FALSE)</f>
        <v>OUTROS</v>
      </c>
      <c r="G1347" s="4" t="s">
        <v>133</v>
      </c>
      <c r="H1347" s="1">
        <v>79.599999999999994</v>
      </c>
    </row>
    <row r="1348" spans="2:8" x14ac:dyDescent="0.2">
      <c r="B1348" t="str">
        <f>VLOOKUP(G1348,PC!B:D,3,FALSE)</f>
        <v>CPV</v>
      </c>
      <c r="C1348" s="22">
        <v>2023</v>
      </c>
      <c r="D1348" t="s">
        <v>112</v>
      </c>
      <c r="E1348" t="s">
        <v>35</v>
      </c>
      <c r="F1348" t="str">
        <f>VLOOKUP(G1348,PC!B:D,2,FALSE)</f>
        <v>COMIDA</v>
      </c>
      <c r="G1348" s="4" t="s">
        <v>38</v>
      </c>
      <c r="H1348" s="1">
        <f>31.76+241.8</f>
        <v>273.56</v>
      </c>
    </row>
    <row r="1349" spans="2:8" x14ac:dyDescent="0.2">
      <c r="B1349" t="str">
        <f>VLOOKUP(G1349,PC!B:D,3,FALSE)</f>
        <v>CPV</v>
      </c>
      <c r="C1349" s="22">
        <v>2023</v>
      </c>
      <c r="D1349" t="s">
        <v>112</v>
      </c>
      <c r="E1349" t="s">
        <v>35</v>
      </c>
      <c r="F1349" t="str">
        <f>VLOOKUP(G1349,PC!B:D,2,FALSE)</f>
        <v>OUTROS</v>
      </c>
      <c r="G1349" s="4" t="s">
        <v>37</v>
      </c>
      <c r="H1349" s="1">
        <v>108.16</v>
      </c>
    </row>
    <row r="1350" spans="2:8" x14ac:dyDescent="0.2">
      <c r="B1350" t="str">
        <f>VLOOKUP(G1350,PC!B:D,3,FALSE)</f>
        <v>CPV</v>
      </c>
      <c r="C1350" s="22">
        <v>2023</v>
      </c>
      <c r="D1350" t="s">
        <v>112</v>
      </c>
      <c r="E1350" t="s">
        <v>35</v>
      </c>
      <c r="F1350" t="str">
        <f>VLOOKUP(G1350,PC!B:D,2,FALSE)</f>
        <v>COMIDA</v>
      </c>
      <c r="G1350" s="4" t="s">
        <v>22</v>
      </c>
      <c r="H1350" s="1">
        <v>46.73</v>
      </c>
    </row>
    <row r="1351" spans="2:8" x14ac:dyDescent="0.2">
      <c r="B1351" t="str">
        <f>VLOOKUP(G1351,PC!B:D,3,FALSE)</f>
        <v>CPV</v>
      </c>
      <c r="C1351" s="22">
        <v>2023</v>
      </c>
      <c r="D1351" t="s">
        <v>112</v>
      </c>
      <c r="E1351" t="s">
        <v>21</v>
      </c>
      <c r="F1351" t="str">
        <f>VLOOKUP(G1351,PC!B:D,2,FALSE)</f>
        <v>SOBREMESA</v>
      </c>
      <c r="G1351" s="4" t="s">
        <v>23</v>
      </c>
      <c r="H1351" s="1">
        <v>57.78</v>
      </c>
    </row>
    <row r="1352" spans="2:8" x14ac:dyDescent="0.2">
      <c r="B1352" t="str">
        <f>VLOOKUP(G1352,PC!B:D,3,FALSE)</f>
        <v>CPV</v>
      </c>
      <c r="C1352" s="22">
        <v>2023</v>
      </c>
      <c r="D1352" t="s">
        <v>112</v>
      </c>
      <c r="E1352" t="s">
        <v>21</v>
      </c>
      <c r="F1352" t="str">
        <f>VLOOKUP(G1352,PC!B:D,2,FALSE)</f>
        <v>COMIDA</v>
      </c>
      <c r="G1352" s="4" t="s">
        <v>38</v>
      </c>
      <c r="H1352" s="1">
        <v>184.55</v>
      </c>
    </row>
    <row r="1353" spans="2:8" x14ac:dyDescent="0.2">
      <c r="B1353" t="str">
        <f>VLOOKUP(G1353,PC!B:D,3,FALSE)</f>
        <v>CPV</v>
      </c>
      <c r="C1353" s="22">
        <v>2023</v>
      </c>
      <c r="D1353" t="s">
        <v>112</v>
      </c>
      <c r="E1353" t="s">
        <v>27</v>
      </c>
      <c r="F1353" t="str">
        <f>VLOOKUP(G1353,PC!B:D,2,FALSE)</f>
        <v>COMIDA</v>
      </c>
      <c r="G1353" s="4" t="s">
        <v>12</v>
      </c>
      <c r="H1353" s="1">
        <v>211.7</v>
      </c>
    </row>
    <row r="1354" spans="2:8" x14ac:dyDescent="0.2">
      <c r="B1354" t="str">
        <f>VLOOKUP(G1354,PC!B:D,3,FALSE)</f>
        <v>CPV</v>
      </c>
      <c r="C1354" s="22">
        <v>2023</v>
      </c>
      <c r="D1354" t="s">
        <v>112</v>
      </c>
      <c r="E1354" t="s">
        <v>40</v>
      </c>
      <c r="F1354" t="str">
        <f>VLOOKUP(G1354,PC!B:D,2,FALSE)</f>
        <v>BEBIDAS</v>
      </c>
      <c r="G1354" s="4" t="s">
        <v>26</v>
      </c>
      <c r="H1354" s="1">
        <v>2153.92</v>
      </c>
    </row>
    <row r="1355" spans="2:8" x14ac:dyDescent="0.2">
      <c r="B1355" t="str">
        <f>VLOOKUP(G1355,PC!B:D,3,FALSE)</f>
        <v>CPV</v>
      </c>
      <c r="C1355" s="22">
        <v>2023</v>
      </c>
      <c r="D1355" t="s">
        <v>112</v>
      </c>
      <c r="E1355" t="s">
        <v>159</v>
      </c>
      <c r="F1355" t="str">
        <f>VLOOKUP(G1355,PC!B:D,2,FALSE)</f>
        <v>COMIDA</v>
      </c>
      <c r="G1355" s="4" t="s">
        <v>34</v>
      </c>
      <c r="H1355" s="1">
        <v>160.82</v>
      </c>
    </row>
    <row r="1356" spans="2:8" x14ac:dyDescent="0.2">
      <c r="B1356" t="str">
        <f>VLOOKUP(G1356,PC!B:D,3,FALSE)</f>
        <v>CPV</v>
      </c>
      <c r="C1356" s="22">
        <v>2023</v>
      </c>
      <c r="D1356" t="s">
        <v>112</v>
      </c>
      <c r="E1356" t="s">
        <v>20</v>
      </c>
      <c r="F1356" t="str">
        <f>VLOOKUP(G1356,PC!B:D,2,FALSE)</f>
        <v>COMIDA</v>
      </c>
      <c r="G1356" s="4" t="s">
        <v>29</v>
      </c>
      <c r="H1356" s="1">
        <v>149.5</v>
      </c>
    </row>
    <row r="1357" spans="2:8" x14ac:dyDescent="0.2">
      <c r="B1357" t="str">
        <f>VLOOKUP(G1357,PC!B:D,3,FALSE)</f>
        <v>CPV</v>
      </c>
      <c r="C1357" s="22">
        <v>2023</v>
      </c>
      <c r="D1357" t="s">
        <v>112</v>
      </c>
      <c r="E1357" t="s">
        <v>129</v>
      </c>
      <c r="F1357" t="str">
        <f>VLOOKUP(G1357,PC!B:D,2,FALSE)</f>
        <v>SOBREMESA</v>
      </c>
      <c r="G1357" s="4" t="s">
        <v>75</v>
      </c>
      <c r="H1357" s="1">
        <v>584.02</v>
      </c>
    </row>
    <row r="1358" spans="2:8" x14ac:dyDescent="0.2">
      <c r="B1358" t="str">
        <f>VLOOKUP(G1358,PC!B:D,3,FALSE)</f>
        <v>CPV</v>
      </c>
      <c r="C1358" s="22">
        <v>2023</v>
      </c>
      <c r="D1358" t="s">
        <v>112</v>
      </c>
      <c r="E1358" t="s">
        <v>160</v>
      </c>
      <c r="F1358" t="str">
        <f>VLOOKUP(G1358,PC!B:D,2,FALSE)</f>
        <v>COMIDA</v>
      </c>
      <c r="G1358" s="4" t="s">
        <v>38</v>
      </c>
      <c r="H1358" s="1">
        <v>106.11</v>
      </c>
    </row>
    <row r="1359" spans="2:8" x14ac:dyDescent="0.2">
      <c r="B1359" t="str">
        <f>VLOOKUP(G1359,PC!B:D,3,FALSE)</f>
        <v>CPV</v>
      </c>
      <c r="C1359" s="22">
        <v>2023</v>
      </c>
      <c r="D1359" t="s">
        <v>112</v>
      </c>
      <c r="E1359" t="s">
        <v>160</v>
      </c>
      <c r="F1359" t="str">
        <f>VLOOKUP(G1359,PC!B:D,2,FALSE)</f>
        <v>OUTROS</v>
      </c>
      <c r="G1359" s="4" t="s">
        <v>37</v>
      </c>
      <c r="H1359" s="1">
        <f>59.76+10.76</f>
        <v>70.52</v>
      </c>
    </row>
    <row r="1360" spans="2:8" x14ac:dyDescent="0.2">
      <c r="B1360" t="str">
        <f>VLOOKUP(G1360,PC!B:D,3,FALSE)</f>
        <v>CPV</v>
      </c>
      <c r="C1360" s="22">
        <v>2023</v>
      </c>
      <c r="D1360" t="s">
        <v>112</v>
      </c>
      <c r="E1360" t="s">
        <v>160</v>
      </c>
      <c r="F1360" t="str">
        <f>VLOOKUP(G1360,PC!B:D,2,FALSE)</f>
        <v>SOBREMESA</v>
      </c>
      <c r="G1360" s="4" t="s">
        <v>8</v>
      </c>
      <c r="H1360" s="1">
        <f>26.46+4.76</f>
        <v>31.22</v>
      </c>
    </row>
    <row r="1361" spans="2:8" x14ac:dyDescent="0.2">
      <c r="B1361" t="str">
        <f>VLOOKUP(G1361,PC!B:D,3,FALSE)</f>
        <v>CPV</v>
      </c>
      <c r="C1361" s="22">
        <v>2023</v>
      </c>
      <c r="D1361" t="s">
        <v>112</v>
      </c>
      <c r="E1361" t="s">
        <v>160</v>
      </c>
      <c r="F1361" t="str">
        <f>VLOOKUP(G1361,PC!B:D,2,FALSE)</f>
        <v>OUTROS</v>
      </c>
      <c r="G1361" s="4" t="s">
        <v>37</v>
      </c>
      <c r="H1361" s="1">
        <v>61.05</v>
      </c>
    </row>
    <row r="1362" spans="2:8" x14ac:dyDescent="0.2">
      <c r="B1362" t="str">
        <f>VLOOKUP(G1362,PC!B:D,3,FALSE)</f>
        <v>CPV</v>
      </c>
      <c r="C1362" s="22">
        <v>2023</v>
      </c>
      <c r="D1362" t="s">
        <v>112</v>
      </c>
      <c r="E1362" t="s">
        <v>28</v>
      </c>
      <c r="F1362" t="str">
        <f>VLOOKUP(G1362,PC!B:D,2,FALSE)</f>
        <v>BEBIDAS</v>
      </c>
      <c r="G1362" s="4" t="s">
        <v>26</v>
      </c>
      <c r="H1362" s="1">
        <v>3353.76</v>
      </c>
    </row>
    <row r="1363" spans="2:8" x14ac:dyDescent="0.2">
      <c r="B1363" t="str">
        <f>VLOOKUP(G1363,PC!B:D,3,FALSE)</f>
        <v>CPV</v>
      </c>
      <c r="C1363" s="22">
        <v>2023</v>
      </c>
      <c r="D1363" t="s">
        <v>112</v>
      </c>
      <c r="E1363" t="s">
        <v>129</v>
      </c>
      <c r="F1363" t="str">
        <f>VLOOKUP(G1363,PC!B:D,2,FALSE)</f>
        <v>BEBIDAS</v>
      </c>
      <c r="G1363" s="4" t="s">
        <v>48</v>
      </c>
      <c r="H1363" s="1">
        <v>240</v>
      </c>
    </row>
    <row r="1364" spans="2:8" x14ac:dyDescent="0.2">
      <c r="B1364" t="str">
        <f>VLOOKUP(G1364,PC!B:D,3,FALSE)</f>
        <v>CPV</v>
      </c>
      <c r="C1364" s="22">
        <v>2023</v>
      </c>
      <c r="D1364" t="s">
        <v>112</v>
      </c>
      <c r="E1364" t="s">
        <v>14</v>
      </c>
      <c r="F1364" t="str">
        <f>VLOOKUP(G1364,PC!B:D,2,FALSE)</f>
        <v>BEBIDAS</v>
      </c>
      <c r="G1364" s="4" t="s">
        <v>25</v>
      </c>
      <c r="H1364" s="1">
        <v>249.05</v>
      </c>
    </row>
    <row r="1365" spans="2:8" x14ac:dyDescent="0.2">
      <c r="B1365" t="str">
        <f>VLOOKUP(G1365,PC!B:D,3,FALSE)</f>
        <v>CPV</v>
      </c>
      <c r="C1365" s="22">
        <v>2023</v>
      </c>
      <c r="D1365" t="s">
        <v>112</v>
      </c>
      <c r="E1365" t="s">
        <v>14</v>
      </c>
      <c r="F1365" t="str">
        <f>VLOOKUP(G1365,PC!B:D,2,FALSE)</f>
        <v>BEBIDAS</v>
      </c>
      <c r="G1365" s="4" t="s">
        <v>25</v>
      </c>
      <c r="H1365" s="1">
        <v>652.32000000000005</v>
      </c>
    </row>
    <row r="1366" spans="2:8" x14ac:dyDescent="0.2">
      <c r="B1366" t="str">
        <f>VLOOKUP(G1366,PC!B:D,3,FALSE)</f>
        <v>CPV</v>
      </c>
      <c r="C1366" s="22">
        <v>2023</v>
      </c>
      <c r="D1366" t="s">
        <v>112</v>
      </c>
      <c r="E1366" t="s">
        <v>16</v>
      </c>
      <c r="F1366" t="str">
        <f>VLOOKUP(G1366,PC!B:D,2,FALSE)</f>
        <v>COMIDA</v>
      </c>
      <c r="G1366" s="4" t="s">
        <v>12</v>
      </c>
      <c r="H1366" s="1">
        <v>159.47999999999999</v>
      </c>
    </row>
    <row r="1367" spans="2:8" x14ac:dyDescent="0.2">
      <c r="B1367" t="str">
        <f>VLOOKUP(G1367,PC!B:D,3,FALSE)</f>
        <v>CPV</v>
      </c>
      <c r="C1367" s="22">
        <v>2023</v>
      </c>
      <c r="D1367" t="s">
        <v>112</v>
      </c>
      <c r="E1367" t="s">
        <v>16</v>
      </c>
      <c r="F1367" t="str">
        <f>VLOOKUP(G1367,PC!B:D,2,FALSE)</f>
        <v>COMIDA</v>
      </c>
      <c r="G1367" s="4" t="s">
        <v>12</v>
      </c>
      <c r="H1367" s="1">
        <v>368.78</v>
      </c>
    </row>
    <row r="1368" spans="2:8" x14ac:dyDescent="0.2">
      <c r="B1368" t="str">
        <f>VLOOKUP(G1368,PC!B:D,3,FALSE)</f>
        <v>CPV</v>
      </c>
      <c r="C1368" s="22">
        <v>2023</v>
      </c>
      <c r="D1368" t="s">
        <v>112</v>
      </c>
      <c r="E1368" t="s">
        <v>24</v>
      </c>
      <c r="F1368" t="str">
        <f>VLOOKUP(G1368,PC!B:D,2,FALSE)</f>
        <v>COMIDA</v>
      </c>
      <c r="G1368" s="4" t="s">
        <v>33</v>
      </c>
      <c r="H1368" s="1">
        <v>554.85</v>
      </c>
    </row>
    <row r="1369" spans="2:8" x14ac:dyDescent="0.2">
      <c r="B1369" t="str">
        <f>VLOOKUP(G1369,PC!B:D,3,FALSE)</f>
        <v>DESPESA OPERACIONAL</v>
      </c>
      <c r="C1369" s="22">
        <v>2023</v>
      </c>
      <c r="D1369" t="s">
        <v>112</v>
      </c>
      <c r="F1369" t="str">
        <f>VLOOKUP(G1369,PC!B:D,2,FALSE)</f>
        <v>DESPESA OPERACIONAL</v>
      </c>
      <c r="G1369" s="4" t="s">
        <v>73</v>
      </c>
      <c r="H1369" s="1">
        <f>1523.47+979</f>
        <v>2502.4700000000003</v>
      </c>
    </row>
    <row r="1370" spans="2:8" x14ac:dyDescent="0.2">
      <c r="B1370" t="str">
        <f>VLOOKUP(G1370,PC!B:D,3,FALSE)</f>
        <v>RECEITA</v>
      </c>
      <c r="C1370" s="22">
        <v>2023</v>
      </c>
      <c r="D1370" t="s">
        <v>112</v>
      </c>
      <c r="F1370" t="str">
        <f>VLOOKUP(G1370,PC!B:D,2,FALSE)</f>
        <v>RECEITA</v>
      </c>
      <c r="G1370" s="4" t="s">
        <v>64</v>
      </c>
      <c r="H1370" s="1" t="s">
        <v>186</v>
      </c>
    </row>
    <row r="1371" spans="2:8" x14ac:dyDescent="0.2">
      <c r="B1371" t="str">
        <f>VLOOKUP(G1371,PC!B:D,3,FALSE)</f>
        <v>CPV</v>
      </c>
      <c r="C1371" s="22">
        <v>2023</v>
      </c>
      <c r="D1371" t="s">
        <v>112</v>
      </c>
      <c r="E1371" t="s">
        <v>129</v>
      </c>
      <c r="F1371" t="str">
        <f>VLOOKUP(G1371,PC!B:D,2,FALSE)</f>
        <v>SOBREMESA</v>
      </c>
      <c r="G1371" s="4" t="s">
        <v>23</v>
      </c>
      <c r="H1371" s="1">
        <v>17.5</v>
      </c>
    </row>
    <row r="1372" spans="2:8" x14ac:dyDescent="0.2">
      <c r="B1372" t="str">
        <f>VLOOKUP(G1372,PC!B:D,3,FALSE)</f>
        <v>CPV</v>
      </c>
      <c r="C1372" s="22">
        <v>2023</v>
      </c>
      <c r="D1372" t="s">
        <v>112</v>
      </c>
      <c r="E1372" t="s">
        <v>129</v>
      </c>
      <c r="F1372" t="str">
        <f>VLOOKUP(G1372,PC!B:D,2,FALSE)</f>
        <v>COMIDA</v>
      </c>
      <c r="G1372" s="4" t="s">
        <v>12</v>
      </c>
      <c r="H1372" s="1">
        <v>24</v>
      </c>
    </row>
    <row r="1373" spans="2:8" x14ac:dyDescent="0.2">
      <c r="B1373" t="str">
        <f>VLOOKUP(G1373,PC!B:D,3,FALSE)</f>
        <v>CPV</v>
      </c>
      <c r="C1373" s="22">
        <v>2023</v>
      </c>
      <c r="D1373" t="s">
        <v>112</v>
      </c>
      <c r="E1373" t="s">
        <v>129</v>
      </c>
      <c r="F1373" t="str">
        <f>VLOOKUP(G1373,PC!B:D,2,FALSE)</f>
        <v>COMIDA</v>
      </c>
      <c r="G1373" s="4" t="s">
        <v>18</v>
      </c>
      <c r="H1373" s="1">
        <v>25</v>
      </c>
    </row>
    <row r="1374" spans="2:8" x14ac:dyDescent="0.2">
      <c r="B1374" t="str">
        <f>VLOOKUP(G1374,PC!B:D,3,FALSE)</f>
        <v>CPV</v>
      </c>
      <c r="C1374" s="22">
        <v>2023</v>
      </c>
      <c r="D1374" t="s">
        <v>112</v>
      </c>
      <c r="E1374" t="s">
        <v>129</v>
      </c>
      <c r="F1374" t="str">
        <f>VLOOKUP(G1374,PC!B:D,2,FALSE)</f>
        <v>CIGARRO</v>
      </c>
      <c r="G1374" s="4" t="s">
        <v>57</v>
      </c>
      <c r="H1374" s="1">
        <f>880+128+62</f>
        <v>1070</v>
      </c>
    </row>
    <row r="1375" spans="2:8" x14ac:dyDescent="0.2">
      <c r="B1375" t="str">
        <f>VLOOKUP(G1375,PC!B:D,3,FALSE)</f>
        <v>CPV</v>
      </c>
      <c r="C1375" s="22">
        <v>2023</v>
      </c>
      <c r="D1375" t="s">
        <v>112</v>
      </c>
      <c r="E1375" t="s">
        <v>129</v>
      </c>
      <c r="F1375" t="str">
        <f>VLOOKUP(G1375,PC!B:D,2,FALSE)</f>
        <v>CIGARRO</v>
      </c>
      <c r="G1375" s="4" t="s">
        <v>131</v>
      </c>
      <c r="H1375" s="1">
        <v>70</v>
      </c>
    </row>
    <row r="1376" spans="2:8" x14ac:dyDescent="0.2">
      <c r="B1376" t="str">
        <f>VLOOKUP(G1376,PC!B:D,3,FALSE)</f>
        <v>CPV</v>
      </c>
      <c r="C1376" s="22">
        <v>2023</v>
      </c>
      <c r="D1376" t="s">
        <v>112</v>
      </c>
      <c r="E1376" t="s">
        <v>129</v>
      </c>
      <c r="F1376" t="str">
        <f>VLOOKUP(G1376,PC!B:D,2,FALSE)</f>
        <v>COMIDA</v>
      </c>
      <c r="G1376" s="4" t="s">
        <v>146</v>
      </c>
      <c r="H1376" s="1">
        <v>50</v>
      </c>
    </row>
    <row r="1377" spans="2:9" x14ac:dyDescent="0.2">
      <c r="B1377" t="str">
        <f>VLOOKUP(G1377,PC!B:D,3,FALSE)</f>
        <v>CPV</v>
      </c>
      <c r="C1377" s="22">
        <v>2023</v>
      </c>
      <c r="D1377" t="s">
        <v>112</v>
      </c>
      <c r="E1377" t="s">
        <v>129</v>
      </c>
      <c r="F1377" t="str">
        <f>VLOOKUP(G1377,PC!B:D,2,FALSE)</f>
        <v>COMIDA</v>
      </c>
      <c r="G1377" s="4" t="s">
        <v>155</v>
      </c>
      <c r="H1377" s="1">
        <v>395</v>
      </c>
    </row>
    <row r="1378" spans="2:9" x14ac:dyDescent="0.2">
      <c r="B1378" t="str">
        <f>VLOOKUP(G1378,PC!B:D,3,FALSE)</f>
        <v>CPV</v>
      </c>
      <c r="C1378" s="22">
        <v>2023</v>
      </c>
      <c r="D1378" t="s">
        <v>112</v>
      </c>
      <c r="E1378" t="s">
        <v>129</v>
      </c>
      <c r="F1378" t="str">
        <f>VLOOKUP(G1378,PC!B:D,2,FALSE)</f>
        <v>COMIDA</v>
      </c>
      <c r="G1378" s="4" t="s">
        <v>145</v>
      </c>
      <c r="H1378" s="1">
        <v>49</v>
      </c>
    </row>
    <row r="1379" spans="2:9" x14ac:dyDescent="0.2">
      <c r="B1379" t="str">
        <f>VLOOKUP(G1379,PC!B:D,3,FALSE)</f>
        <v>DESPESA OPERACIONAL</v>
      </c>
      <c r="C1379" s="22">
        <v>2023</v>
      </c>
      <c r="D1379" t="s">
        <v>112</v>
      </c>
      <c r="E1379" t="s">
        <v>129</v>
      </c>
      <c r="F1379" t="str">
        <f>VLOOKUP(G1379,PC!B:D,2,FALSE)</f>
        <v>DESPESA OPERACIONAL</v>
      </c>
      <c r="G1379" s="4" t="s">
        <v>70</v>
      </c>
      <c r="H1379" s="1">
        <f>104+13</f>
        <v>117</v>
      </c>
    </row>
    <row r="1380" spans="2:9" x14ac:dyDescent="0.2">
      <c r="B1380" t="str">
        <f>VLOOKUP(G1380,PC!B:D,3,FALSE)</f>
        <v>CPV</v>
      </c>
      <c r="C1380" s="22">
        <v>2023</v>
      </c>
      <c r="D1380" t="s">
        <v>112</v>
      </c>
      <c r="E1380" t="s">
        <v>129</v>
      </c>
      <c r="F1380" t="str">
        <f>VLOOKUP(G1380,PC!B:D,2,FALSE)</f>
        <v>COMIDA</v>
      </c>
      <c r="G1380" s="4" t="s">
        <v>12</v>
      </c>
      <c r="H1380" s="1">
        <v>110</v>
      </c>
    </row>
    <row r="1381" spans="2:9" x14ac:dyDescent="0.2">
      <c r="B1381" t="str">
        <f>VLOOKUP(G1381,PC!B:D,3,FALSE)</f>
        <v>CPV</v>
      </c>
      <c r="C1381" s="22">
        <v>2023</v>
      </c>
      <c r="D1381" t="s">
        <v>112</v>
      </c>
      <c r="E1381" t="s">
        <v>129</v>
      </c>
      <c r="F1381" t="str">
        <f>VLOOKUP(G1381,PC!B:D,2,FALSE)</f>
        <v>OUTROS</v>
      </c>
      <c r="G1381" s="4" t="s">
        <v>58</v>
      </c>
      <c r="H1381" s="1">
        <v>140</v>
      </c>
    </row>
    <row r="1382" spans="2:9" x14ac:dyDescent="0.2">
      <c r="B1382" t="str">
        <f>VLOOKUP(G1382,PC!B:D,3,FALSE)</f>
        <v>CPV</v>
      </c>
      <c r="C1382" s="22">
        <v>2023</v>
      </c>
      <c r="D1382" t="s">
        <v>112</v>
      </c>
      <c r="E1382" t="s">
        <v>129</v>
      </c>
      <c r="F1382" t="str">
        <f>VLOOKUP(G1382,PC!B:D,2,FALSE)</f>
        <v>SOBREMESA</v>
      </c>
      <c r="G1382" s="4" t="s">
        <v>7</v>
      </c>
      <c r="H1382" s="1">
        <v>62</v>
      </c>
    </row>
    <row r="1383" spans="2:9" x14ac:dyDescent="0.2">
      <c r="B1383" t="str">
        <f>VLOOKUP(G1383,PC!B:D,3,FALSE)</f>
        <v>CPV</v>
      </c>
      <c r="C1383" s="22">
        <v>2023</v>
      </c>
      <c r="D1383" t="s">
        <v>112</v>
      </c>
      <c r="E1383" t="s">
        <v>129</v>
      </c>
      <c r="F1383" t="str">
        <f>VLOOKUP(G1383,PC!B:D,2,FALSE)</f>
        <v>BEBIDAS</v>
      </c>
      <c r="G1383" s="4" t="s">
        <v>48</v>
      </c>
      <c r="H1383" s="1">
        <v>184.8</v>
      </c>
    </row>
    <row r="1384" spans="2:9" x14ac:dyDescent="0.2">
      <c r="B1384" t="str">
        <f>VLOOKUP(G1384,PC!B:D,3,FALSE)</f>
        <v>CPV</v>
      </c>
      <c r="C1384" s="22">
        <v>2023</v>
      </c>
      <c r="D1384" t="s">
        <v>112</v>
      </c>
      <c r="E1384" t="s">
        <v>129</v>
      </c>
      <c r="F1384" t="str">
        <f>VLOOKUP(G1384,PC!B:D,2,FALSE)</f>
        <v>BEBIDAS</v>
      </c>
      <c r="G1384" s="4" t="s">
        <v>39</v>
      </c>
      <c r="H1384" s="1">
        <v>47</v>
      </c>
    </row>
    <row r="1385" spans="2:9" x14ac:dyDescent="0.2">
      <c r="B1385" t="str">
        <f>VLOOKUP(G1385,PC!B:D,3,FALSE)</f>
        <v>CPV</v>
      </c>
      <c r="C1385" s="22">
        <v>2023</v>
      </c>
      <c r="D1385" t="s">
        <v>112</v>
      </c>
      <c r="E1385" t="s">
        <v>5</v>
      </c>
      <c r="F1385" t="str">
        <f>VLOOKUP(G1385,PC!B:D,2,FALSE)</f>
        <v>COMIDA</v>
      </c>
      <c r="G1385" s="4" t="s">
        <v>18</v>
      </c>
      <c r="H1385" s="1">
        <v>224.16</v>
      </c>
    </row>
    <row r="1386" spans="2:9" x14ac:dyDescent="0.2">
      <c r="B1386" t="str">
        <f>VLOOKUP(G1386,PC!B:D,3,FALSE)</f>
        <v>DESPESA OPERACIONAL</v>
      </c>
      <c r="C1386" s="22">
        <v>2023</v>
      </c>
      <c r="D1386" t="s">
        <v>112</v>
      </c>
      <c r="F1386" t="str">
        <f>VLOOKUP(G1386,PC!B:D,2,FALSE)</f>
        <v>DESPESA OPERACIONAL</v>
      </c>
      <c r="G1386" s="4" t="s">
        <v>76</v>
      </c>
      <c r="H1386" s="1">
        <v>135</v>
      </c>
      <c r="I1386" s="7" t="s">
        <v>187</v>
      </c>
    </row>
    <row r="1387" spans="2:9" x14ac:dyDescent="0.2">
      <c r="B1387" t="str">
        <f>VLOOKUP(G1387,PC!B:D,3,FALSE)</f>
        <v>RECEITA</v>
      </c>
      <c r="C1387" s="22">
        <v>2023</v>
      </c>
      <c r="D1387" t="s">
        <v>112</v>
      </c>
      <c r="F1387" t="str">
        <f>VLOOKUP(G1387,PC!B:D,2,FALSE)</f>
        <v>RECEITA</v>
      </c>
      <c r="G1387" s="4" t="s">
        <v>54</v>
      </c>
      <c r="H1387" s="1">
        <v>2250</v>
      </c>
    </row>
    <row r="1388" spans="2:9" x14ac:dyDescent="0.2">
      <c r="B1388" t="str">
        <f>VLOOKUP(G1388,PC!B:D,3,FALSE)</f>
        <v>DESPESA PESSOAL</v>
      </c>
      <c r="C1388" s="22">
        <v>2023</v>
      </c>
      <c r="D1388" t="s">
        <v>112</v>
      </c>
      <c r="F1388" t="str">
        <f>VLOOKUP(G1388,PC!B:D,2,FALSE)</f>
        <v>DESPESA PESSOAL</v>
      </c>
      <c r="G1388" s="4" t="s">
        <v>56</v>
      </c>
      <c r="H1388" s="1">
        <v>350</v>
      </c>
    </row>
    <row r="1389" spans="2:9" x14ac:dyDescent="0.2">
      <c r="B1389" t="str">
        <f>VLOOKUP(G1389,PC!B:D,3,FALSE)</f>
        <v>DESPESA PESSOAL</v>
      </c>
      <c r="C1389" s="22">
        <v>2023</v>
      </c>
      <c r="D1389" t="s">
        <v>112</v>
      </c>
      <c r="F1389" t="str">
        <f>VLOOKUP(G1389,PC!B:D,2,FALSE)</f>
        <v>DESPESA PESSOAL</v>
      </c>
      <c r="G1389" s="4" t="s">
        <v>124</v>
      </c>
      <c r="H1389" s="1">
        <v>600</v>
      </c>
    </row>
    <row r="1390" spans="2:9" x14ac:dyDescent="0.2">
      <c r="B1390" t="str">
        <f>VLOOKUP(G1390,PC!B:D,3,FALSE)</f>
        <v>RECEITA</v>
      </c>
      <c r="C1390" s="22">
        <v>2023</v>
      </c>
      <c r="D1390" t="s">
        <v>112</v>
      </c>
      <c r="F1390" t="str">
        <f>VLOOKUP(G1390,PC!B:D,2,FALSE)</f>
        <v>RECEITA</v>
      </c>
      <c r="G1390" s="4" t="s">
        <v>54</v>
      </c>
      <c r="H1390" s="1">
        <f>71.75+120</f>
        <v>191.75</v>
      </c>
    </row>
    <row r="1391" spans="2:9" x14ac:dyDescent="0.2">
      <c r="B1391" t="str">
        <f>VLOOKUP(G1391,PC!B:D,3,FALSE)</f>
        <v>CPV</v>
      </c>
      <c r="C1391" s="22">
        <v>2023</v>
      </c>
      <c r="D1391" t="s">
        <v>112</v>
      </c>
      <c r="E1391" t="s">
        <v>129</v>
      </c>
      <c r="F1391" t="str">
        <f>VLOOKUP(G1391,PC!B:D,2,FALSE)</f>
        <v>COMIDA</v>
      </c>
      <c r="G1391" s="4" t="s">
        <v>12</v>
      </c>
      <c r="H1391" s="1">
        <v>120</v>
      </c>
    </row>
    <row r="1392" spans="2:9" x14ac:dyDescent="0.2">
      <c r="B1392" t="str">
        <f>VLOOKUP(G1392,PC!B:D,3,FALSE)</f>
        <v>RECEITA</v>
      </c>
      <c r="C1392" s="22">
        <v>2023</v>
      </c>
      <c r="D1392" t="s">
        <v>112</v>
      </c>
      <c r="F1392" t="str">
        <f>VLOOKUP(G1392,PC!B:D,2,FALSE)</f>
        <v>RECEITA</v>
      </c>
      <c r="G1392" s="4" t="s">
        <v>54</v>
      </c>
      <c r="H1392" s="1">
        <v>950</v>
      </c>
    </row>
    <row r="1393" spans="2:8" x14ac:dyDescent="0.2">
      <c r="B1393" t="str">
        <f>VLOOKUP(G1393,PC!B:D,3,FALSE)</f>
        <v>RECEITA</v>
      </c>
      <c r="C1393" s="22">
        <v>2023</v>
      </c>
      <c r="D1393" t="s">
        <v>112</v>
      </c>
      <c r="F1393" t="str">
        <f>VLOOKUP(G1393,PC!B:D,2,FALSE)</f>
        <v>RECEITA</v>
      </c>
      <c r="G1393" s="4" t="s">
        <v>54</v>
      </c>
      <c r="H1393" s="1">
        <v>400</v>
      </c>
    </row>
    <row r="1394" spans="2:8" x14ac:dyDescent="0.2">
      <c r="B1394" t="str">
        <f>VLOOKUP(G1394,PC!B:D,3,FALSE)</f>
        <v>RECEITA</v>
      </c>
      <c r="C1394" s="22">
        <v>2023</v>
      </c>
      <c r="D1394" t="s">
        <v>112</v>
      </c>
      <c r="F1394" t="str">
        <f>VLOOKUP(G1394,PC!B:D,2,FALSE)</f>
        <v>RECEITA</v>
      </c>
      <c r="G1394" s="4" t="s">
        <v>54</v>
      </c>
      <c r="H1394" s="1">
        <v>1350</v>
      </c>
    </row>
    <row r="1395" spans="2:8" x14ac:dyDescent="0.2">
      <c r="B1395" t="str">
        <f>VLOOKUP(G1395,PC!B:D,3,FALSE)</f>
        <v>CPV</v>
      </c>
      <c r="C1395" s="22">
        <v>2023</v>
      </c>
      <c r="D1395" t="s">
        <v>112</v>
      </c>
      <c r="E1395" t="s">
        <v>129</v>
      </c>
      <c r="F1395" t="str">
        <f>VLOOKUP(G1395,PC!B:D,2,FALSE)</f>
        <v>CIGARRO</v>
      </c>
      <c r="G1395" s="4" t="s">
        <v>53</v>
      </c>
      <c r="H1395" s="1">
        <v>280</v>
      </c>
    </row>
    <row r="1396" spans="2:8" x14ac:dyDescent="0.2">
      <c r="B1396" t="str">
        <f>VLOOKUP(G1396,PC!B:D,3,FALSE)</f>
        <v>RECEITA</v>
      </c>
      <c r="C1396" s="22">
        <v>2023</v>
      </c>
      <c r="D1396" t="s">
        <v>112</v>
      </c>
      <c r="F1396" t="str">
        <f>VLOOKUP(G1396,PC!B:D,2,FALSE)</f>
        <v>RECEITA</v>
      </c>
      <c r="G1396" s="4" t="s">
        <v>54</v>
      </c>
      <c r="H1396" s="1">
        <v>280</v>
      </c>
    </row>
    <row r="1397" spans="2:8" x14ac:dyDescent="0.2">
      <c r="B1397" t="str">
        <f>VLOOKUP(G1397,PC!B:D,3,FALSE)</f>
        <v>RECEITA</v>
      </c>
      <c r="C1397" s="22">
        <v>2023</v>
      </c>
      <c r="D1397" t="s">
        <v>112</v>
      </c>
      <c r="F1397" t="str">
        <f>VLOOKUP(G1397,PC!B:D,2,FALSE)</f>
        <v>RECEITA</v>
      </c>
      <c r="G1397" s="4" t="s">
        <v>54</v>
      </c>
      <c r="H1397" s="1">
        <f>110+395+49+60</f>
        <v>614</v>
      </c>
    </row>
    <row r="1398" spans="2:8" x14ac:dyDescent="0.2">
      <c r="B1398" t="str">
        <f>VLOOKUP(G1398,PC!B:D,3,FALSE)</f>
        <v>RECEITA</v>
      </c>
      <c r="C1398" s="22">
        <v>2023</v>
      </c>
      <c r="D1398" t="s">
        <v>112</v>
      </c>
      <c r="F1398" t="str">
        <f>VLOOKUP(G1398,PC!B:D,2,FALSE)</f>
        <v>RECEITA</v>
      </c>
      <c r="G1398" s="4" t="s">
        <v>54</v>
      </c>
      <c r="H1398" s="1">
        <v>350</v>
      </c>
    </row>
    <row r="1399" spans="2:8" x14ac:dyDescent="0.2">
      <c r="B1399" t="str">
        <f>VLOOKUP(G1399,PC!B:D,3,FALSE)</f>
        <v>RECEITA</v>
      </c>
      <c r="C1399" s="22">
        <v>2023</v>
      </c>
      <c r="D1399" t="s">
        <v>112</v>
      </c>
      <c r="F1399" t="str">
        <f>VLOOKUP(G1399,PC!B:D,2,FALSE)</f>
        <v>RECEITA</v>
      </c>
      <c r="G1399" s="4" t="s">
        <v>54</v>
      </c>
      <c r="H1399" s="1">
        <v>1650</v>
      </c>
    </row>
    <row r="1400" spans="2:8" x14ac:dyDescent="0.2">
      <c r="B1400" t="str">
        <f>VLOOKUP(G1400,PC!B:D,3,FALSE)</f>
        <v>CPV</v>
      </c>
      <c r="C1400" s="22">
        <v>2023</v>
      </c>
      <c r="D1400" t="s">
        <v>112</v>
      </c>
      <c r="E1400" t="s">
        <v>129</v>
      </c>
      <c r="F1400" t="str">
        <f>VLOOKUP(G1400,PC!B:D,2,FALSE)</f>
        <v>COMIDA</v>
      </c>
      <c r="G1400" s="4" t="s">
        <v>12</v>
      </c>
      <c r="H1400" s="1">
        <v>368</v>
      </c>
    </row>
    <row r="1401" spans="2:8" x14ac:dyDescent="0.2">
      <c r="B1401" t="str">
        <f>VLOOKUP(G1401,PC!B:D,3,FALSE)</f>
        <v>CPV</v>
      </c>
      <c r="C1401" s="22">
        <v>2023</v>
      </c>
      <c r="D1401" t="s">
        <v>112</v>
      </c>
      <c r="E1401" t="s">
        <v>129</v>
      </c>
      <c r="F1401" t="str">
        <f>VLOOKUP(G1401,PC!B:D,2,FALSE)</f>
        <v>COMIDA</v>
      </c>
      <c r="G1401" s="4" t="s">
        <v>12</v>
      </c>
      <c r="H1401" s="1">
        <v>119.3</v>
      </c>
    </row>
    <row r="1402" spans="2:8" x14ac:dyDescent="0.2">
      <c r="B1402" t="str">
        <f>VLOOKUP(G1402,PC!B:D,3,FALSE)</f>
        <v>RECEITA</v>
      </c>
      <c r="C1402" s="22">
        <v>2023</v>
      </c>
      <c r="D1402" t="s">
        <v>112</v>
      </c>
      <c r="F1402" t="str">
        <f>VLOOKUP(G1402,PC!B:D,2,FALSE)</f>
        <v>RECEITA</v>
      </c>
      <c r="G1402" s="4" t="s">
        <v>54</v>
      </c>
      <c r="H1402" s="1">
        <f>30+119.3+104+13+140+62+368</f>
        <v>836.3</v>
      </c>
    </row>
    <row r="1403" spans="2:8" x14ac:dyDescent="0.2">
      <c r="B1403" t="str">
        <f>VLOOKUP(G1403,PC!B:D,3,FALSE)</f>
        <v>RECEITA</v>
      </c>
      <c r="C1403" s="22">
        <v>2023</v>
      </c>
      <c r="D1403" t="s">
        <v>112</v>
      </c>
      <c r="F1403" t="str">
        <f>VLOOKUP(G1403,PC!B:D,2,FALSE)</f>
        <v>RECEITA</v>
      </c>
      <c r="G1403" s="4" t="s">
        <v>54</v>
      </c>
      <c r="H1403" s="1">
        <v>900</v>
      </c>
    </row>
    <row r="1404" spans="2:8" x14ac:dyDescent="0.2">
      <c r="B1404" t="str">
        <f>VLOOKUP(G1404,PC!B:D,3,FALSE)</f>
        <v>RECEITA</v>
      </c>
      <c r="C1404" s="22">
        <v>2023</v>
      </c>
      <c r="D1404" t="s">
        <v>112</v>
      </c>
      <c r="F1404" t="str">
        <f>VLOOKUP(G1404,PC!B:D,2,FALSE)</f>
        <v>RECEITA</v>
      </c>
      <c r="G1404" s="4" t="s">
        <v>54</v>
      </c>
      <c r="H1404" s="1">
        <v>700</v>
      </c>
    </row>
    <row r="1405" spans="2:8" x14ac:dyDescent="0.2">
      <c r="B1405" t="str">
        <f>VLOOKUP(G1405,PC!B:D,3,FALSE)</f>
        <v>RECEITA</v>
      </c>
      <c r="C1405" s="22">
        <v>2023</v>
      </c>
      <c r="D1405" t="s">
        <v>112</v>
      </c>
      <c r="F1405" t="str">
        <f>VLOOKUP(G1405,PC!B:D,2,FALSE)</f>
        <v>RECEITA</v>
      </c>
      <c r="G1405" s="4" t="s">
        <v>54</v>
      </c>
      <c r="H1405" s="1">
        <v>300</v>
      </c>
    </row>
    <row r="1406" spans="2:8" x14ac:dyDescent="0.2">
      <c r="B1406" t="str">
        <f>VLOOKUP(G1406,PC!B:D,3,FALSE)</f>
        <v>RECEITA</v>
      </c>
      <c r="C1406" s="22">
        <v>2023</v>
      </c>
      <c r="D1406" t="s">
        <v>112</v>
      </c>
      <c r="F1406" t="str">
        <f>VLOOKUP(G1406,PC!B:D,2,FALSE)</f>
        <v>RECEITA</v>
      </c>
      <c r="G1406" s="4" t="s">
        <v>54</v>
      </c>
      <c r="H1406" s="1">
        <v>200</v>
      </c>
    </row>
    <row r="1407" spans="2:8" x14ac:dyDescent="0.2">
      <c r="B1407" t="str">
        <f>VLOOKUP(G1407,PC!B:D,3,FALSE)</f>
        <v>RECEITA</v>
      </c>
      <c r="C1407" s="22">
        <v>2023</v>
      </c>
      <c r="D1407" t="s">
        <v>112</v>
      </c>
      <c r="F1407" t="str">
        <f>VLOOKUP(G1407,PC!B:D,2,FALSE)</f>
        <v>RECEITA</v>
      </c>
      <c r="G1407" s="4" t="s">
        <v>54</v>
      </c>
      <c r="H1407" s="1">
        <f>24+25+20+226.16+250+50+94</f>
        <v>689.16</v>
      </c>
    </row>
    <row r="1408" spans="2:8" x14ac:dyDescent="0.2">
      <c r="B1408" t="str">
        <f>VLOOKUP(G1408,PC!B:D,3,FALSE)</f>
        <v>RECEITA</v>
      </c>
      <c r="C1408" s="22">
        <v>2023</v>
      </c>
      <c r="D1408" t="s">
        <v>112</v>
      </c>
      <c r="F1408" t="str">
        <f>VLOOKUP(G1408,PC!B:D,2,FALSE)</f>
        <v>RECEITA</v>
      </c>
      <c r="G1408" s="4" t="s">
        <v>54</v>
      </c>
      <c r="H1408" s="1">
        <v>300</v>
      </c>
    </row>
    <row r="1409" spans="2:8" x14ac:dyDescent="0.2">
      <c r="B1409" t="str">
        <f>VLOOKUP(G1409,PC!B:D,3,FALSE)</f>
        <v>RECEITA</v>
      </c>
      <c r="C1409" s="22">
        <v>2023</v>
      </c>
      <c r="D1409" t="s">
        <v>112</v>
      </c>
      <c r="F1409" t="str">
        <f>VLOOKUP(G1409,PC!B:D,2,FALSE)</f>
        <v>RECEITA</v>
      </c>
      <c r="G1409" s="4" t="s">
        <v>54</v>
      </c>
      <c r="H1409" s="1">
        <v>1000</v>
      </c>
    </row>
    <row r="1410" spans="2:8" x14ac:dyDescent="0.2">
      <c r="B1410" t="str">
        <f>VLOOKUP(G1410,PC!B:D,3,FALSE)</f>
        <v>RECEITA</v>
      </c>
      <c r="C1410" s="22">
        <v>2023</v>
      </c>
      <c r="D1410" t="s">
        <v>112</v>
      </c>
      <c r="F1410" t="str">
        <f>VLOOKUP(G1410,PC!B:D,2,FALSE)</f>
        <v>RECEITA</v>
      </c>
      <c r="G1410" s="4" t="s">
        <v>54</v>
      </c>
      <c r="H1410" s="1">
        <v>1500</v>
      </c>
    </row>
    <row r="1411" spans="2:8" x14ac:dyDescent="0.2">
      <c r="B1411" t="str">
        <f>VLOOKUP(G1411,PC!B:D,3,FALSE)</f>
        <v>RECEITA</v>
      </c>
      <c r="C1411" s="22">
        <v>2023</v>
      </c>
      <c r="D1411" t="s">
        <v>112</v>
      </c>
      <c r="F1411" t="str">
        <f>VLOOKUP(G1411,PC!B:D,2,FALSE)</f>
        <v>RECEITA</v>
      </c>
      <c r="G1411" s="4" t="s">
        <v>54</v>
      </c>
      <c r="H1411" s="1">
        <f>45+90+135+40+17.5+195+149.5</f>
        <v>672</v>
      </c>
    </row>
    <row r="1412" spans="2:8" x14ac:dyDescent="0.2">
      <c r="B1412" t="str">
        <f>VLOOKUP(G1412,PC!B:D,3,FALSE)</f>
        <v>CPV</v>
      </c>
      <c r="C1412" s="22">
        <v>2023</v>
      </c>
      <c r="D1412" t="s">
        <v>112</v>
      </c>
      <c r="E1412" t="s">
        <v>129</v>
      </c>
      <c r="F1412" t="str">
        <f>VLOOKUP(G1412,PC!B:D,2,FALSE)</f>
        <v>COMIDA</v>
      </c>
      <c r="G1412" s="4" t="s">
        <v>12</v>
      </c>
      <c r="H1412" s="1">
        <v>195</v>
      </c>
    </row>
    <row r="1413" spans="2:8" x14ac:dyDescent="0.2">
      <c r="B1413" t="str">
        <f>VLOOKUP(G1413,PC!B:D,3,FALSE)</f>
        <v>CPV</v>
      </c>
      <c r="C1413" s="22">
        <v>2023</v>
      </c>
      <c r="D1413" t="s">
        <v>112</v>
      </c>
      <c r="E1413" t="s">
        <v>129</v>
      </c>
      <c r="F1413" t="str">
        <f>VLOOKUP(G1413,PC!B:D,2,FALSE)</f>
        <v>OUTROS</v>
      </c>
      <c r="G1413" s="4" t="s">
        <v>37</v>
      </c>
      <c r="H1413" s="1">
        <v>45</v>
      </c>
    </row>
    <row r="1414" spans="2:8" x14ac:dyDescent="0.2">
      <c r="B1414" t="str">
        <f>VLOOKUP(G1414,PC!B:D,3,FALSE)</f>
        <v>RECEITA</v>
      </c>
      <c r="C1414" s="22">
        <v>2023</v>
      </c>
      <c r="D1414" t="s">
        <v>112</v>
      </c>
      <c r="F1414" t="str">
        <f>VLOOKUP(G1414,PC!B:D,2,FALSE)</f>
        <v>RECEITA</v>
      </c>
      <c r="G1414" s="4" t="s">
        <v>54</v>
      </c>
      <c r="H1414" s="1">
        <v>2100</v>
      </c>
    </row>
    <row r="1415" spans="2:8" x14ac:dyDescent="0.2">
      <c r="B1415" t="str">
        <f>VLOOKUP(G1415,PC!B:D,3,FALSE)</f>
        <v>RECEITA</v>
      </c>
      <c r="C1415" s="22">
        <v>2023</v>
      </c>
      <c r="D1415" t="s">
        <v>112</v>
      </c>
      <c r="F1415" t="str">
        <f>VLOOKUP(G1415,PC!B:D,2,FALSE)</f>
        <v>RECEITA</v>
      </c>
      <c r="G1415" s="4" t="s">
        <v>54</v>
      </c>
      <c r="H1415" s="1">
        <v>800</v>
      </c>
    </row>
    <row r="1416" spans="2:8" x14ac:dyDescent="0.2">
      <c r="B1416" t="str">
        <f>VLOOKUP(G1416,PC!B:D,3,FALSE)</f>
        <v>RECEITA</v>
      </c>
      <c r="C1416" s="22">
        <v>2023</v>
      </c>
      <c r="D1416" t="s">
        <v>112</v>
      </c>
      <c r="F1416" t="str">
        <f>VLOOKUP(G1416,PC!B:D,2,FALSE)</f>
        <v>RECEITA</v>
      </c>
      <c r="G1416" s="4" t="s">
        <v>136</v>
      </c>
      <c r="H1416" s="1">
        <v>22942.5</v>
      </c>
    </row>
    <row r="1417" spans="2:8" x14ac:dyDescent="0.2">
      <c r="B1417" t="str">
        <f>VLOOKUP(G1417,PC!B:D,3,FALSE)</f>
        <v>RECEITA</v>
      </c>
      <c r="C1417" s="22">
        <v>2023</v>
      </c>
      <c r="D1417" t="s">
        <v>112</v>
      </c>
      <c r="F1417" t="str">
        <f>VLOOKUP(G1417,PC!B:D,2,FALSE)</f>
        <v>RECEITA</v>
      </c>
      <c r="G1417" s="4" t="s">
        <v>137</v>
      </c>
      <c r="H1417" s="1">
        <v>1334.85</v>
      </c>
    </row>
    <row r="1418" spans="2:8" x14ac:dyDescent="0.2">
      <c r="B1418" t="str">
        <f>VLOOKUP(G1418,PC!B:D,3,FALSE)</f>
        <v>RECEITA</v>
      </c>
      <c r="C1418" s="22">
        <v>2023</v>
      </c>
      <c r="D1418" t="s">
        <v>112</v>
      </c>
      <c r="F1418" t="str">
        <f>VLOOKUP(G1418,PC!B:D,2,FALSE)</f>
        <v>RECEITA</v>
      </c>
      <c r="G1418" s="4" t="s">
        <v>137</v>
      </c>
      <c r="H1418" s="1">
        <v>9691.85</v>
      </c>
    </row>
    <row r="1419" spans="2:8" x14ac:dyDescent="0.2">
      <c r="B1419" t="str">
        <f>VLOOKUP(G1419,PC!B:D,3,FALSE)</f>
        <v>RECEITA</v>
      </c>
      <c r="C1419" s="22">
        <v>2023</v>
      </c>
      <c r="D1419" t="s">
        <v>112</v>
      </c>
      <c r="F1419" t="str">
        <f>VLOOKUP(G1419,PC!B:D,2,FALSE)</f>
        <v>RECEITA</v>
      </c>
      <c r="G1419" s="4" t="s">
        <v>136</v>
      </c>
      <c r="H1419" s="1">
        <v>393.04</v>
      </c>
    </row>
    <row r="1420" spans="2:8" x14ac:dyDescent="0.2">
      <c r="B1420" t="str">
        <f>VLOOKUP(G1420,PC!B:D,3,FALSE)</f>
        <v>DESCONTO DE FATURAMENTO</v>
      </c>
      <c r="C1420" s="22">
        <v>2023</v>
      </c>
      <c r="D1420" t="s">
        <v>112</v>
      </c>
      <c r="F1420" t="str">
        <f>VLOOKUP(G1420,PC!B:D,2,FALSE)</f>
        <v>OUTROS DESCONTOS</v>
      </c>
      <c r="G1420" s="4" t="s">
        <v>63</v>
      </c>
      <c r="H1420" s="1">
        <f>H1419-387.99</f>
        <v>5.0500000000000114</v>
      </c>
    </row>
    <row r="1421" spans="2:8" x14ac:dyDescent="0.2">
      <c r="B1421" t="str">
        <f>VLOOKUP(G1421,PC!B:D,3,FALSE)</f>
        <v>DESCONTO DE FATURAMENTO</v>
      </c>
      <c r="C1421" s="22">
        <v>2023</v>
      </c>
      <c r="D1421" t="s">
        <v>112</v>
      </c>
      <c r="F1421" t="str">
        <f>VLOOKUP(G1421,PC!B:D,2,FALSE)</f>
        <v>OUTROS DESCONTOS</v>
      </c>
      <c r="G1421" s="4" t="s">
        <v>63</v>
      </c>
      <c r="H1421" s="1">
        <f>H1418-9486.8</f>
        <v>205.05000000000109</v>
      </c>
    </row>
    <row r="1422" spans="2:8" x14ac:dyDescent="0.2">
      <c r="B1422" t="str">
        <f>VLOOKUP(G1422,PC!B:D,3,FALSE)</f>
        <v>DESCONTO DE FATURAMENTO</v>
      </c>
      <c r="C1422" s="22">
        <v>2023</v>
      </c>
      <c r="D1422" t="s">
        <v>112</v>
      </c>
      <c r="F1422" t="str">
        <f>VLOOKUP(G1422,PC!B:D,2,FALSE)</f>
        <v>OUTROS DESCONTOS</v>
      </c>
      <c r="G1422" s="4" t="s">
        <v>63</v>
      </c>
      <c r="H1422" s="1">
        <f>0.012*H1416</f>
        <v>275.31</v>
      </c>
    </row>
    <row r="1423" spans="2:8" x14ac:dyDescent="0.2">
      <c r="B1423" t="str">
        <f>VLOOKUP(G1423,PC!B:D,3,FALSE)</f>
        <v>DESCONTO DE FATURAMENTO</v>
      </c>
      <c r="C1423" s="22">
        <v>2023</v>
      </c>
      <c r="D1423" t="s">
        <v>112</v>
      </c>
      <c r="F1423" t="str">
        <f>VLOOKUP(G1423,PC!B:D,2,FALSE)</f>
        <v>OUTROS DESCONTOS</v>
      </c>
      <c r="G1423" s="4" t="s">
        <v>63</v>
      </c>
      <c r="H1423" s="1">
        <f>0.02*H1417</f>
        <v>26.696999999999999</v>
      </c>
    </row>
    <row r="1424" spans="2:8" x14ac:dyDescent="0.2">
      <c r="B1424" t="str">
        <f>VLOOKUP(G1424,PC!B:D,3,FALSE)</f>
        <v>CPV</v>
      </c>
      <c r="C1424" s="22">
        <v>2023</v>
      </c>
      <c r="D1424" t="s">
        <v>113</v>
      </c>
      <c r="E1424" t="s">
        <v>16</v>
      </c>
      <c r="F1424" t="str">
        <f>VLOOKUP(G1424,PC!B:D,2,FALSE)</f>
        <v>COMIDA</v>
      </c>
      <c r="G1424" s="4" t="s">
        <v>12</v>
      </c>
      <c r="H1424" s="1">
        <v>452.59</v>
      </c>
    </row>
    <row r="1425" spans="2:9" x14ac:dyDescent="0.2">
      <c r="B1425" t="str">
        <f>VLOOKUP(G1425,PC!B:D,3,FALSE)</f>
        <v>CPV</v>
      </c>
      <c r="C1425" s="22">
        <v>2023</v>
      </c>
      <c r="D1425" t="s">
        <v>113</v>
      </c>
      <c r="E1425" t="s">
        <v>159</v>
      </c>
      <c r="F1425" t="str">
        <f>VLOOKUP(G1425,PC!B:D,2,FALSE)</f>
        <v>SOBREMESA</v>
      </c>
      <c r="G1425" s="4" t="s">
        <v>8</v>
      </c>
      <c r="H1425" s="1">
        <v>42.48</v>
      </c>
    </row>
    <row r="1426" spans="2:9" x14ac:dyDescent="0.2">
      <c r="B1426" t="str">
        <f>VLOOKUP(G1426,PC!B:D,3,FALSE)</f>
        <v>CPV</v>
      </c>
      <c r="C1426" s="22">
        <v>2023</v>
      </c>
      <c r="D1426" t="s">
        <v>113</v>
      </c>
      <c r="E1426" t="s">
        <v>159</v>
      </c>
      <c r="F1426" t="str">
        <f>VLOOKUP(G1426,PC!B:D,2,FALSE)</f>
        <v>COMIDA</v>
      </c>
      <c r="G1426" s="4" t="s">
        <v>145</v>
      </c>
      <c r="H1426" s="1">
        <v>281.82</v>
      </c>
    </row>
    <row r="1427" spans="2:9" x14ac:dyDescent="0.2">
      <c r="B1427" t="str">
        <f>VLOOKUP(G1427,PC!B:D,3,FALSE)</f>
        <v>CPV</v>
      </c>
      <c r="C1427" s="22">
        <v>2023</v>
      </c>
      <c r="D1427" t="s">
        <v>113</v>
      </c>
      <c r="E1427" t="s">
        <v>28</v>
      </c>
      <c r="F1427" t="str">
        <f>VLOOKUP(G1427,PC!B:D,2,FALSE)</f>
        <v>BEBIDAS</v>
      </c>
      <c r="G1427" s="4" t="s">
        <v>26</v>
      </c>
      <c r="H1427" s="1">
        <v>766.08</v>
      </c>
    </row>
    <row r="1428" spans="2:9" x14ac:dyDescent="0.2">
      <c r="B1428" t="str">
        <f>VLOOKUP(G1428,PC!B:D,3,FALSE)</f>
        <v>CPV</v>
      </c>
      <c r="C1428" s="22">
        <v>2023</v>
      </c>
      <c r="D1428" t="s">
        <v>113</v>
      </c>
      <c r="E1428" t="s">
        <v>24</v>
      </c>
      <c r="F1428" t="str">
        <f>VLOOKUP(G1428,PC!B:D,2,FALSE)</f>
        <v>COMIDA</v>
      </c>
      <c r="G1428" s="4" t="s">
        <v>33</v>
      </c>
      <c r="H1428" s="1">
        <v>1078.46</v>
      </c>
    </row>
    <row r="1429" spans="2:9" x14ac:dyDescent="0.2">
      <c r="B1429" t="str">
        <f>VLOOKUP(G1429,PC!B:D,3,FALSE)</f>
        <v>CPV</v>
      </c>
      <c r="C1429" s="22">
        <v>2023</v>
      </c>
      <c r="D1429" t="s">
        <v>113</v>
      </c>
      <c r="E1429" t="s">
        <v>16</v>
      </c>
      <c r="F1429" t="str">
        <f>VLOOKUP(G1429,PC!B:D,2,FALSE)</f>
        <v>COMIDA</v>
      </c>
      <c r="G1429" s="4" t="s">
        <v>12</v>
      </c>
      <c r="H1429" s="1">
        <v>253.02</v>
      </c>
      <c r="I1429" s="4"/>
    </row>
    <row r="1430" spans="2:9" x14ac:dyDescent="0.2">
      <c r="B1430" t="str">
        <f>VLOOKUP(G1430,PC!B:D,3,FALSE)</f>
        <v>CPV</v>
      </c>
      <c r="C1430" s="22">
        <v>2023</v>
      </c>
      <c r="D1430" t="s">
        <v>113</v>
      </c>
      <c r="E1430" t="s">
        <v>45</v>
      </c>
      <c r="F1430" t="str">
        <f>VLOOKUP(G1430,PC!B:D,2,FALSE)</f>
        <v>LIMPEZA</v>
      </c>
      <c r="G1430" s="4" t="s">
        <v>43</v>
      </c>
      <c r="H1430" s="1">
        <f>34.86+31.6</f>
        <v>66.460000000000008</v>
      </c>
    </row>
    <row r="1431" spans="2:9" x14ac:dyDescent="0.2">
      <c r="B1431" t="str">
        <f>VLOOKUP(G1431,PC!B:D,3,FALSE)</f>
        <v>CPV</v>
      </c>
      <c r="C1431" s="22">
        <v>2023</v>
      </c>
      <c r="D1431" t="s">
        <v>113</v>
      </c>
      <c r="E1431" t="s">
        <v>45</v>
      </c>
      <c r="F1431" t="str">
        <f>VLOOKUP(G1431,PC!B:D,2,FALSE)</f>
        <v>HIGIENE</v>
      </c>
      <c r="G1431" s="4" t="s">
        <v>36</v>
      </c>
      <c r="H1431" s="1">
        <f>76.25+20.44+13.78</f>
        <v>110.47</v>
      </c>
    </row>
    <row r="1432" spans="2:9" x14ac:dyDescent="0.2">
      <c r="B1432" t="str">
        <f>VLOOKUP(G1432,PC!B:D,3,FALSE)</f>
        <v>CPV</v>
      </c>
      <c r="C1432" s="22">
        <v>2023</v>
      </c>
      <c r="D1432" t="s">
        <v>113</v>
      </c>
      <c r="E1432" t="s">
        <v>45</v>
      </c>
      <c r="F1432" t="str">
        <f>VLOOKUP(G1432,PC!B:D,2,FALSE)</f>
        <v>SOBREMESA</v>
      </c>
      <c r="G1432" s="4" t="s">
        <v>23</v>
      </c>
      <c r="H1432" s="1">
        <f>153.32+62.92+108.37</f>
        <v>324.61</v>
      </c>
      <c r="I1432" s="4"/>
    </row>
    <row r="1433" spans="2:9" x14ac:dyDescent="0.2">
      <c r="B1433" t="str">
        <f>VLOOKUP(G1433,PC!B:D,3,FALSE)</f>
        <v>CPV</v>
      </c>
      <c r="C1433" s="22">
        <v>2023</v>
      </c>
      <c r="D1433" t="s">
        <v>113</v>
      </c>
      <c r="E1433" t="s">
        <v>45</v>
      </c>
      <c r="F1433" t="str">
        <f>VLOOKUP(G1433,PC!B:D,2,FALSE)</f>
        <v>BEBIDAS</v>
      </c>
      <c r="G1433" s="4" t="s">
        <v>39</v>
      </c>
      <c r="H1433" s="1">
        <v>83</v>
      </c>
    </row>
    <row r="1434" spans="2:9" x14ac:dyDescent="0.2">
      <c r="B1434" t="str">
        <f>VLOOKUP(G1434,PC!B:D,3,FALSE)</f>
        <v>CPV</v>
      </c>
      <c r="C1434" s="22">
        <v>2023</v>
      </c>
      <c r="D1434" t="s">
        <v>113</v>
      </c>
      <c r="E1434" t="s">
        <v>45</v>
      </c>
      <c r="F1434" t="str">
        <f>VLOOKUP(G1434,PC!B:D,2,FALSE)</f>
        <v>BEBIDAS</v>
      </c>
      <c r="G1434" s="4" t="s">
        <v>144</v>
      </c>
      <c r="H1434" s="1">
        <f>96.37*2</f>
        <v>192.74</v>
      </c>
    </row>
    <row r="1435" spans="2:9" x14ac:dyDescent="0.2">
      <c r="B1435" t="str">
        <f>VLOOKUP(G1435,PC!B:D,3,FALSE)</f>
        <v>CPV</v>
      </c>
      <c r="C1435" s="22">
        <v>2023</v>
      </c>
      <c r="D1435" t="s">
        <v>113</v>
      </c>
      <c r="E1435" t="s">
        <v>45</v>
      </c>
      <c r="F1435" t="str">
        <f>VLOOKUP(G1435,PC!B:D,2,FALSE)</f>
        <v>COMIDA</v>
      </c>
      <c r="G1435" s="4" t="s">
        <v>22</v>
      </c>
      <c r="H1435" s="1">
        <f>20.06*2</f>
        <v>40.119999999999997</v>
      </c>
    </row>
    <row r="1436" spans="2:9" x14ac:dyDescent="0.2">
      <c r="B1436" t="str">
        <f>VLOOKUP(G1436,PC!B:D,3,FALSE)</f>
        <v>CPV</v>
      </c>
      <c r="C1436" s="22">
        <v>2023</v>
      </c>
      <c r="D1436" t="s">
        <v>113</v>
      </c>
      <c r="E1436" t="s">
        <v>45</v>
      </c>
      <c r="F1436" t="str">
        <f>VLOOKUP(G1436,PC!B:D,2,FALSE)</f>
        <v>SOBREMESA</v>
      </c>
      <c r="G1436" s="4" t="s">
        <v>47</v>
      </c>
      <c r="H1436" s="1">
        <f>41.66+62.5+41.66+41.66</f>
        <v>187.48</v>
      </c>
    </row>
    <row r="1437" spans="2:9" x14ac:dyDescent="0.2">
      <c r="B1437" t="str">
        <f>VLOOKUP(G1437,PC!B:D,3,FALSE)</f>
        <v>CPV</v>
      </c>
      <c r="C1437" s="22">
        <v>2023</v>
      </c>
      <c r="D1437" t="s">
        <v>113</v>
      </c>
      <c r="E1437" t="s">
        <v>45</v>
      </c>
      <c r="F1437" t="str">
        <f>VLOOKUP(G1437,PC!B:D,2,FALSE)</f>
        <v>SOBREMESA</v>
      </c>
      <c r="G1437" s="4" t="s">
        <v>23</v>
      </c>
      <c r="H1437" s="1">
        <v>104.88</v>
      </c>
    </row>
    <row r="1438" spans="2:9" x14ac:dyDescent="0.2">
      <c r="B1438" t="str">
        <f>VLOOKUP(G1438,PC!B:D,3,FALSE)</f>
        <v>CPV</v>
      </c>
      <c r="C1438" s="22">
        <v>2023</v>
      </c>
      <c r="D1438" t="s">
        <v>113</v>
      </c>
      <c r="E1438" t="s">
        <v>45</v>
      </c>
      <c r="F1438" t="str">
        <f>VLOOKUP(G1438,PC!B:D,2,FALSE)</f>
        <v>COMIDA</v>
      </c>
      <c r="G1438" s="4" t="s">
        <v>38</v>
      </c>
      <c r="H1438" s="1">
        <f>121.44+97.82+53.23+88.3</f>
        <v>360.79</v>
      </c>
    </row>
    <row r="1439" spans="2:9" x14ac:dyDescent="0.2">
      <c r="B1439" t="str">
        <f>VLOOKUP(G1439,PC!B:D,3,FALSE)</f>
        <v>CPV</v>
      </c>
      <c r="C1439" s="22">
        <v>2023</v>
      </c>
      <c r="D1439" t="s">
        <v>113</v>
      </c>
      <c r="E1439" t="s">
        <v>20</v>
      </c>
      <c r="F1439" t="str">
        <f>VLOOKUP(G1439,PC!B:D,2,FALSE)</f>
        <v>COMIDA</v>
      </c>
      <c r="G1439" s="4" t="s">
        <v>29</v>
      </c>
      <c r="H1439" s="1">
        <v>218.4</v>
      </c>
    </row>
    <row r="1440" spans="2:9" x14ac:dyDescent="0.2">
      <c r="B1440" t="str">
        <f>VLOOKUP(G1440,PC!B:D,3,FALSE)</f>
        <v>CPV</v>
      </c>
      <c r="C1440" s="22">
        <v>2023</v>
      </c>
      <c r="D1440" t="s">
        <v>113</v>
      </c>
      <c r="E1440" t="s">
        <v>27</v>
      </c>
      <c r="F1440" t="str">
        <f>VLOOKUP(G1440,PC!B:D,2,FALSE)</f>
        <v>COMIDA</v>
      </c>
      <c r="G1440" s="4" t="s">
        <v>12</v>
      </c>
      <c r="H1440" s="1">
        <v>204.55</v>
      </c>
      <c r="I1440" s="4"/>
    </row>
    <row r="1441" spans="2:9" x14ac:dyDescent="0.2">
      <c r="B1441" t="str">
        <f>VLOOKUP(G1441,PC!B:D,3,FALSE)</f>
        <v>CPV</v>
      </c>
      <c r="C1441" s="22">
        <v>2023</v>
      </c>
      <c r="D1441" t="s">
        <v>113</v>
      </c>
      <c r="E1441" t="s">
        <v>6</v>
      </c>
      <c r="F1441" t="str">
        <f>VLOOKUP(G1441,PC!B:D,2,FALSE)</f>
        <v>COMIDA</v>
      </c>
      <c r="G1441" s="4" t="s">
        <v>145</v>
      </c>
      <c r="H1441" s="1">
        <v>49.2</v>
      </c>
      <c r="I1441" s="4"/>
    </row>
    <row r="1442" spans="2:9" x14ac:dyDescent="0.2">
      <c r="B1442" t="str">
        <f>VLOOKUP(G1442,PC!B:D,3,FALSE)</f>
        <v>CPV</v>
      </c>
      <c r="C1442" s="22">
        <v>2023</v>
      </c>
      <c r="D1442" t="s">
        <v>113</v>
      </c>
      <c r="E1442" t="s">
        <v>78</v>
      </c>
      <c r="F1442" t="str">
        <f>VLOOKUP(G1442,PC!B:D,2,FALSE)</f>
        <v>CIGARRO</v>
      </c>
      <c r="G1442" s="4" t="s">
        <v>82</v>
      </c>
      <c r="H1442" s="1">
        <v>252.66</v>
      </c>
      <c r="I1442" s="4"/>
    </row>
    <row r="1443" spans="2:9" x14ac:dyDescent="0.2">
      <c r="B1443" t="str">
        <f>VLOOKUP(G1443,PC!B:D,3,FALSE)</f>
        <v>CPV</v>
      </c>
      <c r="C1443" s="22">
        <v>2023</v>
      </c>
      <c r="D1443" t="s">
        <v>113</v>
      </c>
      <c r="E1443" t="s">
        <v>14</v>
      </c>
      <c r="F1443" t="str">
        <f>VLOOKUP(G1443,PC!B:D,2,FALSE)</f>
        <v>BEBIDAS</v>
      </c>
      <c r="G1443" s="4" t="s">
        <v>25</v>
      </c>
      <c r="H1443" s="1">
        <v>1045.48</v>
      </c>
      <c r="I1443" s="4"/>
    </row>
    <row r="1444" spans="2:9" x14ac:dyDescent="0.2">
      <c r="B1444" t="str">
        <f>VLOOKUP(G1444,PC!B:D,3,FALSE)</f>
        <v>CPV</v>
      </c>
      <c r="C1444" s="22">
        <v>2023</v>
      </c>
      <c r="D1444" t="s">
        <v>113</v>
      </c>
      <c r="E1444" t="s">
        <v>21</v>
      </c>
      <c r="F1444" t="str">
        <f>VLOOKUP(G1444,PC!B:D,2,FALSE)</f>
        <v>SOBREMESA</v>
      </c>
      <c r="G1444" s="4" t="s">
        <v>23</v>
      </c>
      <c r="H1444" s="1">
        <v>174.82</v>
      </c>
    </row>
    <row r="1445" spans="2:9" x14ac:dyDescent="0.2">
      <c r="B1445" t="str">
        <f>VLOOKUP(G1445,PC!B:D,3,FALSE)</f>
        <v>CPV</v>
      </c>
      <c r="C1445" s="22">
        <v>2023</v>
      </c>
      <c r="D1445" t="s">
        <v>113</v>
      </c>
      <c r="E1445" t="s">
        <v>175</v>
      </c>
      <c r="F1445" t="str">
        <f>VLOOKUP(G1445,PC!B:D,2,FALSE)</f>
        <v>BEBIDAS</v>
      </c>
      <c r="G1445" s="4" t="s">
        <v>25</v>
      </c>
      <c r="H1445" s="1">
        <v>20.010000000000002</v>
      </c>
    </row>
    <row r="1446" spans="2:9" x14ac:dyDescent="0.2">
      <c r="B1446" t="str">
        <f>VLOOKUP(G1446,PC!B:D,3,FALSE)</f>
        <v>CPV</v>
      </c>
      <c r="C1446" s="22">
        <v>2023</v>
      </c>
      <c r="D1446" t="s">
        <v>113</v>
      </c>
      <c r="E1446" t="s">
        <v>28</v>
      </c>
      <c r="F1446" t="str">
        <f>VLOOKUP(G1446,PC!B:D,2,FALSE)</f>
        <v>BEBIDAS</v>
      </c>
      <c r="G1446" s="4" t="s">
        <v>26</v>
      </c>
      <c r="H1446" s="1">
        <v>4025.87</v>
      </c>
    </row>
    <row r="1447" spans="2:9" x14ac:dyDescent="0.2">
      <c r="B1447" t="str">
        <f>VLOOKUP(G1447,PC!B:D,3,FALSE)</f>
        <v>CPV</v>
      </c>
      <c r="C1447" s="22">
        <v>2023</v>
      </c>
      <c r="D1447" t="s">
        <v>113</v>
      </c>
      <c r="E1447" t="s">
        <v>28</v>
      </c>
      <c r="F1447" t="str">
        <f>VLOOKUP(G1447,PC!B:D,2,FALSE)</f>
        <v>BEBIDAS</v>
      </c>
      <c r="G1447" s="4" t="s">
        <v>26</v>
      </c>
      <c r="H1447" s="1">
        <v>1216.6099999999999</v>
      </c>
    </row>
    <row r="1448" spans="2:9" x14ac:dyDescent="0.2">
      <c r="B1448" t="str">
        <f>VLOOKUP(G1448,PC!B:D,3,FALSE)</f>
        <v>CPV</v>
      </c>
      <c r="C1448" s="22">
        <v>2023</v>
      </c>
      <c r="D1448" t="s">
        <v>113</v>
      </c>
      <c r="E1448" t="s">
        <v>28</v>
      </c>
      <c r="F1448" t="str">
        <f>VLOOKUP(G1448,PC!B:D,2,FALSE)</f>
        <v>BEBIDAS</v>
      </c>
      <c r="G1448" s="4" t="s">
        <v>26</v>
      </c>
      <c r="H1448" s="1">
        <v>197.8</v>
      </c>
    </row>
    <row r="1449" spans="2:9" x14ac:dyDescent="0.2">
      <c r="B1449" t="str">
        <f>VLOOKUP(G1449,PC!B:D,3,FALSE)</f>
        <v>CPV</v>
      </c>
      <c r="C1449" s="22">
        <v>2023</v>
      </c>
      <c r="D1449" t="s">
        <v>113</v>
      </c>
      <c r="E1449" t="s">
        <v>14</v>
      </c>
      <c r="F1449" t="str">
        <f>VLOOKUP(G1449,PC!B:D,2,FALSE)</f>
        <v>BEBIDAS</v>
      </c>
      <c r="G1449" s="4" t="s">
        <v>25</v>
      </c>
      <c r="H1449" s="1">
        <v>48.62</v>
      </c>
    </row>
    <row r="1450" spans="2:9" x14ac:dyDescent="0.2">
      <c r="B1450" t="str">
        <f>VLOOKUP(G1450,PC!B:D,3,FALSE)</f>
        <v>CPV</v>
      </c>
      <c r="C1450" s="22">
        <v>2023</v>
      </c>
      <c r="D1450" t="s">
        <v>113</v>
      </c>
      <c r="E1450" t="s">
        <v>14</v>
      </c>
      <c r="F1450" t="str">
        <f>VLOOKUP(G1450,PC!B:D,2,FALSE)</f>
        <v>BEBIDAS</v>
      </c>
      <c r="G1450" s="4" t="s">
        <v>25</v>
      </c>
      <c r="H1450" s="1">
        <v>55.15</v>
      </c>
      <c r="I1450" s="4"/>
    </row>
    <row r="1451" spans="2:9" x14ac:dyDescent="0.2">
      <c r="B1451" t="str">
        <f>VLOOKUP(G1451,PC!B:D,3,FALSE)</f>
        <v>CPV</v>
      </c>
      <c r="C1451" s="22">
        <v>2023</v>
      </c>
      <c r="D1451" t="s">
        <v>113</v>
      </c>
      <c r="E1451" t="s">
        <v>14</v>
      </c>
      <c r="F1451" t="str">
        <f>VLOOKUP(G1451,PC!B:D,2,FALSE)</f>
        <v>BEBIDAS</v>
      </c>
      <c r="G1451" s="4" t="s">
        <v>25</v>
      </c>
      <c r="H1451" s="1">
        <v>1658.49</v>
      </c>
    </row>
    <row r="1452" spans="2:9" x14ac:dyDescent="0.2">
      <c r="B1452" t="str">
        <f>VLOOKUP(G1452,PC!B:D,3,FALSE)</f>
        <v>CPV</v>
      </c>
      <c r="C1452" s="22">
        <v>2023</v>
      </c>
      <c r="D1452" t="s">
        <v>113</v>
      </c>
      <c r="E1452" t="s">
        <v>30</v>
      </c>
      <c r="F1452" t="str">
        <f>VLOOKUP(G1452,PC!B:D,2,FALSE)</f>
        <v>SOBREMESA</v>
      </c>
      <c r="G1452" s="4" t="s">
        <v>23</v>
      </c>
      <c r="H1452" s="1">
        <v>133.82</v>
      </c>
    </row>
    <row r="1453" spans="2:9" x14ac:dyDescent="0.2">
      <c r="B1453" t="str">
        <f>VLOOKUP(G1453,PC!B:D,3,FALSE)</f>
        <v>CPV</v>
      </c>
      <c r="C1453" s="22">
        <v>2023</v>
      </c>
      <c r="D1453" t="s">
        <v>113</v>
      </c>
      <c r="E1453" t="s">
        <v>95</v>
      </c>
      <c r="F1453" t="str">
        <f>VLOOKUP(G1453,PC!B:D,2,FALSE)</f>
        <v>BEBIDAS</v>
      </c>
      <c r="G1453" s="4" t="s">
        <v>144</v>
      </c>
      <c r="H1453" s="1">
        <v>473.73</v>
      </c>
    </row>
    <row r="1454" spans="2:9" x14ac:dyDescent="0.2">
      <c r="B1454" t="str">
        <f>VLOOKUP(G1454,PC!B:D,3,FALSE)</f>
        <v>CPV</v>
      </c>
      <c r="C1454" s="22">
        <v>2023</v>
      </c>
      <c r="D1454" t="s">
        <v>113</v>
      </c>
      <c r="E1454" t="s">
        <v>49</v>
      </c>
      <c r="F1454" t="str">
        <f>VLOOKUP(G1454,PC!B:D,2,FALSE)</f>
        <v>CIGARRO</v>
      </c>
      <c r="G1454" s="4" t="s">
        <v>52</v>
      </c>
      <c r="H1454" s="1">
        <v>3891.21</v>
      </c>
    </row>
    <row r="1455" spans="2:9" x14ac:dyDescent="0.2">
      <c r="B1455" t="str">
        <f>VLOOKUP(G1455,PC!B:D,3,FALSE)</f>
        <v>CPV</v>
      </c>
      <c r="C1455" s="22">
        <v>2023</v>
      </c>
      <c r="D1455" t="s">
        <v>113</v>
      </c>
      <c r="E1455" t="s">
        <v>100</v>
      </c>
      <c r="F1455" t="str">
        <f>VLOOKUP(G1455,PC!B:D,2,FALSE)</f>
        <v>COMIDA</v>
      </c>
      <c r="G1455" s="4" t="s">
        <v>18</v>
      </c>
      <c r="H1455" s="1">
        <v>202.85</v>
      </c>
    </row>
    <row r="1456" spans="2:9" x14ac:dyDescent="0.2">
      <c r="B1456" t="str">
        <f>VLOOKUP(G1456,PC!B:D,3,FALSE)</f>
        <v>CPV</v>
      </c>
      <c r="C1456" s="22">
        <v>2023</v>
      </c>
      <c r="D1456" t="s">
        <v>113</v>
      </c>
      <c r="E1456" t="s">
        <v>10</v>
      </c>
      <c r="F1456" t="str">
        <f>VLOOKUP(G1456,PC!B:D,2,FALSE)</f>
        <v>COMIDA</v>
      </c>
      <c r="G1456" s="4" t="s">
        <v>33</v>
      </c>
      <c r="H1456" s="1">
        <v>980.49</v>
      </c>
    </row>
    <row r="1457" spans="2:8" x14ac:dyDescent="0.2">
      <c r="B1457" t="str">
        <f>VLOOKUP(G1457,PC!B:D,3,FALSE)</f>
        <v>CPV</v>
      </c>
      <c r="C1457" s="22">
        <v>2023</v>
      </c>
      <c r="D1457" t="s">
        <v>113</v>
      </c>
      <c r="E1457" t="s">
        <v>96</v>
      </c>
      <c r="F1457" t="str">
        <f>VLOOKUP(G1457,PC!B:D,2,FALSE)</f>
        <v>LIMPEZA</v>
      </c>
      <c r="G1457" s="4" t="s">
        <v>43</v>
      </c>
      <c r="H1457" s="1">
        <f>41.97+50.37+35.71+35.71</f>
        <v>163.76000000000002</v>
      </c>
    </row>
    <row r="1458" spans="2:8" x14ac:dyDescent="0.2">
      <c r="B1458" t="str">
        <f>VLOOKUP(G1458,PC!B:D,3,FALSE)</f>
        <v>CPV</v>
      </c>
      <c r="C1458" s="22">
        <v>2023</v>
      </c>
      <c r="D1458" t="s">
        <v>113</v>
      </c>
      <c r="E1458" t="s">
        <v>96</v>
      </c>
      <c r="F1458" t="str">
        <f>VLOOKUP(G1458,PC!B:D,2,FALSE)</f>
        <v>SOBREMESA</v>
      </c>
      <c r="G1458" s="4" t="s">
        <v>8</v>
      </c>
      <c r="H1458" s="1">
        <f>304.48-H1457</f>
        <v>140.72</v>
      </c>
    </row>
    <row r="1459" spans="2:8" x14ac:dyDescent="0.2">
      <c r="B1459" t="str">
        <f>VLOOKUP(G1459,PC!B:D,3,FALSE)</f>
        <v>CPV</v>
      </c>
      <c r="C1459" s="22">
        <v>2023</v>
      </c>
      <c r="D1459" t="s">
        <v>113</v>
      </c>
      <c r="E1459" t="s">
        <v>28</v>
      </c>
      <c r="F1459" t="str">
        <f>VLOOKUP(G1459,PC!B:D,2,FALSE)</f>
        <v>BEBIDAS</v>
      </c>
      <c r="G1459" s="4" t="s">
        <v>25</v>
      </c>
      <c r="H1459" s="1">
        <v>1254.52</v>
      </c>
    </row>
    <row r="1460" spans="2:8" x14ac:dyDescent="0.2">
      <c r="B1460" t="str">
        <f>VLOOKUP(G1460,PC!B:D,3,FALSE)</f>
        <v>CPV</v>
      </c>
      <c r="C1460" s="22">
        <v>2023</v>
      </c>
      <c r="D1460" t="s">
        <v>113</v>
      </c>
      <c r="E1460" t="s">
        <v>163</v>
      </c>
      <c r="F1460" t="str">
        <f>VLOOKUP(G1460,PC!B:D,2,FALSE)</f>
        <v>OUTROS</v>
      </c>
      <c r="G1460" s="4" t="s">
        <v>37</v>
      </c>
      <c r="H1460" s="1">
        <v>696.18</v>
      </c>
    </row>
    <row r="1461" spans="2:8" x14ac:dyDescent="0.2">
      <c r="B1461" t="str">
        <f>VLOOKUP(G1461,PC!B:D,3,FALSE)</f>
        <v>CPV</v>
      </c>
      <c r="C1461" s="22">
        <v>2023</v>
      </c>
      <c r="D1461" t="s">
        <v>113</v>
      </c>
      <c r="E1461" t="s">
        <v>14</v>
      </c>
      <c r="F1461" t="str">
        <f>VLOOKUP(G1461,PC!B:D,2,FALSE)</f>
        <v>BEBIDAS</v>
      </c>
      <c r="G1461" s="4" t="s">
        <v>26</v>
      </c>
      <c r="H1461" s="1">
        <v>983.18</v>
      </c>
    </row>
    <row r="1462" spans="2:8" x14ac:dyDescent="0.2">
      <c r="B1462" t="str">
        <f>VLOOKUP(G1462,PC!B:D,3,FALSE)</f>
        <v>CPV</v>
      </c>
      <c r="C1462" s="22">
        <v>2023</v>
      </c>
      <c r="D1462" t="s">
        <v>113</v>
      </c>
      <c r="E1462" t="s">
        <v>14</v>
      </c>
      <c r="F1462" t="str">
        <f>VLOOKUP(G1462,PC!B:D,2,FALSE)</f>
        <v>BEBIDAS</v>
      </c>
      <c r="G1462" s="4" t="s">
        <v>25</v>
      </c>
      <c r="H1462" s="1">
        <f>1622.08-H1461</f>
        <v>638.9</v>
      </c>
    </row>
    <row r="1463" spans="2:8" x14ac:dyDescent="0.2">
      <c r="B1463" t="str">
        <f>VLOOKUP(G1463,PC!B:D,3,FALSE)</f>
        <v>CPV</v>
      </c>
      <c r="C1463" s="22">
        <v>2023</v>
      </c>
      <c r="D1463" t="s">
        <v>113</v>
      </c>
      <c r="E1463" t="s">
        <v>35</v>
      </c>
      <c r="F1463" t="str">
        <f>VLOOKUP(G1463,PC!B:D,2,FALSE)</f>
        <v>BEBIDAS</v>
      </c>
      <c r="G1463" s="4" t="s">
        <v>39</v>
      </c>
      <c r="H1463" s="1">
        <f>179.28+358.56</f>
        <v>537.84</v>
      </c>
    </row>
    <row r="1464" spans="2:8" x14ac:dyDescent="0.2">
      <c r="B1464" t="str">
        <f>VLOOKUP(G1464,PC!B:D,3,FALSE)</f>
        <v>CPV</v>
      </c>
      <c r="C1464" s="22">
        <v>2023</v>
      </c>
      <c r="D1464" t="s">
        <v>113</v>
      </c>
      <c r="E1464" t="s">
        <v>35</v>
      </c>
      <c r="F1464" t="str">
        <f>VLOOKUP(G1464,PC!B:D,2,FALSE)</f>
        <v>COMIDA</v>
      </c>
      <c r="G1464" s="4" t="s">
        <v>38</v>
      </c>
      <c r="H1464" s="1">
        <f>485.6+123.96</f>
        <v>609.56000000000006</v>
      </c>
    </row>
    <row r="1465" spans="2:8" x14ac:dyDescent="0.2">
      <c r="B1465" t="str">
        <f>VLOOKUP(G1465,PC!B:D,3,FALSE)</f>
        <v>CPV</v>
      </c>
      <c r="C1465" s="22">
        <v>2023</v>
      </c>
      <c r="D1465" t="s">
        <v>113</v>
      </c>
      <c r="E1465" t="s">
        <v>35</v>
      </c>
      <c r="F1465" t="str">
        <f>VLOOKUP(G1465,PC!B:D,2,FALSE)</f>
        <v>SOBREMESA</v>
      </c>
      <c r="G1465" s="4" t="s">
        <v>23</v>
      </c>
      <c r="H1465" s="1">
        <v>125.14</v>
      </c>
    </row>
    <row r="1466" spans="2:8" x14ac:dyDescent="0.2">
      <c r="B1466" t="str">
        <f>VLOOKUP(G1466,PC!B:D,3,FALSE)</f>
        <v>CPV</v>
      </c>
      <c r="C1466" s="22">
        <v>2023</v>
      </c>
      <c r="D1466" t="s">
        <v>113</v>
      </c>
      <c r="E1466" t="s">
        <v>35</v>
      </c>
      <c r="F1466" t="str">
        <f>VLOOKUP(G1466,PC!B:D,2,FALSE)</f>
        <v>OUTROS</v>
      </c>
      <c r="G1466" s="4" t="s">
        <v>37</v>
      </c>
      <c r="H1466" s="1">
        <f>1563.5-H1465-H1464-H1463</f>
        <v>290.95999999999981</v>
      </c>
    </row>
    <row r="1467" spans="2:8" x14ac:dyDescent="0.2">
      <c r="B1467" t="str">
        <f>VLOOKUP(G1467,PC!B:D,3,FALSE)</f>
        <v>CPV</v>
      </c>
      <c r="C1467" s="22">
        <v>2023</v>
      </c>
      <c r="D1467" t="s">
        <v>113</v>
      </c>
      <c r="E1467" t="s">
        <v>129</v>
      </c>
      <c r="F1467" t="str">
        <f>VLOOKUP(G1467,PC!B:D,2,FALSE)</f>
        <v>BEBIDAS</v>
      </c>
      <c r="G1467" s="4" t="s">
        <v>51</v>
      </c>
      <c r="H1467" s="1">
        <v>40</v>
      </c>
    </row>
    <row r="1468" spans="2:8" x14ac:dyDescent="0.2">
      <c r="B1468" t="str">
        <f>VLOOKUP(G1468,PC!B:D,3,FALSE)</f>
        <v>CPV</v>
      </c>
      <c r="C1468" s="22">
        <v>2023</v>
      </c>
      <c r="D1468" t="s">
        <v>113</v>
      </c>
      <c r="E1468" t="s">
        <v>129</v>
      </c>
      <c r="F1468" t="str">
        <f>VLOOKUP(G1468,PC!B:D,2,FALSE)</f>
        <v>COMIDA</v>
      </c>
      <c r="G1468" s="4" t="s">
        <v>22</v>
      </c>
      <c r="H1468" s="1">
        <v>7.5</v>
      </c>
    </row>
    <row r="1469" spans="2:8" x14ac:dyDescent="0.2">
      <c r="B1469" t="str">
        <f>VLOOKUP(G1469,PC!B:D,3,FALSE)</f>
        <v>CPV</v>
      </c>
      <c r="C1469" s="22">
        <v>2023</v>
      </c>
      <c r="D1469" t="s">
        <v>113</v>
      </c>
      <c r="E1469" t="s">
        <v>129</v>
      </c>
      <c r="F1469" t="str">
        <f>VLOOKUP(G1469,PC!B:D,2,FALSE)</f>
        <v>BEBIDAS</v>
      </c>
      <c r="G1469" s="4" t="s">
        <v>39</v>
      </c>
      <c r="H1469" s="1">
        <v>105</v>
      </c>
    </row>
    <row r="1470" spans="2:8" x14ac:dyDescent="0.2">
      <c r="B1470" t="str">
        <f>VLOOKUP(G1470,PC!B:D,3,FALSE)</f>
        <v>CPV</v>
      </c>
      <c r="C1470" s="22">
        <v>2023</v>
      </c>
      <c r="D1470" t="s">
        <v>113</v>
      </c>
      <c r="E1470" t="s">
        <v>129</v>
      </c>
      <c r="F1470" t="str">
        <f>VLOOKUP(G1470,PC!B:D,2,FALSE)</f>
        <v>OUTROS</v>
      </c>
      <c r="G1470" s="4" t="s">
        <v>58</v>
      </c>
      <c r="H1470" s="1">
        <v>140</v>
      </c>
    </row>
    <row r="1471" spans="2:8" x14ac:dyDescent="0.2">
      <c r="B1471" t="str">
        <f>VLOOKUP(G1471,PC!B:D,3,FALSE)</f>
        <v>CPV</v>
      </c>
      <c r="C1471" s="22">
        <v>2023</v>
      </c>
      <c r="D1471" t="s">
        <v>113</v>
      </c>
      <c r="E1471" t="s">
        <v>129</v>
      </c>
      <c r="F1471" t="str">
        <f>VLOOKUP(G1471,PC!B:D,2,FALSE)</f>
        <v>BEBIDAS</v>
      </c>
      <c r="G1471" s="4" t="s">
        <v>39</v>
      </c>
      <c r="H1471" s="1">
        <v>94</v>
      </c>
    </row>
    <row r="1472" spans="2:8" x14ac:dyDescent="0.2">
      <c r="B1472" t="str">
        <f>VLOOKUP(G1472,PC!B:D,3,FALSE)</f>
        <v>CPV</v>
      </c>
      <c r="C1472" s="22">
        <v>2023</v>
      </c>
      <c r="D1472" t="s">
        <v>113</v>
      </c>
      <c r="E1472" t="s">
        <v>129</v>
      </c>
      <c r="F1472" t="str">
        <f>VLOOKUP(G1472,PC!B:D,2,FALSE)</f>
        <v>BEBIDAS</v>
      </c>
      <c r="G1472" s="4" t="s">
        <v>48</v>
      </c>
      <c r="H1472" s="1">
        <v>286</v>
      </c>
    </row>
    <row r="1473" spans="2:9" x14ac:dyDescent="0.2">
      <c r="B1473" t="str">
        <f>VLOOKUP(G1473,PC!B:D,3,FALSE)</f>
        <v>CPV</v>
      </c>
      <c r="C1473" s="22">
        <v>2023</v>
      </c>
      <c r="D1473" t="s">
        <v>113</v>
      </c>
      <c r="E1473" t="s">
        <v>129</v>
      </c>
      <c r="F1473" t="str">
        <f>VLOOKUP(G1473,PC!B:D,2,FALSE)</f>
        <v>SOBREMESA</v>
      </c>
      <c r="G1473" s="4" t="s">
        <v>7</v>
      </c>
      <c r="H1473" s="1">
        <f>72+35</f>
        <v>107</v>
      </c>
    </row>
    <row r="1474" spans="2:9" x14ac:dyDescent="0.2">
      <c r="B1474" t="str">
        <f>VLOOKUP(G1474,PC!B:D,3,FALSE)</f>
        <v>CPV</v>
      </c>
      <c r="C1474" s="22">
        <v>2023</v>
      </c>
      <c r="D1474" t="s">
        <v>113</v>
      </c>
      <c r="E1474" t="s">
        <v>129</v>
      </c>
      <c r="F1474" t="str">
        <f>VLOOKUP(G1474,PC!B:D,2,FALSE)</f>
        <v>COMIDA</v>
      </c>
      <c r="G1474" s="4" t="s">
        <v>145</v>
      </c>
      <c r="H1474" s="1">
        <v>27.2</v>
      </c>
    </row>
    <row r="1475" spans="2:9" x14ac:dyDescent="0.2">
      <c r="B1475" t="str">
        <f>VLOOKUP(G1475,PC!B:D,3,FALSE)</f>
        <v>CPV</v>
      </c>
      <c r="C1475" s="22">
        <v>2023</v>
      </c>
      <c r="D1475" t="s">
        <v>113</v>
      </c>
      <c r="E1475" t="s">
        <v>129</v>
      </c>
      <c r="F1475" t="str">
        <f>VLOOKUP(G1475,PC!B:D,2,FALSE)</f>
        <v>BEBIDAS</v>
      </c>
      <c r="G1475" s="4" t="s">
        <v>25</v>
      </c>
      <c r="H1475" s="1">
        <v>253</v>
      </c>
    </row>
    <row r="1476" spans="2:9" x14ac:dyDescent="0.2">
      <c r="B1476" t="str">
        <f>VLOOKUP(G1476,PC!B:D,3,FALSE)</f>
        <v>CPV</v>
      </c>
      <c r="C1476" s="22">
        <v>2023</v>
      </c>
      <c r="D1476" t="s">
        <v>113</v>
      </c>
      <c r="E1476" t="s">
        <v>129</v>
      </c>
      <c r="F1476" t="str">
        <f>VLOOKUP(G1476,PC!B:D,2,FALSE)</f>
        <v>BEBIDAS</v>
      </c>
      <c r="G1476" s="4" t="s">
        <v>48</v>
      </c>
      <c r="H1476" s="1">
        <v>184.8</v>
      </c>
    </row>
    <row r="1477" spans="2:9" x14ac:dyDescent="0.2">
      <c r="B1477" t="str">
        <f>VLOOKUP(G1477,PC!B:D,3,FALSE)</f>
        <v>DESPESA PESSOAL</v>
      </c>
      <c r="C1477" s="22">
        <v>2023</v>
      </c>
      <c r="D1477" t="s">
        <v>113</v>
      </c>
      <c r="F1477" t="str">
        <f>VLOOKUP(G1477,PC!B:D,2,FALSE)</f>
        <v>DESPESA PESSOAL</v>
      </c>
      <c r="G1477" s="4" t="s">
        <v>124</v>
      </c>
      <c r="H1477" s="1">
        <v>600</v>
      </c>
    </row>
    <row r="1478" spans="2:9" x14ac:dyDescent="0.2">
      <c r="B1478" t="str">
        <f>VLOOKUP(G1478,PC!B:D,3,FALSE)</f>
        <v>RECEITA</v>
      </c>
      <c r="C1478" s="22">
        <v>2023</v>
      </c>
      <c r="D1478" t="s">
        <v>113</v>
      </c>
      <c r="F1478" t="str">
        <f>VLOOKUP(G1478,PC!B:D,2,FALSE)</f>
        <v>RECEITA</v>
      </c>
      <c r="G1478" s="4" t="s">
        <v>54</v>
      </c>
      <c r="H1478" s="1">
        <v>600</v>
      </c>
    </row>
    <row r="1479" spans="2:9" x14ac:dyDescent="0.2">
      <c r="B1479" t="str">
        <f>VLOOKUP(G1479,PC!B:D,3,FALSE)</f>
        <v>CPV</v>
      </c>
      <c r="C1479" s="22">
        <v>2023</v>
      </c>
      <c r="D1479" t="s">
        <v>113</v>
      </c>
      <c r="E1479" t="s">
        <v>129</v>
      </c>
      <c r="F1479" t="str">
        <f>VLOOKUP(G1479,PC!B:D,2,FALSE)</f>
        <v>COMIDA</v>
      </c>
      <c r="G1479" s="4" t="s">
        <v>12</v>
      </c>
      <c r="H1479" s="1">
        <v>500</v>
      </c>
    </row>
    <row r="1480" spans="2:9" x14ac:dyDescent="0.2">
      <c r="B1480" t="str">
        <f>VLOOKUP(G1480,PC!B:D,3,FALSE)</f>
        <v>CPV</v>
      </c>
      <c r="C1480" s="22">
        <v>2023</v>
      </c>
      <c r="D1480" t="s">
        <v>113</v>
      </c>
      <c r="E1480" t="s">
        <v>129</v>
      </c>
      <c r="F1480" t="str">
        <f>VLOOKUP(G1480,PC!B:D,2,FALSE)</f>
        <v>SOBREMESA</v>
      </c>
      <c r="G1480" s="4" t="s">
        <v>7</v>
      </c>
      <c r="H1480" s="1">
        <v>153</v>
      </c>
    </row>
    <row r="1481" spans="2:9" x14ac:dyDescent="0.2">
      <c r="B1481" t="str">
        <f>VLOOKUP(G1481,PC!B:D,3,FALSE)</f>
        <v>CPV</v>
      </c>
      <c r="C1481" s="22">
        <v>2023</v>
      </c>
      <c r="D1481" t="s">
        <v>113</v>
      </c>
      <c r="E1481" t="s">
        <v>129</v>
      </c>
      <c r="F1481" t="str">
        <f>VLOOKUP(G1481,PC!B:D,2,FALSE)</f>
        <v>COMIDA</v>
      </c>
      <c r="G1481" s="4" t="s">
        <v>12</v>
      </c>
      <c r="H1481" s="1">
        <v>56</v>
      </c>
      <c r="I1481" s="7" t="s">
        <v>188</v>
      </c>
    </row>
    <row r="1482" spans="2:9" x14ac:dyDescent="0.2">
      <c r="B1482" t="str">
        <f>VLOOKUP(G1482,PC!B:D,3,FALSE)</f>
        <v>CPV</v>
      </c>
      <c r="C1482" s="22">
        <v>2023</v>
      </c>
      <c r="D1482" t="s">
        <v>113</v>
      </c>
      <c r="E1482" t="s">
        <v>129</v>
      </c>
      <c r="F1482" t="str">
        <f>VLOOKUP(G1482,PC!B:D,2,FALSE)</f>
        <v>CIGARRO</v>
      </c>
      <c r="G1482" s="4" t="s">
        <v>57</v>
      </c>
      <c r="H1482" s="1">
        <f>880+62+256</f>
        <v>1198</v>
      </c>
    </row>
    <row r="1483" spans="2:9" x14ac:dyDescent="0.2">
      <c r="B1483" t="str">
        <f>VLOOKUP(G1483,PC!B:D,3,FALSE)</f>
        <v>CPV</v>
      </c>
      <c r="C1483" s="22">
        <v>2023</v>
      </c>
      <c r="D1483" t="s">
        <v>113</v>
      </c>
      <c r="E1483" t="s">
        <v>129</v>
      </c>
      <c r="F1483" t="str">
        <f>VLOOKUP(G1483,PC!B:D,2,FALSE)</f>
        <v>CIGARRO</v>
      </c>
      <c r="G1483" s="4" t="s">
        <v>131</v>
      </c>
      <c r="H1483" s="1">
        <f>70+57</f>
        <v>127</v>
      </c>
    </row>
    <row r="1484" spans="2:9" x14ac:dyDescent="0.2">
      <c r="B1484" t="str">
        <f>VLOOKUP(G1484,PC!B:D,3,FALSE)</f>
        <v>CPV</v>
      </c>
      <c r="C1484" s="22">
        <v>2023</v>
      </c>
      <c r="D1484" t="s">
        <v>113</v>
      </c>
      <c r="E1484" t="s">
        <v>129</v>
      </c>
      <c r="F1484" t="str">
        <f>VLOOKUP(G1484,PC!B:D,2,FALSE)</f>
        <v>COMIDA</v>
      </c>
      <c r="G1484" s="4" t="s">
        <v>155</v>
      </c>
      <c r="H1484" s="1">
        <v>565</v>
      </c>
    </row>
    <row r="1485" spans="2:9" x14ac:dyDescent="0.2">
      <c r="B1485" t="str">
        <f>VLOOKUP(G1485,PC!B:D,3,FALSE)</f>
        <v>CPV</v>
      </c>
      <c r="C1485" s="22">
        <v>2023</v>
      </c>
      <c r="D1485" t="s">
        <v>113</v>
      </c>
      <c r="E1485" t="s">
        <v>129</v>
      </c>
      <c r="F1485" t="str">
        <f>VLOOKUP(G1485,PC!B:D,2,FALSE)</f>
        <v>COMIDA</v>
      </c>
      <c r="G1485" s="4" t="s">
        <v>12</v>
      </c>
      <c r="H1485" s="1">
        <v>117</v>
      </c>
    </row>
    <row r="1486" spans="2:9" x14ac:dyDescent="0.2">
      <c r="B1486" t="str">
        <f>VLOOKUP(G1486,PC!B:D,3,FALSE)</f>
        <v>RECEITA</v>
      </c>
      <c r="C1486" s="22">
        <v>2023</v>
      </c>
      <c r="D1486" t="s">
        <v>113</v>
      </c>
      <c r="F1486" t="str">
        <f>VLOOKUP(G1486,PC!B:D,2,FALSE)</f>
        <v>RECEITA</v>
      </c>
      <c r="G1486" s="4" t="s">
        <v>64</v>
      </c>
      <c r="H1486" s="1">
        <f>37.15+29.48</f>
        <v>66.63</v>
      </c>
    </row>
    <row r="1487" spans="2:9" x14ac:dyDescent="0.2">
      <c r="B1487" t="str">
        <f>VLOOKUP(G1487,PC!B:D,3,FALSE)</f>
        <v>DESPESA OPERACIONAL</v>
      </c>
      <c r="C1487" s="22">
        <v>2023</v>
      </c>
      <c r="D1487" t="s">
        <v>113</v>
      </c>
      <c r="F1487" t="str">
        <f>VLOOKUP(G1487,PC!B:D,2,FALSE)</f>
        <v>DESPESA OPERACIONAL</v>
      </c>
      <c r="G1487" s="4" t="s">
        <v>73</v>
      </c>
      <c r="H1487" s="1">
        <f>1282.02+1615.35</f>
        <v>2897.37</v>
      </c>
    </row>
    <row r="1488" spans="2:9" x14ac:dyDescent="0.2">
      <c r="B1488" t="str">
        <f>VLOOKUP(G1488,PC!B:D,3,FALSE)</f>
        <v>CPV</v>
      </c>
      <c r="C1488" s="22">
        <v>2023</v>
      </c>
      <c r="D1488" t="s">
        <v>113</v>
      </c>
      <c r="E1488" t="s">
        <v>77</v>
      </c>
      <c r="F1488" t="str">
        <f>VLOOKUP(G1488,PC!B:D,2,FALSE)</f>
        <v>OUTROS</v>
      </c>
      <c r="G1488" s="4" t="s">
        <v>37</v>
      </c>
      <c r="H1488" s="1">
        <v>478.83</v>
      </c>
    </row>
    <row r="1489" spans="2:8" x14ac:dyDescent="0.2">
      <c r="B1489" t="str">
        <f>VLOOKUP(G1489,PC!B:D,3,FALSE)</f>
        <v>CPV</v>
      </c>
      <c r="C1489" s="22">
        <v>2023</v>
      </c>
      <c r="D1489" t="s">
        <v>113</v>
      </c>
      <c r="E1489" t="s">
        <v>89</v>
      </c>
      <c r="F1489" t="str">
        <f>VLOOKUP(G1489,PC!B:D,2,FALSE)</f>
        <v>OUTROS</v>
      </c>
      <c r="G1489" s="4" t="s">
        <v>37</v>
      </c>
      <c r="H1489" s="1">
        <f>407+617.67</f>
        <v>1024.67</v>
      </c>
    </row>
    <row r="1490" spans="2:8" x14ac:dyDescent="0.2">
      <c r="B1490" t="str">
        <f>VLOOKUP(G1490,PC!B:D,3,FALSE)</f>
        <v>SERV. PUBLICOS</v>
      </c>
      <c r="C1490" s="22">
        <v>2023</v>
      </c>
      <c r="D1490" t="s">
        <v>112</v>
      </c>
      <c r="F1490" t="str">
        <f>VLOOKUP(G1490,PC!B:D,2,FALSE)</f>
        <v>SERV. PUBLICOS</v>
      </c>
      <c r="G1490" s="4" t="s">
        <v>190</v>
      </c>
      <c r="H1490" s="1">
        <v>200</v>
      </c>
    </row>
    <row r="1491" spans="2:8" x14ac:dyDescent="0.2">
      <c r="B1491" t="str">
        <f>VLOOKUP(G1491,PC!B:D,3,FALSE)</f>
        <v>SERV. PUBLICOS</v>
      </c>
      <c r="C1491" s="22">
        <v>2023</v>
      </c>
      <c r="D1491" t="s">
        <v>111</v>
      </c>
      <c r="F1491" t="str">
        <f>VLOOKUP(G1491,PC!B:D,2,FALSE)</f>
        <v>SERV. PUBLICOS</v>
      </c>
      <c r="G1491" s="4" t="s">
        <v>189</v>
      </c>
      <c r="H1491" s="1">
        <v>1636.51</v>
      </c>
    </row>
    <row r="1492" spans="2:8" x14ac:dyDescent="0.2">
      <c r="B1492" t="str">
        <f>VLOOKUP(G1492,PC!B:D,3,FALSE)</f>
        <v>SERV. PUBLICOS</v>
      </c>
      <c r="C1492" s="22">
        <v>2023</v>
      </c>
      <c r="D1492" t="s">
        <v>112</v>
      </c>
      <c r="F1492" t="str">
        <f>VLOOKUP(G1492,PC!B:D,2,FALSE)</f>
        <v>SERV. PUBLICOS</v>
      </c>
      <c r="G1492" s="4" t="s">
        <v>91</v>
      </c>
      <c r="H1492" s="1">
        <v>1720.86</v>
      </c>
    </row>
    <row r="1493" spans="2:8" x14ac:dyDescent="0.2">
      <c r="B1493" t="str">
        <f>VLOOKUP(G1493,PC!B:D,3,FALSE)</f>
        <v>CPV</v>
      </c>
      <c r="C1493" s="22">
        <v>2023</v>
      </c>
      <c r="D1493" t="s">
        <v>113</v>
      </c>
      <c r="E1493" t="s">
        <v>101</v>
      </c>
      <c r="F1493" t="str">
        <f>VLOOKUP(G1493,PC!B:D,2,FALSE)</f>
        <v>COMIDA</v>
      </c>
      <c r="G1493" s="4" t="s">
        <v>34</v>
      </c>
      <c r="H1493" s="1">
        <v>353.14</v>
      </c>
    </row>
    <row r="1494" spans="2:8" x14ac:dyDescent="0.2">
      <c r="B1494" t="str">
        <f>VLOOKUP(G1494,PC!B:D,3,FALSE)</f>
        <v>CPV</v>
      </c>
      <c r="C1494" s="22">
        <v>2023</v>
      </c>
      <c r="D1494" t="s">
        <v>113</v>
      </c>
      <c r="E1494" t="s">
        <v>14</v>
      </c>
      <c r="F1494" t="str">
        <f>VLOOKUP(G1494,PC!B:D,2,FALSE)</f>
        <v>BEBIDAS</v>
      </c>
      <c r="G1494" s="4" t="s">
        <v>25</v>
      </c>
      <c r="H1494" s="1">
        <v>452.4</v>
      </c>
    </row>
    <row r="1495" spans="2:8" x14ac:dyDescent="0.2">
      <c r="B1495" t="str">
        <f>VLOOKUP(G1495,PC!B:D,3,FALSE)</f>
        <v>CPV</v>
      </c>
      <c r="C1495" s="22">
        <v>2023</v>
      </c>
      <c r="D1495" t="s">
        <v>113</v>
      </c>
      <c r="E1495" t="s">
        <v>35</v>
      </c>
      <c r="F1495" t="str">
        <f>VLOOKUP(G1495,PC!B:D,2,FALSE)</f>
        <v>BEBIDAS</v>
      </c>
      <c r="G1495" s="4" t="s">
        <v>51</v>
      </c>
      <c r="H1495" s="1">
        <v>78.08</v>
      </c>
    </row>
    <row r="1496" spans="2:8" x14ac:dyDescent="0.2">
      <c r="B1496" t="str">
        <f>VLOOKUP(G1496,PC!B:D,3,FALSE)</f>
        <v>CPV</v>
      </c>
      <c r="C1496" s="22">
        <v>2023</v>
      </c>
      <c r="D1496" t="s">
        <v>113</v>
      </c>
      <c r="E1496" t="s">
        <v>35</v>
      </c>
      <c r="F1496" t="str">
        <f>VLOOKUP(G1496,PC!B:D,2,FALSE)</f>
        <v>LIMPEZA</v>
      </c>
      <c r="G1496" s="4" t="s">
        <v>43</v>
      </c>
      <c r="H1496" s="1">
        <f>57.17+35.05+103.73+103.73</f>
        <v>299.68</v>
      </c>
    </row>
    <row r="1497" spans="2:8" x14ac:dyDescent="0.2">
      <c r="B1497" t="str">
        <f>VLOOKUP(G1497,PC!B:D,3,FALSE)</f>
        <v>CPV</v>
      </c>
      <c r="C1497" s="22">
        <v>2023</v>
      </c>
      <c r="D1497" t="s">
        <v>113</v>
      </c>
      <c r="E1497" t="s">
        <v>35</v>
      </c>
      <c r="F1497" t="str">
        <f>VLOOKUP(G1497,PC!B:D,2,FALSE)</f>
        <v>OUTROS</v>
      </c>
      <c r="G1497" s="4" t="s">
        <v>37</v>
      </c>
      <c r="H1497" s="1">
        <f>248.82+67.71+67.71</f>
        <v>384.23999999999995</v>
      </c>
    </row>
    <row r="1498" spans="2:8" x14ac:dyDescent="0.2">
      <c r="B1498" t="str">
        <f>VLOOKUP(G1498,PC!B:D,3,FALSE)</f>
        <v>CPV</v>
      </c>
      <c r="C1498" s="22">
        <v>2023</v>
      </c>
      <c r="D1498" t="s">
        <v>113</v>
      </c>
      <c r="E1498" t="s">
        <v>28</v>
      </c>
      <c r="F1498" t="str">
        <f>VLOOKUP(G1498,PC!B:D,2,FALSE)</f>
        <v>BEBIDAS</v>
      </c>
      <c r="G1498" s="4" t="s">
        <v>26</v>
      </c>
      <c r="H1498" s="1">
        <v>3932.97</v>
      </c>
    </row>
    <row r="1499" spans="2:8" x14ac:dyDescent="0.2">
      <c r="B1499" t="str">
        <f>VLOOKUP(G1499,PC!B:D,3,FALSE)</f>
        <v>CPV</v>
      </c>
      <c r="C1499" s="22">
        <v>2023</v>
      </c>
      <c r="D1499" t="s">
        <v>113</v>
      </c>
      <c r="E1499" t="s">
        <v>45</v>
      </c>
      <c r="F1499" t="str">
        <f>VLOOKUP(G1499,PC!B:D,2,FALSE)</f>
        <v>OUTROS</v>
      </c>
      <c r="G1499" s="4" t="s">
        <v>37</v>
      </c>
      <c r="H1499" s="1">
        <v>410.55</v>
      </c>
    </row>
    <row r="1500" spans="2:8" x14ac:dyDescent="0.2">
      <c r="B1500" t="str">
        <f>VLOOKUP(G1500,PC!B:D,3,FALSE)</f>
        <v>CPV</v>
      </c>
      <c r="C1500" s="22">
        <v>2023</v>
      </c>
      <c r="D1500" t="s">
        <v>113</v>
      </c>
      <c r="E1500" t="s">
        <v>129</v>
      </c>
      <c r="F1500" t="str">
        <f>VLOOKUP(G1500,PC!B:D,2,FALSE)</f>
        <v>BEBIDAS</v>
      </c>
      <c r="G1500" s="4" t="s">
        <v>48</v>
      </c>
      <c r="H1500" s="1">
        <v>240</v>
      </c>
    </row>
    <row r="1501" spans="2:8" x14ac:dyDescent="0.2">
      <c r="B1501" t="str">
        <f>VLOOKUP(G1501,PC!B:D,3,FALSE)</f>
        <v>CPV</v>
      </c>
      <c r="C1501" s="22">
        <v>2023</v>
      </c>
      <c r="D1501" t="s">
        <v>113</v>
      </c>
      <c r="E1501" t="s">
        <v>49</v>
      </c>
      <c r="F1501" t="str">
        <f>VLOOKUP(G1501,PC!B:D,2,FALSE)</f>
        <v>CIGARRO</v>
      </c>
      <c r="G1501" s="4" t="s">
        <v>52</v>
      </c>
      <c r="H1501" s="1">
        <v>6635.63</v>
      </c>
    </row>
    <row r="1502" spans="2:8" x14ac:dyDescent="0.2">
      <c r="B1502" t="str">
        <f>VLOOKUP(G1502,PC!B:D,3,FALSE)</f>
        <v>CPV</v>
      </c>
      <c r="C1502" s="22">
        <v>2023</v>
      </c>
      <c r="D1502" t="s">
        <v>113</v>
      </c>
      <c r="E1502" t="s">
        <v>21</v>
      </c>
      <c r="F1502" t="str">
        <f>VLOOKUP(G1502,PC!B:D,2,FALSE)</f>
        <v>SOBREMESA</v>
      </c>
      <c r="G1502" s="4" t="s">
        <v>23</v>
      </c>
      <c r="H1502" s="1">
        <v>347.88</v>
      </c>
    </row>
    <row r="1503" spans="2:8" x14ac:dyDescent="0.2">
      <c r="B1503" t="str">
        <f>VLOOKUP(G1503,PC!B:D,3,FALSE)</f>
        <v>CPV</v>
      </c>
      <c r="C1503" s="22">
        <v>2023</v>
      </c>
      <c r="D1503" t="s">
        <v>113</v>
      </c>
      <c r="E1503" t="s">
        <v>97</v>
      </c>
      <c r="F1503" t="str">
        <f>VLOOKUP(G1503,PC!B:D,2,FALSE)</f>
        <v>OUTROS</v>
      </c>
      <c r="G1503" s="4" t="s">
        <v>37</v>
      </c>
      <c r="H1503" s="1">
        <f>324.12+753.4</f>
        <v>1077.52</v>
      </c>
    </row>
    <row r="1504" spans="2:8" x14ac:dyDescent="0.2">
      <c r="B1504" t="str">
        <f>VLOOKUP(G1504,PC!B:D,3,FALSE)</f>
        <v>CPV</v>
      </c>
      <c r="C1504" s="22">
        <v>2023</v>
      </c>
      <c r="D1504" t="s">
        <v>113</v>
      </c>
      <c r="E1504" t="s">
        <v>28</v>
      </c>
      <c r="F1504" t="str">
        <f>VLOOKUP(G1504,PC!B:D,2,FALSE)</f>
        <v>BEBIDAS</v>
      </c>
      <c r="G1504" s="4" t="s">
        <v>26</v>
      </c>
      <c r="H1504" s="1">
        <v>1600.39</v>
      </c>
    </row>
    <row r="1505" spans="2:8" x14ac:dyDescent="0.2">
      <c r="B1505" t="str">
        <f>VLOOKUP(G1505,PC!B:D,3,FALSE)</f>
        <v>CPV</v>
      </c>
      <c r="C1505" s="22">
        <v>2023</v>
      </c>
      <c r="D1505" t="s">
        <v>113</v>
      </c>
      <c r="E1505" t="s">
        <v>40</v>
      </c>
      <c r="F1505" t="str">
        <f>VLOOKUP(G1505,PC!B:D,2,FALSE)</f>
        <v>BEBIDAS</v>
      </c>
      <c r="G1505" s="4" t="s">
        <v>26</v>
      </c>
      <c r="H1505" s="1">
        <v>119.8</v>
      </c>
    </row>
    <row r="1506" spans="2:8" x14ac:dyDescent="0.2">
      <c r="B1506" t="str">
        <f>VLOOKUP(G1506,PC!B:D,3,FALSE)</f>
        <v>CPV</v>
      </c>
      <c r="C1506" s="22">
        <v>2023</v>
      </c>
      <c r="D1506" t="s">
        <v>113</v>
      </c>
      <c r="E1506" t="s">
        <v>28</v>
      </c>
      <c r="F1506" t="str">
        <f>VLOOKUP(G1506,PC!B:D,2,FALSE)</f>
        <v>BEBIDAS</v>
      </c>
      <c r="G1506" s="4" t="s">
        <v>26</v>
      </c>
      <c r="H1506" s="1">
        <v>1927.46</v>
      </c>
    </row>
    <row r="1507" spans="2:8" x14ac:dyDescent="0.2">
      <c r="B1507" t="str">
        <f>VLOOKUP(G1507,PC!B:D,3,FALSE)</f>
        <v>CPV</v>
      </c>
      <c r="C1507" s="22">
        <v>2023</v>
      </c>
      <c r="D1507" t="s">
        <v>113</v>
      </c>
      <c r="E1507" t="s">
        <v>45</v>
      </c>
      <c r="F1507" t="str">
        <f>VLOOKUP(G1507,PC!B:D,2,FALSE)</f>
        <v>COMIDA</v>
      </c>
      <c r="G1507" s="4" t="s">
        <v>38</v>
      </c>
      <c r="H1507" s="1">
        <v>361.74</v>
      </c>
    </row>
    <row r="1508" spans="2:8" x14ac:dyDescent="0.2">
      <c r="B1508" t="str">
        <f>VLOOKUP(G1508,PC!B:D,3,FALSE)</f>
        <v>CPV</v>
      </c>
      <c r="C1508" s="22">
        <v>2023</v>
      </c>
      <c r="D1508" t="s">
        <v>113</v>
      </c>
      <c r="E1508" t="s">
        <v>159</v>
      </c>
      <c r="F1508" t="str">
        <f>VLOOKUP(G1508,PC!B:D,2,FALSE)</f>
        <v>COMIDA</v>
      </c>
      <c r="G1508" s="4" t="s">
        <v>34</v>
      </c>
      <c r="H1508" s="1">
        <v>251.52</v>
      </c>
    </row>
    <row r="1509" spans="2:8" x14ac:dyDescent="0.2">
      <c r="B1509" t="str">
        <f>VLOOKUP(G1509,PC!B:D,3,FALSE)</f>
        <v>CPV</v>
      </c>
      <c r="C1509" s="22">
        <v>2023</v>
      </c>
      <c r="D1509" t="s">
        <v>113</v>
      </c>
      <c r="E1509" t="s">
        <v>14</v>
      </c>
      <c r="F1509" t="str">
        <f>VLOOKUP(G1509,PC!B:D,2,FALSE)</f>
        <v>BEBIDAS</v>
      </c>
      <c r="G1509" s="4" t="s">
        <v>46</v>
      </c>
      <c r="H1509" s="1">
        <f>29.79+59.57+33.66</f>
        <v>123.02</v>
      </c>
    </row>
    <row r="1510" spans="2:8" x14ac:dyDescent="0.2">
      <c r="B1510" t="str">
        <f>VLOOKUP(G1510,PC!B:D,3,FALSE)</f>
        <v>CPV</v>
      </c>
      <c r="C1510" s="22">
        <v>2023</v>
      </c>
      <c r="D1510" t="s">
        <v>113</v>
      </c>
      <c r="E1510" t="s">
        <v>14</v>
      </c>
      <c r="F1510" t="str">
        <f>VLOOKUP(G1510,PC!B:D,2,FALSE)</f>
        <v>BEBIDAS</v>
      </c>
      <c r="G1510" s="4" t="s">
        <v>25</v>
      </c>
      <c r="H1510" s="1">
        <f>756.68-H1509</f>
        <v>633.66</v>
      </c>
    </row>
    <row r="1511" spans="2:8" x14ac:dyDescent="0.2">
      <c r="B1511" t="str">
        <f>VLOOKUP(G1511,PC!B:D,3,FALSE)</f>
        <v>CPV</v>
      </c>
      <c r="C1511" s="22">
        <v>2023</v>
      </c>
      <c r="D1511" t="s">
        <v>113</v>
      </c>
      <c r="E1511" t="s">
        <v>156</v>
      </c>
      <c r="F1511" t="str">
        <f>VLOOKUP(G1511,PC!B:D,2,FALSE)</f>
        <v>BEBIDAS</v>
      </c>
      <c r="G1511" s="4" t="s">
        <v>26</v>
      </c>
      <c r="H1511" s="1">
        <v>215.3</v>
      </c>
    </row>
    <row r="1512" spans="2:8" x14ac:dyDescent="0.2">
      <c r="B1512" t="str">
        <f>VLOOKUP(G1512,PC!B:D,3,FALSE)</f>
        <v>RECEITA</v>
      </c>
      <c r="C1512" s="22">
        <v>2023</v>
      </c>
      <c r="D1512" t="s">
        <v>113</v>
      </c>
      <c r="F1512" t="str">
        <f>VLOOKUP(G1512,PC!B:D,2,FALSE)</f>
        <v>RECEITA</v>
      </c>
      <c r="G1512" s="4" t="s">
        <v>83</v>
      </c>
      <c r="H1512" s="1">
        <v>43.06</v>
      </c>
    </row>
    <row r="1513" spans="2:8" x14ac:dyDescent="0.2">
      <c r="B1513" t="str">
        <f>VLOOKUP(G1513,PC!B:D,3,FALSE)</f>
        <v>DESPESA OPERACIONAL</v>
      </c>
      <c r="C1513" s="22">
        <v>2023</v>
      </c>
      <c r="D1513" t="s">
        <v>113</v>
      </c>
      <c r="F1513" t="str">
        <f>VLOOKUP(G1513,PC!B:D,2,FALSE)</f>
        <v>DESPESA OPERACIONAL</v>
      </c>
      <c r="G1513" s="4" t="s">
        <v>73</v>
      </c>
      <c r="H1513" s="1">
        <f>872.45</f>
        <v>872.45</v>
      </c>
    </row>
    <row r="1514" spans="2:8" x14ac:dyDescent="0.2">
      <c r="B1514" t="str">
        <f>VLOOKUP(G1514,PC!B:D,3,FALSE)</f>
        <v>RECEITA</v>
      </c>
      <c r="C1514" s="22">
        <v>2023</v>
      </c>
      <c r="D1514" t="s">
        <v>113</v>
      </c>
      <c r="F1514" t="str">
        <f>VLOOKUP(G1514,PC!B:D,2,FALSE)</f>
        <v>RECEITA</v>
      </c>
      <c r="G1514" s="4" t="s">
        <v>64</v>
      </c>
      <c r="H1514" s="1">
        <v>20.05</v>
      </c>
    </row>
    <row r="1515" spans="2:8" x14ac:dyDescent="0.2">
      <c r="B1515" t="str">
        <f>VLOOKUP(G1515,PC!B:D,3,FALSE)</f>
        <v>CPV</v>
      </c>
      <c r="C1515" s="22">
        <v>2023</v>
      </c>
      <c r="D1515" t="s">
        <v>113</v>
      </c>
      <c r="E1515" t="s">
        <v>129</v>
      </c>
      <c r="F1515" t="str">
        <f>VLOOKUP(G1515,PC!B:D,2,FALSE)</f>
        <v>CIGARRO</v>
      </c>
      <c r="G1515" s="4" t="s">
        <v>53</v>
      </c>
      <c r="H1515" s="1">
        <v>540</v>
      </c>
    </row>
    <row r="1516" spans="2:8" x14ac:dyDescent="0.2">
      <c r="B1516" t="str">
        <f>VLOOKUP(G1516,PC!B:D,3,FALSE)</f>
        <v>CPV</v>
      </c>
      <c r="C1516" s="22">
        <v>2023</v>
      </c>
      <c r="D1516" t="s">
        <v>113</v>
      </c>
      <c r="E1516" t="s">
        <v>129</v>
      </c>
      <c r="F1516" t="str">
        <f>VLOOKUP(G1516,PC!B:D,2,FALSE)</f>
        <v>COMIDA</v>
      </c>
      <c r="G1516" s="4" t="s">
        <v>18</v>
      </c>
      <c r="H1516" s="1">
        <v>32</v>
      </c>
    </row>
    <row r="1517" spans="2:8" x14ac:dyDescent="0.2">
      <c r="B1517" t="str">
        <f>VLOOKUP(G1517,PC!B:D,3,FALSE)</f>
        <v>CPV</v>
      </c>
      <c r="C1517" s="22">
        <v>2023</v>
      </c>
      <c r="D1517" t="s">
        <v>113</v>
      </c>
      <c r="E1517" t="s">
        <v>129</v>
      </c>
      <c r="F1517" t="str">
        <f>VLOOKUP(G1517,PC!B:D,2,FALSE)</f>
        <v>COMIDA</v>
      </c>
      <c r="G1517" s="4" t="s">
        <v>12</v>
      </c>
      <c r="H1517" s="1">
        <v>35</v>
      </c>
    </row>
    <row r="1518" spans="2:8" x14ac:dyDescent="0.2">
      <c r="B1518" t="str">
        <f>VLOOKUP(G1518,PC!B:D,3,FALSE)</f>
        <v>CPV</v>
      </c>
      <c r="C1518" s="22">
        <v>2023</v>
      </c>
      <c r="D1518" t="s">
        <v>113</v>
      </c>
      <c r="E1518" t="s">
        <v>5</v>
      </c>
      <c r="F1518" t="str">
        <f>VLOOKUP(G1518,PC!B:D,2,FALSE)</f>
        <v>COMIDA</v>
      </c>
      <c r="G1518" s="4" t="s">
        <v>18</v>
      </c>
      <c r="H1518" s="1">
        <v>239.16</v>
      </c>
    </row>
    <row r="1519" spans="2:8" x14ac:dyDescent="0.2">
      <c r="B1519" t="str">
        <f>VLOOKUP(G1519,PC!B:D,3,FALSE)</f>
        <v>CPV</v>
      </c>
      <c r="C1519" s="22">
        <v>2023</v>
      </c>
      <c r="D1519" t="s">
        <v>113</v>
      </c>
      <c r="E1519" t="s">
        <v>89</v>
      </c>
      <c r="F1519" t="str">
        <f>VLOOKUP(G1519,PC!B:D,2,FALSE)</f>
        <v>OUTROS</v>
      </c>
      <c r="G1519" s="4" t="s">
        <v>37</v>
      </c>
      <c r="H1519" s="1">
        <v>393.79</v>
      </c>
    </row>
    <row r="1520" spans="2:8" x14ac:dyDescent="0.2">
      <c r="B1520" t="str">
        <f>VLOOKUP(G1520,PC!B:D,3,FALSE)</f>
        <v>CPV</v>
      </c>
      <c r="C1520" s="22">
        <v>2023</v>
      </c>
      <c r="D1520" t="s">
        <v>113</v>
      </c>
      <c r="E1520" t="s">
        <v>77</v>
      </c>
      <c r="F1520" t="str">
        <f>VLOOKUP(G1520,PC!B:D,2,FALSE)</f>
        <v>OUTROS</v>
      </c>
      <c r="G1520" s="4" t="s">
        <v>37</v>
      </c>
      <c r="H1520" s="1">
        <v>901.12</v>
      </c>
    </row>
    <row r="1521" spans="2:8" x14ac:dyDescent="0.2">
      <c r="B1521" t="str">
        <f>VLOOKUP(G1521,PC!B:D,3,FALSE)</f>
        <v>CPV</v>
      </c>
      <c r="C1521" s="22">
        <v>2023</v>
      </c>
      <c r="D1521" t="s">
        <v>113</v>
      </c>
      <c r="E1521" t="s">
        <v>129</v>
      </c>
      <c r="F1521" t="str">
        <f>VLOOKUP(G1521,PC!B:D,2,FALSE)</f>
        <v>SOBREMESA</v>
      </c>
      <c r="G1521" s="4" t="s">
        <v>7</v>
      </c>
      <c r="H1521" s="1">
        <v>238</v>
      </c>
    </row>
    <row r="1522" spans="2:8" x14ac:dyDescent="0.2">
      <c r="B1522" t="str">
        <f>VLOOKUP(G1522,PC!B:D,3,FALSE)</f>
        <v>DESPESA OPERACIONAL</v>
      </c>
      <c r="C1522" s="22">
        <v>2023</v>
      </c>
      <c r="D1522" t="s">
        <v>113</v>
      </c>
      <c r="F1522" t="str">
        <f>VLOOKUP(G1522,PC!B:D,2,FALSE)</f>
        <v>DESPESA OPERACIONAL</v>
      </c>
      <c r="G1522" s="4" t="s">
        <v>70</v>
      </c>
      <c r="H1522" s="1">
        <v>124</v>
      </c>
    </row>
    <row r="1523" spans="2:8" x14ac:dyDescent="0.2">
      <c r="B1523" t="str">
        <f>VLOOKUP(G1523,PC!B:D,3,FALSE)</f>
        <v>CPV</v>
      </c>
      <c r="C1523" s="22">
        <v>2023</v>
      </c>
      <c r="D1523" t="s">
        <v>113</v>
      </c>
      <c r="E1523" t="s">
        <v>129</v>
      </c>
      <c r="F1523" t="str">
        <f>VLOOKUP(G1523,PC!B:D,2,FALSE)</f>
        <v>COMIDA</v>
      </c>
      <c r="G1523" s="4" t="s">
        <v>12</v>
      </c>
      <c r="H1523" s="1">
        <v>187.3</v>
      </c>
    </row>
    <row r="1524" spans="2:8" x14ac:dyDescent="0.2">
      <c r="B1524" t="str">
        <f>VLOOKUP(G1524,PC!B:D,3,FALSE)</f>
        <v>CPV</v>
      </c>
      <c r="C1524" s="22">
        <v>2023</v>
      </c>
      <c r="D1524" t="s">
        <v>113</v>
      </c>
      <c r="E1524" t="s">
        <v>129</v>
      </c>
      <c r="F1524" t="str">
        <f>VLOOKUP(G1524,PC!B:D,2,FALSE)</f>
        <v>COMIDA</v>
      </c>
      <c r="G1524" s="4" t="s">
        <v>12</v>
      </c>
      <c r="H1524" s="1">
        <v>500</v>
      </c>
    </row>
    <row r="1525" spans="2:8" x14ac:dyDescent="0.2">
      <c r="B1525" t="str">
        <f>VLOOKUP(G1525,PC!B:D,3,FALSE)</f>
        <v>CPV</v>
      </c>
      <c r="C1525" s="22">
        <v>2023</v>
      </c>
      <c r="D1525" t="s">
        <v>113</v>
      </c>
      <c r="E1525" t="s">
        <v>129</v>
      </c>
      <c r="F1525" t="str">
        <f>VLOOKUP(G1525,PC!B:D,2,FALSE)</f>
        <v>SOBREMESA</v>
      </c>
      <c r="G1525" s="4" t="s">
        <v>7</v>
      </c>
      <c r="H1525" s="1">
        <v>100</v>
      </c>
    </row>
    <row r="1526" spans="2:8" x14ac:dyDescent="0.2">
      <c r="B1526" t="str">
        <f>VLOOKUP(G1526,PC!B:D,3,FALSE)</f>
        <v>CPV</v>
      </c>
      <c r="C1526" s="22">
        <v>2023</v>
      </c>
      <c r="D1526" t="s">
        <v>113</v>
      </c>
      <c r="E1526" t="s">
        <v>129</v>
      </c>
      <c r="F1526" t="str">
        <f>VLOOKUP(G1526,PC!B:D,2,FALSE)</f>
        <v>CIGARRO</v>
      </c>
      <c r="G1526" s="4" t="s">
        <v>57</v>
      </c>
      <c r="H1526" s="1">
        <v>1066</v>
      </c>
    </row>
    <row r="1527" spans="2:8" x14ac:dyDescent="0.2">
      <c r="B1527" t="str">
        <f>VLOOKUP(G1527,PC!B:D,3,FALSE)</f>
        <v>CPV</v>
      </c>
      <c r="C1527" s="22">
        <v>2023</v>
      </c>
      <c r="D1527" t="s">
        <v>113</v>
      </c>
      <c r="E1527" t="s">
        <v>129</v>
      </c>
      <c r="F1527" t="str">
        <f>VLOOKUP(G1527,PC!B:D,2,FALSE)</f>
        <v>COMIDA</v>
      </c>
      <c r="G1527" s="4" t="s">
        <v>12</v>
      </c>
      <c r="H1527" s="1">
        <v>140</v>
      </c>
    </row>
    <row r="1528" spans="2:8" x14ac:dyDescent="0.2">
      <c r="B1528" t="str">
        <f>VLOOKUP(G1528,PC!B:D,3,FALSE)</f>
        <v>CPV</v>
      </c>
      <c r="C1528" s="22">
        <v>2023</v>
      </c>
      <c r="D1528" t="s">
        <v>113</v>
      </c>
      <c r="E1528" t="s">
        <v>129</v>
      </c>
      <c r="F1528" t="str">
        <f>VLOOKUP(G1528,PC!B:D,2,FALSE)</f>
        <v>COMIDA</v>
      </c>
      <c r="G1528" s="4" t="s">
        <v>145</v>
      </c>
      <c r="H1528" s="1">
        <v>40.200000000000003</v>
      </c>
    </row>
    <row r="1529" spans="2:8" x14ac:dyDescent="0.2">
      <c r="B1529" t="str">
        <f>VLOOKUP(G1529,PC!B:D,3,FALSE)</f>
        <v>CPV</v>
      </c>
      <c r="C1529" s="22">
        <v>2023</v>
      </c>
      <c r="D1529" t="s">
        <v>113</v>
      </c>
      <c r="E1529" t="s">
        <v>129</v>
      </c>
      <c r="F1529" t="str">
        <f>VLOOKUP(G1529,PC!B:D,2,FALSE)</f>
        <v>OUTROS</v>
      </c>
      <c r="G1529" s="4" t="s">
        <v>58</v>
      </c>
      <c r="H1529" s="1">
        <v>280</v>
      </c>
    </row>
    <row r="1530" spans="2:8" x14ac:dyDescent="0.2">
      <c r="B1530" t="str">
        <f>VLOOKUP(G1530,PC!B:D,3,FALSE)</f>
        <v>CPV</v>
      </c>
      <c r="C1530" s="22">
        <v>2023</v>
      </c>
      <c r="D1530" t="s">
        <v>113</v>
      </c>
      <c r="E1530" t="s">
        <v>129</v>
      </c>
      <c r="F1530" t="str">
        <f>VLOOKUP(G1530,PC!B:D,2,FALSE)</f>
        <v>SOBREMESA</v>
      </c>
      <c r="G1530" s="4" t="s">
        <v>7</v>
      </c>
      <c r="H1530" s="1">
        <v>76</v>
      </c>
    </row>
    <row r="1531" spans="2:8" x14ac:dyDescent="0.2">
      <c r="B1531" t="str">
        <f>VLOOKUP(G1531,PC!B:D,3,FALSE)</f>
        <v>CPV</v>
      </c>
      <c r="C1531" s="22">
        <v>2023</v>
      </c>
      <c r="D1531" t="s">
        <v>113</v>
      </c>
      <c r="E1531" t="s">
        <v>129</v>
      </c>
      <c r="F1531" t="str">
        <f>VLOOKUP(G1531,PC!B:D,2,FALSE)</f>
        <v>COMIDA</v>
      </c>
      <c r="G1531" s="4" t="s">
        <v>155</v>
      </c>
      <c r="H1531" s="1">
        <v>390</v>
      </c>
    </row>
    <row r="1532" spans="2:8" x14ac:dyDescent="0.2">
      <c r="B1532" t="str">
        <f>VLOOKUP(G1532,PC!B:D,3,FALSE)</f>
        <v>CPV</v>
      </c>
      <c r="C1532" s="22">
        <v>2023</v>
      </c>
      <c r="D1532" t="s">
        <v>113</v>
      </c>
      <c r="E1532" t="s">
        <v>129</v>
      </c>
      <c r="F1532" t="str">
        <f>VLOOKUP(G1532,PC!B:D,2,FALSE)</f>
        <v>BEBIDAS</v>
      </c>
      <c r="G1532" s="4" t="s">
        <v>46</v>
      </c>
      <c r="H1532" s="1">
        <v>154.9</v>
      </c>
    </row>
    <row r="1533" spans="2:8" x14ac:dyDescent="0.2">
      <c r="B1533" t="str">
        <f>VLOOKUP(G1533,PC!B:D,3,FALSE)</f>
        <v>CPV</v>
      </c>
      <c r="C1533" s="22">
        <v>2023</v>
      </c>
      <c r="D1533" t="s">
        <v>113</v>
      </c>
      <c r="E1533" t="s">
        <v>129</v>
      </c>
      <c r="F1533" t="str">
        <f>VLOOKUP(G1533,PC!B:D,2,FALSE)</f>
        <v>BEBIDAS</v>
      </c>
      <c r="G1533" s="4" t="s">
        <v>48</v>
      </c>
      <c r="H1533" s="1">
        <f>184.8*2</f>
        <v>369.6</v>
      </c>
    </row>
    <row r="1534" spans="2:8" x14ac:dyDescent="0.2">
      <c r="B1534" t="str">
        <f>VLOOKUP(G1534,PC!B:D,3,FALSE)</f>
        <v>DESPESA OPERACIONAL</v>
      </c>
      <c r="C1534" s="22">
        <v>2023</v>
      </c>
      <c r="D1534" t="s">
        <v>113</v>
      </c>
      <c r="F1534" t="str">
        <f>VLOOKUP(G1534,PC!B:D,2,FALSE)</f>
        <v>DESPESA OPERACIONAL</v>
      </c>
      <c r="G1534" s="4" t="s">
        <v>73</v>
      </c>
      <c r="H1534" s="1">
        <v>1940.86</v>
      </c>
    </row>
    <row r="1535" spans="2:8" x14ac:dyDescent="0.2">
      <c r="B1535" t="str">
        <f>VLOOKUP(G1535,PC!B:D,3,FALSE)</f>
        <v>RECEITA</v>
      </c>
      <c r="C1535" s="22">
        <v>2023</v>
      </c>
      <c r="D1535" t="s">
        <v>113</v>
      </c>
      <c r="F1535" t="str">
        <f>VLOOKUP(G1535,PC!B:D,2,FALSE)</f>
        <v>RECEITA</v>
      </c>
      <c r="G1535" s="4" t="s">
        <v>64</v>
      </c>
      <c r="H1535" s="1">
        <v>44.64</v>
      </c>
    </row>
    <row r="1536" spans="2:8" x14ac:dyDescent="0.2">
      <c r="B1536" t="str">
        <f>VLOOKUP(G1536,PC!B:D,3,FALSE)</f>
        <v>RECEITA</v>
      </c>
      <c r="C1536" s="22">
        <v>2023</v>
      </c>
      <c r="D1536" t="s">
        <v>113</v>
      </c>
      <c r="F1536" t="str">
        <f>VLOOKUP(G1536,PC!B:D,2,FALSE)</f>
        <v>RECEITA</v>
      </c>
      <c r="G1536" s="4" t="s">
        <v>54</v>
      </c>
      <c r="H1536" s="1">
        <f>48+20+300</f>
        <v>368</v>
      </c>
    </row>
    <row r="1537" spans="2:9" x14ac:dyDescent="0.2">
      <c r="B1537" t="str">
        <f>VLOOKUP(G1537,PC!B:D,3,FALSE)</f>
        <v>RECEITA</v>
      </c>
      <c r="C1537" s="22">
        <v>2023</v>
      </c>
      <c r="D1537" t="s">
        <v>113</v>
      </c>
      <c r="F1537" t="str">
        <f>VLOOKUP(G1537,PC!B:D,2,FALSE)</f>
        <v>RECEITA</v>
      </c>
      <c r="G1537" s="4" t="s">
        <v>54</v>
      </c>
      <c r="H1537" s="1">
        <v>2400</v>
      </c>
    </row>
    <row r="1538" spans="2:9" x14ac:dyDescent="0.2">
      <c r="B1538" t="str">
        <f>VLOOKUP(G1538,PC!B:D,3,FALSE)</f>
        <v>RECEITA</v>
      </c>
      <c r="C1538" s="22">
        <v>2023</v>
      </c>
      <c r="D1538" t="s">
        <v>113</v>
      </c>
      <c r="F1538" t="str">
        <f>VLOOKUP(G1538,PC!B:D,2,FALSE)</f>
        <v>RECEITA</v>
      </c>
      <c r="G1538" s="4" t="s">
        <v>54</v>
      </c>
      <c r="H1538" s="1">
        <v>1000</v>
      </c>
    </row>
    <row r="1539" spans="2:9" x14ac:dyDescent="0.2">
      <c r="B1539" t="str">
        <f>VLOOKUP(G1539,PC!B:D,3,FALSE)</f>
        <v>RECEITA</v>
      </c>
      <c r="C1539" s="22">
        <v>2023</v>
      </c>
      <c r="D1539" t="s">
        <v>113</v>
      </c>
      <c r="F1539" t="str">
        <f>VLOOKUP(G1539,PC!B:D,2,FALSE)</f>
        <v>RECEITA</v>
      </c>
      <c r="G1539" s="4" t="s">
        <v>54</v>
      </c>
      <c r="H1539" s="1">
        <v>1200</v>
      </c>
    </row>
    <row r="1540" spans="2:9" x14ac:dyDescent="0.2">
      <c r="B1540" t="str">
        <f>VLOOKUP(G1540,PC!B:D,3,FALSE)</f>
        <v>DESPESA PESSOAL</v>
      </c>
      <c r="C1540" s="22">
        <v>2023</v>
      </c>
      <c r="D1540" t="s">
        <v>113</v>
      </c>
      <c r="F1540" t="str">
        <f>VLOOKUP(G1540,PC!B:D,2,FALSE)</f>
        <v>DESPESA PESSOAL</v>
      </c>
      <c r="G1540" s="4" t="s">
        <v>56</v>
      </c>
      <c r="H1540" s="1">
        <v>300</v>
      </c>
      <c r="I1540" s="7" t="s">
        <v>150</v>
      </c>
    </row>
    <row r="1541" spans="2:9" x14ac:dyDescent="0.2">
      <c r="B1541" t="str">
        <f>VLOOKUP(G1541,PC!B:D,3,FALSE)</f>
        <v>DESPESA PESSOAL</v>
      </c>
      <c r="C1541" s="22">
        <v>2023</v>
      </c>
      <c r="D1541" t="s">
        <v>113</v>
      </c>
      <c r="F1541" t="str">
        <f>VLOOKUP(G1541,PC!B:D,2,FALSE)</f>
        <v>DESPESA PESSOAL</v>
      </c>
      <c r="G1541" s="4" t="s">
        <v>56</v>
      </c>
      <c r="H1541" s="1">
        <v>20</v>
      </c>
      <c r="I1541" s="7" t="s">
        <v>198</v>
      </c>
    </row>
    <row r="1542" spans="2:9" x14ac:dyDescent="0.2">
      <c r="B1542" t="str">
        <f>VLOOKUP(G1542,PC!B:D,3,FALSE)</f>
        <v>RECEITA</v>
      </c>
      <c r="C1542" s="22">
        <v>2023</v>
      </c>
      <c r="D1542" t="s">
        <v>113</v>
      </c>
      <c r="F1542" t="str">
        <f>VLOOKUP(G1542,PC!B:D,2,FALSE)</f>
        <v>RECEITA</v>
      </c>
      <c r="G1542" s="4" t="s">
        <v>54</v>
      </c>
      <c r="H1542" s="1">
        <v>1500</v>
      </c>
      <c r="I1542" s="24"/>
    </row>
    <row r="1543" spans="2:9" x14ac:dyDescent="0.2">
      <c r="B1543" t="str">
        <f>VLOOKUP(G1543,PC!B:D,3,FALSE)</f>
        <v>RECEITA</v>
      </c>
      <c r="C1543" s="22">
        <v>2023</v>
      </c>
      <c r="D1543" t="s">
        <v>113</v>
      </c>
      <c r="F1543" t="str">
        <f>VLOOKUP(G1543,PC!B:D,2,FALSE)</f>
        <v>RECEITA</v>
      </c>
      <c r="G1543" s="4" t="s">
        <v>54</v>
      </c>
      <c r="H1543" s="1">
        <v>790</v>
      </c>
    </row>
    <row r="1544" spans="2:9" x14ac:dyDescent="0.2">
      <c r="B1544" t="str">
        <f>VLOOKUP(G1544,PC!B:D,3,FALSE)</f>
        <v>RECEITA</v>
      </c>
      <c r="C1544" s="22">
        <v>2023</v>
      </c>
      <c r="D1544" t="s">
        <v>113</v>
      </c>
      <c r="F1544" t="str">
        <f>VLOOKUP(G1544,PC!B:D,2,FALSE)</f>
        <v>RECEITA</v>
      </c>
      <c r="G1544" s="4" t="s">
        <v>54</v>
      </c>
      <c r="H1544" s="1">
        <v>1400</v>
      </c>
      <c r="I1544" s="24"/>
    </row>
    <row r="1545" spans="2:9" x14ac:dyDescent="0.2">
      <c r="B1545" t="str">
        <f>VLOOKUP(G1545,PC!B:D,3,FALSE)</f>
        <v>DESPESA PESSOAL</v>
      </c>
      <c r="C1545" s="22">
        <v>2023</v>
      </c>
      <c r="D1545" t="s">
        <v>113</v>
      </c>
      <c r="F1545" t="str">
        <f>VLOOKUP(G1545,PC!B:D,2,FALSE)</f>
        <v>DESPESA PESSOAL</v>
      </c>
      <c r="G1545" s="4" t="s">
        <v>68</v>
      </c>
      <c r="H1545" s="1">
        <v>120</v>
      </c>
    </row>
    <row r="1546" spans="2:9" x14ac:dyDescent="0.2">
      <c r="B1546" t="str">
        <f>VLOOKUP(G1546,PC!B:D,3,FALSE)</f>
        <v>RECEITA</v>
      </c>
      <c r="C1546" s="22">
        <v>2023</v>
      </c>
      <c r="D1546" t="s">
        <v>113</v>
      </c>
      <c r="F1546" t="str">
        <f>VLOOKUP(G1546,PC!B:D,2,FALSE)</f>
        <v>RECEITA</v>
      </c>
      <c r="G1546" s="4" t="s">
        <v>54</v>
      </c>
      <c r="H1546" s="1">
        <v>1500</v>
      </c>
    </row>
    <row r="1547" spans="2:9" x14ac:dyDescent="0.2">
      <c r="B1547" t="str">
        <f>VLOOKUP(G1547,PC!B:D,3,FALSE)</f>
        <v>RECEITA</v>
      </c>
      <c r="C1547" s="22">
        <v>2023</v>
      </c>
      <c r="D1547" t="s">
        <v>113</v>
      </c>
      <c r="F1547" t="str">
        <f>VLOOKUP(G1547,PC!B:D,2,FALSE)</f>
        <v>RECEITA</v>
      </c>
      <c r="G1547" s="4" t="s">
        <v>54</v>
      </c>
      <c r="H1547" s="1">
        <v>120</v>
      </c>
    </row>
    <row r="1548" spans="2:9" x14ac:dyDescent="0.2">
      <c r="B1548" t="str">
        <f>VLOOKUP(G1548,PC!B:D,3,FALSE)</f>
        <v>RECEITA</v>
      </c>
      <c r="C1548" s="22">
        <v>2023</v>
      </c>
      <c r="D1548" t="s">
        <v>113</v>
      </c>
      <c r="F1548" t="str">
        <f>VLOOKUP(G1548,PC!B:D,2,FALSE)</f>
        <v>RECEITA</v>
      </c>
      <c r="G1548" s="4" t="s">
        <v>54</v>
      </c>
      <c r="H1548" s="1">
        <f>35+565+400+27.2</f>
        <v>1027.2</v>
      </c>
    </row>
    <row r="1549" spans="2:9" x14ac:dyDescent="0.2">
      <c r="B1549" t="str">
        <f>VLOOKUP(G1549,PC!B:D,3,FALSE)</f>
        <v>RECEITA</v>
      </c>
      <c r="C1549" s="22">
        <v>2023</v>
      </c>
      <c r="D1549" t="s">
        <v>113</v>
      </c>
      <c r="F1549" t="str">
        <f>VLOOKUP(G1549,PC!B:D,2,FALSE)</f>
        <v>RECEITA</v>
      </c>
      <c r="G1549" s="4" t="s">
        <v>54</v>
      </c>
      <c r="H1549" s="1">
        <v>800</v>
      </c>
    </row>
    <row r="1550" spans="2:9" x14ac:dyDescent="0.2">
      <c r="B1550" t="str">
        <f>VLOOKUP(G1550,PC!B:D,3,FALSE)</f>
        <v>RECEITA</v>
      </c>
      <c r="C1550" s="22">
        <v>2023</v>
      </c>
      <c r="D1550" t="s">
        <v>113</v>
      </c>
      <c r="F1550" t="str">
        <f>VLOOKUP(G1550,PC!B:D,2,FALSE)</f>
        <v>RECEITA</v>
      </c>
      <c r="G1550" s="4" t="s">
        <v>54</v>
      </c>
      <c r="H1550" s="1">
        <v>2200</v>
      </c>
    </row>
    <row r="1551" spans="2:9" x14ac:dyDescent="0.2">
      <c r="B1551" t="str">
        <f>VLOOKUP(G1551,PC!B:D,3,FALSE)</f>
        <v>RECEITAS NÃO OPERACIONAIS</v>
      </c>
      <c r="C1551" s="22">
        <v>2023</v>
      </c>
      <c r="D1551" t="s">
        <v>113</v>
      </c>
      <c r="F1551" t="str">
        <f>VLOOKUP(G1551,PC!B:D,2,FALSE)</f>
        <v>EMPRESTIMO</v>
      </c>
      <c r="G1551" s="4" t="s">
        <v>71</v>
      </c>
      <c r="H1551" s="1">
        <v>400</v>
      </c>
    </row>
    <row r="1552" spans="2:9" x14ac:dyDescent="0.2">
      <c r="B1552" t="str">
        <f>VLOOKUP(G1552,PC!B:D,3,FALSE)</f>
        <v>RECEITA</v>
      </c>
      <c r="C1552" s="22">
        <v>2023</v>
      </c>
      <c r="D1552" t="s">
        <v>113</v>
      </c>
      <c r="F1552" t="str">
        <f>VLOOKUP(G1552,PC!B:D,2,FALSE)</f>
        <v>RECEITA</v>
      </c>
      <c r="G1552" s="4" t="s">
        <v>54</v>
      </c>
      <c r="H1552" s="1">
        <f>56+154+56+140+72</f>
        <v>478</v>
      </c>
    </row>
    <row r="1553" spans="2:9" x14ac:dyDescent="0.2">
      <c r="B1553" t="str">
        <f>VLOOKUP(G1553,PC!B:D,3,FALSE)</f>
        <v>RECEITA</v>
      </c>
      <c r="C1553" s="22">
        <v>2023</v>
      </c>
      <c r="D1553" t="s">
        <v>113</v>
      </c>
      <c r="F1553" t="str">
        <f>VLOOKUP(G1553,PC!B:D,2,FALSE)</f>
        <v>RECEITA</v>
      </c>
      <c r="G1553" s="4" t="s">
        <v>54</v>
      </c>
      <c r="H1553" s="1">
        <v>600</v>
      </c>
    </row>
    <row r="1554" spans="2:9" x14ac:dyDescent="0.2">
      <c r="B1554" t="str">
        <f>VLOOKUP(G1554,PC!B:D,3,FALSE)</f>
        <v>RECEITA</v>
      </c>
      <c r="C1554" s="22">
        <v>2023</v>
      </c>
      <c r="D1554" t="s">
        <v>113</v>
      </c>
      <c r="F1554" t="str">
        <f>VLOOKUP(G1554,PC!B:D,2,FALSE)</f>
        <v>RECEITA</v>
      </c>
      <c r="G1554" s="4" t="s">
        <v>54</v>
      </c>
      <c r="H1554" s="1">
        <v>1300</v>
      </c>
    </row>
    <row r="1555" spans="2:9" x14ac:dyDescent="0.2">
      <c r="B1555" t="str">
        <f>VLOOKUP(G1555,PC!B:D,3,FALSE)</f>
        <v>RECEITA</v>
      </c>
      <c r="C1555" s="22">
        <v>2023</v>
      </c>
      <c r="D1555" t="s">
        <v>113</v>
      </c>
      <c r="F1555" t="str">
        <f>VLOOKUP(G1555,PC!B:D,2,FALSE)</f>
        <v>RECEITA</v>
      </c>
      <c r="G1555" s="4" t="s">
        <v>54</v>
      </c>
      <c r="H1555" s="1">
        <v>800</v>
      </c>
    </row>
    <row r="1556" spans="2:9" x14ac:dyDescent="0.2">
      <c r="B1556" t="str">
        <f>VLOOKUP(G1556,PC!B:D,3,FALSE)</f>
        <v>RECEITA</v>
      </c>
      <c r="C1556" s="22">
        <v>2023</v>
      </c>
      <c r="D1556" t="s">
        <v>113</v>
      </c>
      <c r="F1556" t="str">
        <f>VLOOKUP(G1556,PC!B:D,2,FALSE)</f>
        <v>RECEITA</v>
      </c>
      <c r="G1556" s="4" t="s">
        <v>54</v>
      </c>
      <c r="H1556" s="1">
        <f>35+268+32+244+253+94+250</f>
        <v>1176</v>
      </c>
    </row>
    <row r="1557" spans="2:9" x14ac:dyDescent="0.2">
      <c r="B1557" t="str">
        <f>VLOOKUP(G1557,PC!B:D,3,FALSE)</f>
        <v>RECEITA</v>
      </c>
      <c r="C1557" s="22">
        <v>2023</v>
      </c>
      <c r="D1557" t="s">
        <v>113</v>
      </c>
      <c r="F1557" t="str">
        <f>VLOOKUP(G1557,PC!B:D,2,FALSE)</f>
        <v>RECEITA</v>
      </c>
      <c r="G1557" s="4" t="s">
        <v>54</v>
      </c>
      <c r="H1557" s="1">
        <v>2950</v>
      </c>
    </row>
    <row r="1558" spans="2:9" x14ac:dyDescent="0.2">
      <c r="B1558" t="str">
        <f>VLOOKUP(G1558,PC!B:D,3,FALSE)</f>
        <v>RECEITA</v>
      </c>
      <c r="C1558" s="22">
        <v>2023</v>
      </c>
      <c r="D1558" t="s">
        <v>113</v>
      </c>
      <c r="F1558" t="str">
        <f>VLOOKUP(G1558,PC!B:D,2,FALSE)</f>
        <v>RECEITA</v>
      </c>
      <c r="G1558" s="4" t="s">
        <v>62</v>
      </c>
      <c r="H1558" s="1">
        <v>180</v>
      </c>
    </row>
    <row r="1559" spans="2:9" x14ac:dyDescent="0.2">
      <c r="B1559" t="str">
        <f>VLOOKUP(G1559,PC!B:D,3,FALSE)</f>
        <v>RECEITA</v>
      </c>
      <c r="C1559" s="22">
        <v>2023</v>
      </c>
      <c r="D1559" t="s">
        <v>113</v>
      </c>
      <c r="F1559" t="str">
        <f>VLOOKUP(G1559,PC!B:D,2,FALSE)</f>
        <v>RECEITA</v>
      </c>
      <c r="G1559" s="4" t="s">
        <v>54</v>
      </c>
      <c r="H1559" s="1">
        <v>1800</v>
      </c>
    </row>
    <row r="1560" spans="2:9" x14ac:dyDescent="0.2">
      <c r="B1560" t="str">
        <f>VLOOKUP(G1560,PC!B:D,3,FALSE)</f>
        <v>RECEITA</v>
      </c>
      <c r="C1560" s="22">
        <v>2023</v>
      </c>
      <c r="D1560" t="s">
        <v>113</v>
      </c>
      <c r="F1560" t="str">
        <f>VLOOKUP(G1560,PC!B:D,2,FALSE)</f>
        <v>RECEITA</v>
      </c>
      <c r="G1560" s="4" t="s">
        <v>54</v>
      </c>
      <c r="H1560" s="1">
        <f>44+218.4+184.8+117+47</f>
        <v>611.20000000000005</v>
      </c>
    </row>
    <row r="1561" spans="2:9" x14ac:dyDescent="0.2">
      <c r="B1561" t="str">
        <f>VLOOKUP(G1561,PC!B:D,3,FALSE)</f>
        <v>RECEITA</v>
      </c>
      <c r="C1561" s="22">
        <v>2023</v>
      </c>
      <c r="D1561" t="s">
        <v>113</v>
      </c>
      <c r="F1561" t="str">
        <f>VLOOKUP(G1561,PC!B:D,2,FALSE)</f>
        <v>RECEITA</v>
      </c>
      <c r="G1561" s="4" t="s">
        <v>54</v>
      </c>
      <c r="H1561" s="1">
        <v>1200</v>
      </c>
    </row>
    <row r="1562" spans="2:9" x14ac:dyDescent="0.2">
      <c r="B1562" t="str">
        <f>VLOOKUP(G1562,PC!B:D,3,FALSE)</f>
        <v>RECEITA</v>
      </c>
      <c r="C1562" s="22">
        <v>2023</v>
      </c>
      <c r="D1562" t="s">
        <v>113</v>
      </c>
      <c r="F1562" t="str">
        <f>VLOOKUP(G1562,PC!B:D,2,FALSE)</f>
        <v>RECEITA</v>
      </c>
      <c r="G1562" s="4" t="s">
        <v>54</v>
      </c>
      <c r="H1562" s="1">
        <v>1300</v>
      </c>
    </row>
    <row r="1563" spans="2:9" x14ac:dyDescent="0.2">
      <c r="B1563" t="str">
        <f>VLOOKUP(G1563,PC!B:D,3,FALSE)</f>
        <v>RECEITA</v>
      </c>
      <c r="C1563" s="22">
        <v>2023</v>
      </c>
      <c r="D1563" t="s">
        <v>113</v>
      </c>
      <c r="F1563" t="str">
        <f>VLOOKUP(G1563,PC!B:D,2,FALSE)</f>
        <v>RECEITA</v>
      </c>
      <c r="G1563" s="4" t="s">
        <v>54</v>
      </c>
      <c r="H1563" s="1">
        <v>1450</v>
      </c>
    </row>
    <row r="1564" spans="2:9" x14ac:dyDescent="0.2">
      <c r="B1564" t="str">
        <f>VLOOKUP(G1564,PC!B:D,3,FALSE)</f>
        <v>RECEITA</v>
      </c>
      <c r="C1564" s="22">
        <v>2023</v>
      </c>
      <c r="D1564" t="s">
        <v>113</v>
      </c>
      <c r="F1564" t="str">
        <f>VLOOKUP(G1564,PC!B:D,2,FALSE)</f>
        <v>RECEITA</v>
      </c>
      <c r="G1564" s="4" t="s">
        <v>54</v>
      </c>
      <c r="H1564" s="1">
        <f>105+114+215.3+119.8+300+40+70</f>
        <v>964.1</v>
      </c>
    </row>
    <row r="1565" spans="2:9" x14ac:dyDescent="0.2">
      <c r="B1565" t="str">
        <f>VLOOKUP(G1565,PC!B:D,3,FALSE)</f>
        <v>RECEITA</v>
      </c>
      <c r="C1565" s="22">
        <v>2023</v>
      </c>
      <c r="D1565" t="s">
        <v>113</v>
      </c>
      <c r="F1565" t="str">
        <f>VLOOKUP(G1565,PC!B:D,2,FALSE)</f>
        <v>RECEITA</v>
      </c>
      <c r="G1565" s="4" t="s">
        <v>54</v>
      </c>
      <c r="H1565" s="1">
        <v>2800</v>
      </c>
    </row>
    <row r="1566" spans="2:9" x14ac:dyDescent="0.2">
      <c r="B1566" t="str">
        <f>VLOOKUP(G1566,PC!B:D,3,FALSE)</f>
        <v>RECEITA</v>
      </c>
      <c r="C1566" s="22">
        <v>2023</v>
      </c>
      <c r="D1566" t="s">
        <v>113</v>
      </c>
      <c r="F1566" t="str">
        <f>VLOOKUP(G1566,PC!B:D,2,FALSE)</f>
        <v>RECEITA</v>
      </c>
      <c r="G1566" s="4" t="s">
        <v>54</v>
      </c>
      <c r="H1566" s="1">
        <v>500</v>
      </c>
    </row>
    <row r="1567" spans="2:9" x14ac:dyDescent="0.2">
      <c r="B1567" t="str">
        <f>VLOOKUP(G1567,PC!B:D,3,FALSE)</f>
        <v>DESPESA PESSOAL</v>
      </c>
      <c r="C1567" s="22">
        <v>2023</v>
      </c>
      <c r="D1567" t="s">
        <v>113</v>
      </c>
      <c r="F1567" t="str">
        <f>VLOOKUP(G1567,PC!B:D,2,FALSE)</f>
        <v>DESPESA PESSOAL</v>
      </c>
      <c r="G1567" s="4" t="s">
        <v>56</v>
      </c>
      <c r="H1567" s="1">
        <v>300</v>
      </c>
      <c r="I1567" s="7" t="s">
        <v>150</v>
      </c>
    </row>
    <row r="1568" spans="2:9" x14ac:dyDescent="0.2">
      <c r="B1568" t="str">
        <f>VLOOKUP(G1568,PC!B:D,3,FALSE)</f>
        <v>DESPESA PESSOAL</v>
      </c>
      <c r="C1568" s="22">
        <v>2023</v>
      </c>
      <c r="D1568" t="s">
        <v>113</v>
      </c>
      <c r="F1568" t="str">
        <f>VLOOKUP(G1568,PC!B:D,2,FALSE)</f>
        <v>DESPESA PESSOAL</v>
      </c>
      <c r="G1568" s="4" t="s">
        <v>56</v>
      </c>
      <c r="H1568" s="1">
        <v>40</v>
      </c>
      <c r="I1568" s="7" t="s">
        <v>198</v>
      </c>
    </row>
    <row r="1569" spans="2:9" x14ac:dyDescent="0.2">
      <c r="B1569" t="str">
        <f>VLOOKUP(G1569,PC!B:D,3,FALSE)</f>
        <v>DESPESA PESSOAL</v>
      </c>
      <c r="C1569" s="22">
        <v>2023</v>
      </c>
      <c r="D1569" t="s">
        <v>113</v>
      </c>
      <c r="F1569" t="str">
        <f>VLOOKUP(G1569,PC!B:D,2,FALSE)</f>
        <v>DESPESA PESSOAL</v>
      </c>
      <c r="G1569" s="4" t="s">
        <v>68</v>
      </c>
      <c r="H1569" s="1">
        <v>70</v>
      </c>
    </row>
    <row r="1570" spans="2:9" x14ac:dyDescent="0.2">
      <c r="B1570" t="str">
        <f>VLOOKUP(G1570,PC!B:D,3,FALSE)</f>
        <v>RECEITA</v>
      </c>
      <c r="C1570" s="22">
        <v>2023</v>
      </c>
      <c r="D1570" t="s">
        <v>113</v>
      </c>
      <c r="F1570" t="str">
        <f>VLOOKUP(G1570,PC!B:D,2,FALSE)</f>
        <v>RECEITA</v>
      </c>
      <c r="G1570" s="4" t="s">
        <v>54</v>
      </c>
      <c r="H1570" s="1">
        <v>3150</v>
      </c>
    </row>
    <row r="1571" spans="2:9" x14ac:dyDescent="0.2">
      <c r="B1571" t="str">
        <f>VLOOKUP(G1571,PC!B:D,3,FALSE)</f>
        <v>DESPESA PESSOAL</v>
      </c>
      <c r="C1571" s="22">
        <v>2023</v>
      </c>
      <c r="D1571" t="s">
        <v>113</v>
      </c>
      <c r="F1571" t="str">
        <f>VLOOKUP(G1571,PC!B:D,2,FALSE)</f>
        <v>DESPESA PESSOAL</v>
      </c>
      <c r="G1571" s="4" t="s">
        <v>56</v>
      </c>
      <c r="H1571" s="1">
        <v>350</v>
      </c>
      <c r="I1571" s="7" t="s">
        <v>197</v>
      </c>
    </row>
    <row r="1572" spans="2:9" x14ac:dyDescent="0.2">
      <c r="B1572" t="str">
        <f>VLOOKUP(G1572,PC!B:D,3,FALSE)</f>
        <v>RECEITA</v>
      </c>
      <c r="C1572" s="22">
        <v>2023</v>
      </c>
      <c r="D1572" t="s">
        <v>113</v>
      </c>
      <c r="F1572" t="str">
        <f>VLOOKUP(G1572,PC!B:D,2,FALSE)</f>
        <v>RECEITA</v>
      </c>
      <c r="G1572" s="4" t="s">
        <v>54</v>
      </c>
      <c r="H1572" s="1">
        <f>40.2+20</f>
        <v>60.2</v>
      </c>
    </row>
    <row r="1573" spans="2:9" x14ac:dyDescent="0.2">
      <c r="B1573" t="str">
        <f>VLOOKUP(G1573,PC!B:D,3,FALSE)</f>
        <v>RECEITA</v>
      </c>
      <c r="C1573" s="22">
        <v>2023</v>
      </c>
      <c r="D1573" t="s">
        <v>113</v>
      </c>
      <c r="F1573" t="str">
        <f>VLOOKUP(G1573,PC!B:D,2,FALSE)</f>
        <v>RECEITA</v>
      </c>
      <c r="G1573" s="4" t="s">
        <v>54</v>
      </c>
      <c r="H1573" s="1">
        <v>1000</v>
      </c>
    </row>
    <row r="1574" spans="2:9" x14ac:dyDescent="0.2">
      <c r="B1574" t="str">
        <f>VLOOKUP(G1574,PC!B:D,3,FALSE)</f>
        <v>RECEITA</v>
      </c>
      <c r="C1574" s="22">
        <v>2023</v>
      </c>
      <c r="D1574" t="s">
        <v>113</v>
      </c>
      <c r="F1574" t="str">
        <f>VLOOKUP(G1574,PC!B:D,2,FALSE)</f>
        <v>RECEITA</v>
      </c>
      <c r="G1574" s="4" t="s">
        <v>54</v>
      </c>
      <c r="H1574" s="1">
        <v>300</v>
      </c>
    </row>
    <row r="1575" spans="2:9" x14ac:dyDescent="0.2">
      <c r="B1575" t="str">
        <f>VLOOKUP(G1575,PC!B:D,3,FALSE)</f>
        <v>RECEITA</v>
      </c>
      <c r="C1575" s="22">
        <v>2023</v>
      </c>
      <c r="D1575" t="s">
        <v>113</v>
      </c>
      <c r="F1575" t="str">
        <f>VLOOKUP(G1575,PC!B:D,2,FALSE)</f>
        <v>RECEITA</v>
      </c>
      <c r="G1575" s="4" t="s">
        <v>54</v>
      </c>
      <c r="H1575" s="1">
        <v>1200</v>
      </c>
    </row>
    <row r="1576" spans="2:9" x14ac:dyDescent="0.2">
      <c r="B1576" t="str">
        <f>VLOOKUP(G1576,PC!B:D,3,FALSE)</f>
        <v>DESPESA PESSOAL</v>
      </c>
      <c r="C1576" s="22">
        <v>2023</v>
      </c>
      <c r="D1576" t="s">
        <v>113</v>
      </c>
      <c r="F1576" t="str">
        <f>VLOOKUP(G1576,PC!B:D,2,FALSE)</f>
        <v>DESPESA PESSOAL</v>
      </c>
      <c r="G1576" s="4" t="s">
        <v>56</v>
      </c>
      <c r="H1576" s="1">
        <v>20</v>
      </c>
      <c r="I1576" s="7" t="s">
        <v>198</v>
      </c>
    </row>
    <row r="1577" spans="2:9" x14ac:dyDescent="0.2">
      <c r="B1577" t="str">
        <f>VLOOKUP(G1577,PC!B:D,3,FALSE)</f>
        <v>RECEITA</v>
      </c>
      <c r="C1577" s="22">
        <v>2023</v>
      </c>
      <c r="D1577" t="s">
        <v>113</v>
      </c>
      <c r="F1577" t="str">
        <f>VLOOKUP(G1577,PC!B:D,2,FALSE)</f>
        <v>RECEITA</v>
      </c>
      <c r="G1577" s="4" t="s">
        <v>54</v>
      </c>
      <c r="H1577" s="1">
        <f>290+49</f>
        <v>339</v>
      </c>
    </row>
    <row r="1578" spans="2:9" x14ac:dyDescent="0.2">
      <c r="B1578" t="str">
        <f>VLOOKUP(G1578,PC!B:D,3,FALSE)</f>
        <v>CPV</v>
      </c>
      <c r="C1578" s="22">
        <v>2023</v>
      </c>
      <c r="D1578" t="s">
        <v>113</v>
      </c>
      <c r="F1578" t="str">
        <f>VLOOKUP(G1578,PC!B:D,2,FALSE)</f>
        <v>OUTROS</v>
      </c>
      <c r="G1578" s="4" t="s">
        <v>37</v>
      </c>
      <c r="H1578" s="1">
        <v>49</v>
      </c>
    </row>
    <row r="1579" spans="2:9" x14ac:dyDescent="0.2">
      <c r="B1579" t="str">
        <f>VLOOKUP(G1579,PC!B:D,3,FALSE)</f>
        <v>RECEITA</v>
      </c>
      <c r="C1579" s="22">
        <v>2023</v>
      </c>
      <c r="D1579" t="s">
        <v>113</v>
      </c>
      <c r="F1579" t="str">
        <f>VLOOKUP(G1579,PC!B:D,2,FALSE)</f>
        <v>RECEITA</v>
      </c>
      <c r="G1579" s="4" t="s">
        <v>54</v>
      </c>
      <c r="H1579" s="1">
        <v>450</v>
      </c>
    </row>
    <row r="1580" spans="2:9" x14ac:dyDescent="0.2">
      <c r="B1580" t="str">
        <f>VLOOKUP(G1580,PC!B:D,3,FALSE)</f>
        <v>RECEITA</v>
      </c>
      <c r="C1580" s="22">
        <v>2023</v>
      </c>
      <c r="D1580" t="s">
        <v>113</v>
      </c>
      <c r="F1580" t="str">
        <f>VLOOKUP(G1580,PC!B:D,2,FALSE)</f>
        <v>RECEITA</v>
      </c>
      <c r="G1580" s="4" t="s">
        <v>54</v>
      </c>
      <c r="H1580" s="1">
        <v>2700</v>
      </c>
    </row>
    <row r="1581" spans="2:9" x14ac:dyDescent="0.2">
      <c r="B1581" t="str">
        <f>VLOOKUP(G1581,PC!B:D,3,FALSE)</f>
        <v>RECEITA</v>
      </c>
      <c r="C1581" s="22">
        <v>2023</v>
      </c>
      <c r="D1581" t="s">
        <v>113</v>
      </c>
      <c r="F1581" t="str">
        <f>VLOOKUP(G1581,PC!B:D,2,FALSE)</f>
        <v>RECEITA</v>
      </c>
      <c r="G1581" s="4" t="s">
        <v>54</v>
      </c>
      <c r="H1581" s="1">
        <f>238+140+124+187.3+76+140</f>
        <v>905.3</v>
      </c>
    </row>
    <row r="1582" spans="2:9" x14ac:dyDescent="0.2">
      <c r="B1582" t="str">
        <f>VLOOKUP(G1582,PC!B:D,3,FALSE)</f>
        <v>DESPESA OPERACIONAL</v>
      </c>
      <c r="C1582" s="22">
        <v>2023</v>
      </c>
      <c r="D1582" t="s">
        <v>113</v>
      </c>
      <c r="F1582" t="str">
        <f>VLOOKUP(G1582,PC!B:D,2,FALSE)</f>
        <v>DESPESA OPERACIONAL</v>
      </c>
      <c r="G1582" s="4" t="s">
        <v>70</v>
      </c>
      <c r="H1582" s="1">
        <v>124</v>
      </c>
    </row>
    <row r="1583" spans="2:9" x14ac:dyDescent="0.2">
      <c r="B1583" t="str">
        <f>VLOOKUP(G1583,PC!B:D,3,FALSE)</f>
        <v>RECEITA</v>
      </c>
      <c r="C1583" s="22">
        <v>2023</v>
      </c>
      <c r="D1583" t="s">
        <v>113</v>
      </c>
      <c r="F1583" t="str">
        <f>VLOOKUP(G1583,PC!B:D,2,FALSE)</f>
        <v>RECEITA</v>
      </c>
      <c r="G1583" s="4" t="s">
        <v>62</v>
      </c>
      <c r="H1583" s="1">
        <v>150</v>
      </c>
    </row>
    <row r="1584" spans="2:9" x14ac:dyDescent="0.2">
      <c r="B1584" t="str">
        <f>VLOOKUP(G1584,PC!B:D,3,FALSE)</f>
        <v>RECEITA</v>
      </c>
      <c r="C1584" s="22">
        <v>2023</v>
      </c>
      <c r="D1584" t="s">
        <v>113</v>
      </c>
      <c r="F1584" t="str">
        <f>VLOOKUP(G1584,PC!B:D,2,FALSE)</f>
        <v>RECEITA</v>
      </c>
      <c r="G1584" s="4" t="s">
        <v>54</v>
      </c>
      <c r="H1584" s="1">
        <v>300</v>
      </c>
    </row>
    <row r="1585" spans="2:9" x14ac:dyDescent="0.2">
      <c r="B1585" t="str">
        <f>VLOOKUP(G1585,PC!B:D,3,FALSE)</f>
        <v>RECEITA</v>
      </c>
      <c r="C1585" s="22">
        <v>2023</v>
      </c>
      <c r="D1585" t="s">
        <v>113</v>
      </c>
      <c r="F1585" t="str">
        <f>VLOOKUP(G1585,PC!B:D,2,FALSE)</f>
        <v>RECEITA</v>
      </c>
      <c r="G1585" s="4" t="s">
        <v>54</v>
      </c>
      <c r="H1585" s="1">
        <v>1100</v>
      </c>
    </row>
    <row r="1586" spans="2:9" x14ac:dyDescent="0.2">
      <c r="B1586" t="str">
        <f>VLOOKUP(G1586,PC!B:D,3,FALSE)</f>
        <v>RECEITA</v>
      </c>
      <c r="C1586" s="22">
        <v>2023</v>
      </c>
      <c r="D1586" t="s">
        <v>113</v>
      </c>
      <c r="F1586" t="str">
        <f>VLOOKUP(G1586,PC!B:D,2,FALSE)</f>
        <v>RECEITA</v>
      </c>
      <c r="G1586" s="4" t="s">
        <v>54</v>
      </c>
      <c r="H1586" s="1">
        <v>450</v>
      </c>
    </row>
    <row r="1587" spans="2:9" x14ac:dyDescent="0.2">
      <c r="B1587" t="str">
        <f>VLOOKUP(G1587,PC!B:D,3,FALSE)</f>
        <v>RECEITA</v>
      </c>
      <c r="C1587" s="22">
        <v>2023</v>
      </c>
      <c r="D1587" t="s">
        <v>113</v>
      </c>
      <c r="F1587" t="str">
        <f>VLOOKUP(G1587,PC!B:D,2,FALSE)</f>
        <v>RECEITA</v>
      </c>
      <c r="G1587" s="4" t="s">
        <v>54</v>
      </c>
      <c r="H1587" s="1">
        <v>400</v>
      </c>
    </row>
    <row r="1588" spans="2:9" x14ac:dyDescent="0.2">
      <c r="B1588" t="str">
        <f>VLOOKUP(G1588,PC!B:D,3,FALSE)</f>
        <v>DESPESA PESSOAL</v>
      </c>
      <c r="C1588" s="22">
        <v>2023</v>
      </c>
      <c r="D1588" t="s">
        <v>113</v>
      </c>
      <c r="F1588" t="str">
        <f>VLOOKUP(G1588,PC!B:D,2,FALSE)</f>
        <v>DESPESA PESSOAL</v>
      </c>
      <c r="G1588" s="4" t="s">
        <v>68</v>
      </c>
      <c r="H1588" s="1">
        <v>20</v>
      </c>
    </row>
    <row r="1589" spans="2:9" x14ac:dyDescent="0.2">
      <c r="B1589" t="str">
        <f>VLOOKUP(G1589,PC!B:D,3,FALSE)</f>
        <v>RECEITA</v>
      </c>
      <c r="C1589" s="22">
        <v>2023</v>
      </c>
      <c r="D1589" t="s">
        <v>113</v>
      </c>
      <c r="F1589" t="str">
        <f>VLOOKUP(G1589,PC!B:D,2,FALSE)</f>
        <v>RECEITA</v>
      </c>
      <c r="G1589" s="4" t="s">
        <v>54</v>
      </c>
      <c r="H1589" s="1">
        <f>20+150+35+32+239+160+30</f>
        <v>666</v>
      </c>
    </row>
    <row r="1590" spans="2:9" x14ac:dyDescent="0.2">
      <c r="B1590" t="str">
        <f>VLOOKUP(G1590,PC!B:D,3,FALSE)</f>
        <v>RECEITA</v>
      </c>
      <c r="C1590" s="22">
        <v>2023</v>
      </c>
      <c r="D1590" t="s">
        <v>113</v>
      </c>
      <c r="F1590" t="str">
        <f>VLOOKUP(G1590,PC!B:D,2,FALSE)</f>
        <v>RECEITA</v>
      </c>
      <c r="G1590" s="4" t="s">
        <v>54</v>
      </c>
      <c r="H1590" s="1">
        <f>760+1700+1550</f>
        <v>4010</v>
      </c>
    </row>
    <row r="1591" spans="2:9" x14ac:dyDescent="0.2">
      <c r="B1591" t="str">
        <f>VLOOKUP(G1591,PC!B:D,3,FALSE)</f>
        <v>CPV</v>
      </c>
      <c r="C1591" s="22">
        <v>2023</v>
      </c>
      <c r="D1591" t="s">
        <v>113</v>
      </c>
      <c r="E1591" t="s">
        <v>129</v>
      </c>
      <c r="F1591" t="str">
        <f>VLOOKUP(G1591,PC!B:D,2,FALSE)</f>
        <v>OUTROS</v>
      </c>
      <c r="G1591" s="4" t="s">
        <v>37</v>
      </c>
      <c r="H1591" s="1">
        <v>33.75</v>
      </c>
      <c r="I1591" s="4" t="s">
        <v>149</v>
      </c>
    </row>
    <row r="1592" spans="2:9" x14ac:dyDescent="0.2">
      <c r="B1592" t="str">
        <f>VLOOKUP(G1592,PC!B:D,3,FALSE)</f>
        <v>CPV</v>
      </c>
      <c r="C1592" s="22">
        <v>2023</v>
      </c>
      <c r="D1592" t="s">
        <v>113</v>
      </c>
      <c r="E1592" t="s">
        <v>129</v>
      </c>
      <c r="F1592" t="str">
        <f>VLOOKUP(G1592,PC!B:D,2,FALSE)</f>
        <v>COMIDA</v>
      </c>
      <c r="G1592" s="4" t="s">
        <v>12</v>
      </c>
      <c r="H1592" s="1">
        <v>30</v>
      </c>
    </row>
    <row r="1593" spans="2:9" x14ac:dyDescent="0.2">
      <c r="B1593" t="str">
        <f>VLOOKUP(G1593,PC!B:D,3,FALSE)</f>
        <v>CPV</v>
      </c>
      <c r="C1593" s="22">
        <v>2023</v>
      </c>
      <c r="D1593" t="s">
        <v>113</v>
      </c>
      <c r="E1593" t="s">
        <v>129</v>
      </c>
      <c r="F1593" t="str">
        <f>VLOOKUP(G1593,PC!B:D,2,FALSE)</f>
        <v>COMIDA</v>
      </c>
      <c r="G1593" s="4" t="s">
        <v>18</v>
      </c>
      <c r="H1593" s="1">
        <v>66</v>
      </c>
    </row>
    <row r="1594" spans="2:9" x14ac:dyDescent="0.2">
      <c r="B1594" t="str">
        <f>VLOOKUP(G1594,PC!B:D,3,FALSE)</f>
        <v>RECEITA</v>
      </c>
      <c r="C1594" s="22">
        <v>2023</v>
      </c>
      <c r="D1594" t="s">
        <v>113</v>
      </c>
      <c r="F1594" t="str">
        <f>VLOOKUP(G1594,PC!B:D,2,FALSE)</f>
        <v>RECEITA</v>
      </c>
      <c r="G1594" s="4" t="s">
        <v>54</v>
      </c>
      <c r="H1594" s="1">
        <f>240+100+168+66+184.8+33.75+30</f>
        <v>822.55</v>
      </c>
    </row>
    <row r="1595" spans="2:9" x14ac:dyDescent="0.2">
      <c r="B1595" t="str">
        <f>VLOOKUP(G1595,PC!B:D,3,FALSE)</f>
        <v>RECEITA</v>
      </c>
      <c r="C1595" s="22">
        <v>2023</v>
      </c>
      <c r="D1595" t="s">
        <v>113</v>
      </c>
      <c r="F1595" t="str">
        <f>VLOOKUP(G1595,PC!B:D,2,FALSE)</f>
        <v>RECEITA</v>
      </c>
      <c r="G1595" s="4" t="s">
        <v>54</v>
      </c>
      <c r="H1595" s="1">
        <v>1000</v>
      </c>
    </row>
    <row r="1596" spans="2:9" x14ac:dyDescent="0.2">
      <c r="B1596" t="str">
        <f>VLOOKUP(G1596,PC!B:D,3,FALSE)</f>
        <v>RECEITA</v>
      </c>
      <c r="C1596" s="22">
        <v>2023</v>
      </c>
      <c r="D1596" t="s">
        <v>113</v>
      </c>
      <c r="F1596" t="str">
        <f>VLOOKUP(G1596,PC!B:D,2,FALSE)</f>
        <v>RECEITA</v>
      </c>
      <c r="G1596" s="4" t="s">
        <v>54</v>
      </c>
      <c r="H1596" s="1">
        <v>1000</v>
      </c>
    </row>
    <row r="1597" spans="2:9" x14ac:dyDescent="0.2">
      <c r="B1597" t="str">
        <f>VLOOKUP(G1597,PC!B:D,3,FALSE)</f>
        <v>DESPESA PESSOAL</v>
      </c>
      <c r="C1597" s="22">
        <v>2023</v>
      </c>
      <c r="D1597" t="s">
        <v>113</v>
      </c>
      <c r="F1597" t="str">
        <f>VLOOKUP(G1597,PC!B:D,2,FALSE)</f>
        <v>DESPESA PESSOAL</v>
      </c>
      <c r="G1597" s="4" t="s">
        <v>68</v>
      </c>
      <c r="H1597" s="1">
        <v>20</v>
      </c>
    </row>
    <row r="1598" spans="2:9" x14ac:dyDescent="0.2">
      <c r="B1598" t="str">
        <f>VLOOKUP(G1598,PC!B:D,3,FALSE)</f>
        <v>DESPESA PESSOAL</v>
      </c>
      <c r="C1598" s="22">
        <v>2023</v>
      </c>
      <c r="D1598" t="s">
        <v>113</v>
      </c>
      <c r="F1598" t="str">
        <f>VLOOKUP(G1598,PC!B:D,2,FALSE)</f>
        <v>DESPESA PESSOAL</v>
      </c>
      <c r="G1598" s="4" t="s">
        <v>56</v>
      </c>
      <c r="H1598" s="1">
        <v>300</v>
      </c>
      <c r="I1598" s="7" t="s">
        <v>150</v>
      </c>
    </row>
    <row r="1599" spans="2:9" x14ac:dyDescent="0.2">
      <c r="B1599" t="str">
        <f>VLOOKUP(G1599,PC!B:D,3,FALSE)</f>
        <v>DESPESA PESSOAL</v>
      </c>
      <c r="C1599" s="22">
        <v>2023</v>
      </c>
      <c r="D1599" t="s">
        <v>113</v>
      </c>
      <c r="F1599" t="str">
        <f>VLOOKUP(G1599,PC!B:D,2,FALSE)</f>
        <v>DESPESA PESSOAL</v>
      </c>
      <c r="G1599" s="4" t="s">
        <v>56</v>
      </c>
      <c r="H1599" s="1">
        <v>20</v>
      </c>
      <c r="I1599" s="7" t="s">
        <v>198</v>
      </c>
    </row>
    <row r="1600" spans="2:9" x14ac:dyDescent="0.2">
      <c r="B1600" t="str">
        <f>VLOOKUP(G1600,PC!B:D,3,FALSE)</f>
        <v>RECEITA</v>
      </c>
      <c r="C1600" s="22">
        <v>2023</v>
      </c>
      <c r="D1600" t="s">
        <v>113</v>
      </c>
      <c r="F1600" t="str">
        <f>VLOOKUP(G1600,PC!B:D,2,FALSE)</f>
        <v>RECEITA</v>
      </c>
      <c r="G1600" s="4" t="s">
        <v>54</v>
      </c>
      <c r="H1600" s="1">
        <f>20+300+20</f>
        <v>340</v>
      </c>
    </row>
    <row r="1601" spans="2:9" x14ac:dyDescent="0.2">
      <c r="B1601" t="str">
        <f>VLOOKUP(G1601,PC!B:D,3,FALSE)</f>
        <v>RECEITA</v>
      </c>
      <c r="C1601" s="22">
        <v>2023</v>
      </c>
      <c r="D1601" t="s">
        <v>113</v>
      </c>
      <c r="F1601" t="str">
        <f>VLOOKUP(G1601,PC!B:D,2,FALSE)</f>
        <v>RECEITA</v>
      </c>
      <c r="G1601" s="4" t="s">
        <v>54</v>
      </c>
      <c r="H1601" s="1">
        <f>1800+1300+700</f>
        <v>3800</v>
      </c>
    </row>
    <row r="1602" spans="2:9" x14ac:dyDescent="0.2">
      <c r="B1602" t="str">
        <f>VLOOKUP(G1602,PC!B:D,3,FALSE)</f>
        <v>DESPESA PESSOAL</v>
      </c>
      <c r="C1602" s="22">
        <v>2023</v>
      </c>
      <c r="D1602" t="s">
        <v>113</v>
      </c>
      <c r="F1602" t="str">
        <f>VLOOKUP(G1602,PC!B:D,2,FALSE)</f>
        <v>DESPESA PESSOAL</v>
      </c>
      <c r="G1602" s="4" t="s">
        <v>124</v>
      </c>
      <c r="H1602" s="1">
        <v>700</v>
      </c>
    </row>
    <row r="1603" spans="2:9" x14ac:dyDescent="0.2">
      <c r="B1603" t="str">
        <f>VLOOKUP(G1603,PC!B:D,3,FALSE)</f>
        <v>INVESTIMENTO</v>
      </c>
      <c r="C1603" s="22">
        <v>2023</v>
      </c>
      <c r="D1603" t="s">
        <v>113</v>
      </c>
      <c r="F1603" t="str">
        <f>VLOOKUP(G1603,PC!B:D,2,FALSE)</f>
        <v>INVESTIMENTO</v>
      </c>
      <c r="G1603" s="4" t="s">
        <v>130</v>
      </c>
      <c r="H1603" s="1">
        <v>350</v>
      </c>
      <c r="I1603" s="7" t="s">
        <v>193</v>
      </c>
    </row>
    <row r="1604" spans="2:9" x14ac:dyDescent="0.2">
      <c r="B1604" t="str">
        <f>VLOOKUP(G1604,PC!B:D,3,FALSE)</f>
        <v>DESPESA OPERACIONAL</v>
      </c>
      <c r="C1604" s="22">
        <v>2023</v>
      </c>
      <c r="D1604" t="s">
        <v>113</v>
      </c>
      <c r="F1604" t="str">
        <f>VLOOKUP(G1604,PC!B:D,2,FALSE)</f>
        <v>DESPESA OPERACIONAL</v>
      </c>
      <c r="G1604" s="4" t="s">
        <v>76</v>
      </c>
      <c r="H1604" s="1">
        <v>150</v>
      </c>
      <c r="I1604" s="7" t="s">
        <v>192</v>
      </c>
    </row>
    <row r="1605" spans="2:9" x14ac:dyDescent="0.2">
      <c r="B1605" t="str">
        <f>VLOOKUP(G1605,PC!B:D,3,FALSE)</f>
        <v>INVESTIMENTO</v>
      </c>
      <c r="C1605" s="22">
        <v>2023</v>
      </c>
      <c r="D1605" t="s">
        <v>113</v>
      </c>
      <c r="F1605" t="str">
        <f>VLOOKUP(G1605,PC!B:D,2,FALSE)</f>
        <v>INVESTIMENTO</v>
      </c>
      <c r="G1605" s="4" t="s">
        <v>130</v>
      </c>
      <c r="H1605" s="1">
        <v>170</v>
      </c>
    </row>
    <row r="1606" spans="2:9" x14ac:dyDescent="0.2">
      <c r="B1606" t="str">
        <f>VLOOKUP(G1606,PC!B:D,3,FALSE)</f>
        <v>INVESTIMENTO</v>
      </c>
      <c r="C1606" s="22">
        <v>2023</v>
      </c>
      <c r="D1606" t="s">
        <v>113</v>
      </c>
      <c r="F1606" t="str">
        <f>VLOOKUP(G1606,PC!B:D,2,FALSE)</f>
        <v>INVESTIMENTO</v>
      </c>
      <c r="G1606" s="4" t="s">
        <v>130</v>
      </c>
      <c r="H1606" s="1">
        <v>1600</v>
      </c>
      <c r="I1606" s="7" t="s">
        <v>194</v>
      </c>
    </row>
    <row r="1607" spans="2:9" x14ac:dyDescent="0.2">
      <c r="B1607" t="str">
        <f>VLOOKUP(G1607,PC!B:D,3,FALSE)</f>
        <v>CPV</v>
      </c>
      <c r="C1607" s="22">
        <v>2023</v>
      </c>
      <c r="D1607" t="s">
        <v>113</v>
      </c>
      <c r="E1607" t="s">
        <v>159</v>
      </c>
      <c r="F1607" t="str">
        <f>VLOOKUP(G1607,PC!B:D,2,FALSE)</f>
        <v>COMIDA</v>
      </c>
      <c r="G1607" s="4" t="s">
        <v>145</v>
      </c>
      <c r="H1607" s="1">
        <v>75.8</v>
      </c>
    </row>
    <row r="1608" spans="2:9" x14ac:dyDescent="0.2">
      <c r="B1608" t="str">
        <f>VLOOKUP(G1608,PC!B:D,3,FALSE)</f>
        <v>CPV</v>
      </c>
      <c r="C1608" s="22">
        <v>2023</v>
      </c>
      <c r="D1608" t="s">
        <v>113</v>
      </c>
      <c r="E1608" t="s">
        <v>159</v>
      </c>
      <c r="F1608" t="str">
        <f>VLOOKUP(G1608,PC!B:D,2,FALSE)</f>
        <v>COMIDA</v>
      </c>
      <c r="G1608" s="4" t="s">
        <v>22</v>
      </c>
      <c r="H1608" s="1">
        <f>147.38-H1607</f>
        <v>71.58</v>
      </c>
    </row>
    <row r="1609" spans="2:9" x14ac:dyDescent="0.2">
      <c r="B1609" t="str">
        <f>VLOOKUP(G1609,PC!B:D,3,FALSE)</f>
        <v>CPV</v>
      </c>
      <c r="C1609" s="22">
        <v>2023</v>
      </c>
      <c r="D1609" t="s">
        <v>113</v>
      </c>
      <c r="E1609" t="s">
        <v>159</v>
      </c>
      <c r="F1609" t="str">
        <f>VLOOKUP(G1609,PC!B:D,2,FALSE)</f>
        <v>LIMPEZA</v>
      </c>
      <c r="G1609" s="4" t="s">
        <v>43</v>
      </c>
      <c r="H1609" s="1">
        <v>51.3</v>
      </c>
    </row>
    <row r="1610" spans="2:9" x14ac:dyDescent="0.2">
      <c r="B1610" t="str">
        <f>VLOOKUP(G1610,PC!B:D,3,FALSE)</f>
        <v>CPV</v>
      </c>
      <c r="C1610" s="22">
        <v>2023</v>
      </c>
      <c r="D1610" t="s">
        <v>113</v>
      </c>
      <c r="E1610" t="s">
        <v>6</v>
      </c>
      <c r="F1610" t="str">
        <f>VLOOKUP(G1610,PC!B:D,2,FALSE)</f>
        <v>COMIDA</v>
      </c>
      <c r="G1610" s="4" t="s">
        <v>145</v>
      </c>
      <c r="H1610" s="1">
        <v>65</v>
      </c>
    </row>
    <row r="1611" spans="2:9" x14ac:dyDescent="0.2">
      <c r="B1611" t="str">
        <f>VLOOKUP(G1611,PC!B:D,3,FALSE)</f>
        <v>CPV</v>
      </c>
      <c r="C1611" s="22">
        <v>2023</v>
      </c>
      <c r="D1611" t="s">
        <v>113</v>
      </c>
      <c r="E1611" t="s">
        <v>35</v>
      </c>
      <c r="F1611" t="str">
        <f>VLOOKUP(G1611,PC!B:D,2,FALSE)</f>
        <v>LIMPEZA</v>
      </c>
      <c r="G1611" s="4" t="s">
        <v>43</v>
      </c>
      <c r="H1611" s="1">
        <f>64.92+121.92+70.5+146.06</f>
        <v>403.40000000000003</v>
      </c>
    </row>
    <row r="1612" spans="2:9" x14ac:dyDescent="0.2">
      <c r="B1612" t="str">
        <f>VLOOKUP(G1612,PC!B:D,3,FALSE)</f>
        <v>CPV</v>
      </c>
      <c r="C1612" s="22">
        <v>2023</v>
      </c>
      <c r="D1612" t="s">
        <v>113</v>
      </c>
      <c r="E1612" t="s">
        <v>35</v>
      </c>
      <c r="F1612" t="str">
        <f>VLOOKUP(G1612,PC!B:D,2,FALSE)</f>
        <v>SOBREMESA</v>
      </c>
      <c r="G1612" s="4" t="s">
        <v>47</v>
      </c>
      <c r="H1612" s="47">
        <f>19.32+19.32+45.72</f>
        <v>84.36</v>
      </c>
    </row>
    <row r="1613" spans="2:9" x14ac:dyDescent="0.2">
      <c r="B1613" t="str">
        <f>VLOOKUP(G1613,PC!B:D,3,FALSE)</f>
        <v>CPV</v>
      </c>
      <c r="C1613" s="22">
        <v>2023</v>
      </c>
      <c r="D1613" t="s">
        <v>113</v>
      </c>
      <c r="E1613" t="s">
        <v>164</v>
      </c>
      <c r="F1613" t="str">
        <f>VLOOKUP(G1613,PC!B:D,2,FALSE)</f>
        <v>COMIDA</v>
      </c>
      <c r="G1613" s="4" t="s">
        <v>33</v>
      </c>
      <c r="H1613" s="1">
        <v>85.31</v>
      </c>
    </row>
    <row r="1614" spans="2:9" x14ac:dyDescent="0.2">
      <c r="B1614" t="str">
        <f>VLOOKUP(G1614,PC!B:D,3,FALSE)</f>
        <v>CPV</v>
      </c>
      <c r="C1614" s="22">
        <v>2023</v>
      </c>
      <c r="D1614" t="s">
        <v>113</v>
      </c>
      <c r="E1614" t="s">
        <v>16</v>
      </c>
      <c r="F1614" t="str">
        <f>VLOOKUP(G1614,PC!B:D,2,FALSE)</f>
        <v>COMIDA</v>
      </c>
      <c r="G1614" s="4" t="s">
        <v>12</v>
      </c>
      <c r="H1614" s="1">
        <v>207.7</v>
      </c>
    </row>
    <row r="1615" spans="2:9" x14ac:dyDescent="0.2">
      <c r="B1615" t="str">
        <f>VLOOKUP(G1615,PC!B:D,3,FALSE)</f>
        <v>CPV</v>
      </c>
      <c r="C1615" s="22">
        <v>2023</v>
      </c>
      <c r="D1615" t="s">
        <v>113</v>
      </c>
      <c r="E1615" t="s">
        <v>20</v>
      </c>
      <c r="F1615" t="str">
        <f>VLOOKUP(G1615,PC!B:D,2,FALSE)</f>
        <v>COMIDA</v>
      </c>
      <c r="G1615" s="4" t="s">
        <v>29</v>
      </c>
      <c r="H1615" s="1">
        <v>85.7</v>
      </c>
    </row>
    <row r="1616" spans="2:9" x14ac:dyDescent="0.2">
      <c r="B1616" t="str">
        <f>VLOOKUP(G1616,PC!B:D,3,FALSE)</f>
        <v>CPV</v>
      </c>
      <c r="C1616" s="22">
        <v>2023</v>
      </c>
      <c r="D1616" t="s">
        <v>113</v>
      </c>
      <c r="E1616" t="s">
        <v>10</v>
      </c>
      <c r="F1616" t="str">
        <f>VLOOKUP(G1616,PC!B:D,2,FALSE)</f>
        <v>COMIDA</v>
      </c>
      <c r="G1616" s="4" t="s">
        <v>33</v>
      </c>
      <c r="H1616" s="1">
        <v>392.45</v>
      </c>
    </row>
    <row r="1617" spans="2:8" x14ac:dyDescent="0.2">
      <c r="B1617" t="str">
        <f>VLOOKUP(G1617,PC!B:D,3,FALSE)</f>
        <v>CPV</v>
      </c>
      <c r="C1617" s="22">
        <v>2023</v>
      </c>
      <c r="D1617" t="s">
        <v>113</v>
      </c>
      <c r="E1617" t="s">
        <v>24</v>
      </c>
      <c r="F1617" t="str">
        <f>VLOOKUP(G1617,PC!B:D,2,FALSE)</f>
        <v>COMIDA</v>
      </c>
      <c r="G1617" s="4" t="s">
        <v>33</v>
      </c>
      <c r="H1617" s="1">
        <v>364.15</v>
      </c>
    </row>
    <row r="1618" spans="2:8" x14ac:dyDescent="0.2">
      <c r="B1618" t="str">
        <f>VLOOKUP(G1618,PC!B:D,3,FALSE)</f>
        <v>CPV</v>
      </c>
      <c r="C1618" s="22">
        <v>2023</v>
      </c>
      <c r="D1618" t="s">
        <v>113</v>
      </c>
      <c r="E1618" t="s">
        <v>28</v>
      </c>
      <c r="F1618" t="str">
        <f>VLOOKUP(G1618,PC!B:D,2,FALSE)</f>
        <v>BEBIDAS</v>
      </c>
      <c r="G1618" s="4" t="s">
        <v>26</v>
      </c>
      <c r="H1618" s="1">
        <v>1879.13</v>
      </c>
    </row>
    <row r="1619" spans="2:8" x14ac:dyDescent="0.2">
      <c r="B1619" t="str">
        <f>VLOOKUP(G1619,PC!B:D,3,FALSE)</f>
        <v>CPV</v>
      </c>
      <c r="C1619" s="22">
        <v>2023</v>
      </c>
      <c r="D1619" t="s">
        <v>113</v>
      </c>
      <c r="E1619" t="s">
        <v>28</v>
      </c>
      <c r="F1619" t="str">
        <f>VLOOKUP(G1619,PC!B:D,2,FALSE)</f>
        <v>BEBIDAS</v>
      </c>
      <c r="G1619" s="4" t="s">
        <v>41</v>
      </c>
      <c r="H1619" s="1">
        <v>24.62</v>
      </c>
    </row>
    <row r="1620" spans="2:8" x14ac:dyDescent="0.2">
      <c r="B1620" t="str">
        <f>VLOOKUP(G1620,PC!B:D,3,FALSE)</f>
        <v>CPV</v>
      </c>
      <c r="C1620" s="22">
        <v>2023</v>
      </c>
      <c r="D1620" t="s">
        <v>113</v>
      </c>
      <c r="E1620" t="s">
        <v>14</v>
      </c>
      <c r="F1620" t="str">
        <f>VLOOKUP(G1620,PC!B:D,2,FALSE)</f>
        <v>BEBIDAS</v>
      </c>
      <c r="G1620" s="4" t="s">
        <v>26</v>
      </c>
      <c r="H1620" s="1">
        <v>394.72</v>
      </c>
    </row>
    <row r="1621" spans="2:8" x14ac:dyDescent="0.2">
      <c r="B1621" t="str">
        <f>VLOOKUP(G1621,PC!B:D,3,FALSE)</f>
        <v>CPV</v>
      </c>
      <c r="C1621" s="22">
        <v>2023</v>
      </c>
      <c r="D1621" t="s">
        <v>113</v>
      </c>
      <c r="E1621" t="s">
        <v>14</v>
      </c>
      <c r="F1621" t="str">
        <f>VLOOKUP(G1621,PC!B:D,2,FALSE)</f>
        <v>BEBIDAS</v>
      </c>
      <c r="G1621" s="4" t="s">
        <v>25</v>
      </c>
      <c r="H1621" s="1">
        <f>1091.44-H1620</f>
        <v>696.72</v>
      </c>
    </row>
    <row r="1622" spans="2:8" x14ac:dyDescent="0.2">
      <c r="B1622" t="str">
        <f>VLOOKUP(G1622,PC!B:D,3,FALSE)</f>
        <v>CPV</v>
      </c>
      <c r="C1622" s="22">
        <v>2023</v>
      </c>
      <c r="D1622" t="s">
        <v>113</v>
      </c>
      <c r="E1622" t="s">
        <v>78</v>
      </c>
      <c r="F1622" t="str">
        <f>VLOOKUP(G1622,PC!B:D,2,FALSE)</f>
        <v>CIGARRO</v>
      </c>
      <c r="G1622" s="4" t="s">
        <v>82</v>
      </c>
      <c r="H1622" s="1">
        <v>420.96</v>
      </c>
    </row>
    <row r="1623" spans="2:8" x14ac:dyDescent="0.2">
      <c r="B1623" t="str">
        <f>VLOOKUP(G1623,PC!B:D,3,FALSE)</f>
        <v>CPV</v>
      </c>
      <c r="C1623" s="22">
        <v>2023</v>
      </c>
      <c r="D1623" t="s">
        <v>113</v>
      </c>
      <c r="E1623" t="s">
        <v>191</v>
      </c>
      <c r="F1623" t="str">
        <f>VLOOKUP(G1623,PC!B:D,2,FALSE)</f>
        <v>COMIDA</v>
      </c>
      <c r="G1623" s="4" t="s">
        <v>33</v>
      </c>
      <c r="H1623" s="1">
        <v>98.8</v>
      </c>
    </row>
    <row r="1624" spans="2:8" x14ac:dyDescent="0.2">
      <c r="B1624" t="str">
        <f>VLOOKUP(G1624,PC!B:D,3,FALSE)</f>
        <v>CPV</v>
      </c>
      <c r="C1624" s="22">
        <v>2023</v>
      </c>
      <c r="D1624" t="s">
        <v>113</v>
      </c>
      <c r="E1624" t="s">
        <v>49</v>
      </c>
      <c r="F1624" t="str">
        <f>VLOOKUP(G1624,PC!B:D,2,FALSE)</f>
        <v>CIGARRO</v>
      </c>
      <c r="G1624" s="4" t="s">
        <v>52</v>
      </c>
      <c r="H1624" s="1">
        <f>21.9+7051.84</f>
        <v>7073.74</v>
      </c>
    </row>
    <row r="1625" spans="2:8" x14ac:dyDescent="0.2">
      <c r="B1625" t="str">
        <f>VLOOKUP(G1625,PC!B:D,3,FALSE)</f>
        <v>CPV</v>
      </c>
      <c r="C1625" s="22">
        <v>2023</v>
      </c>
      <c r="D1625" t="s">
        <v>113</v>
      </c>
      <c r="E1625" t="s">
        <v>27</v>
      </c>
      <c r="F1625" t="str">
        <f>VLOOKUP(G1625,PC!B:D,2,FALSE)</f>
        <v>COMIDA</v>
      </c>
      <c r="G1625" s="4" t="s">
        <v>12</v>
      </c>
      <c r="H1625" s="1">
        <v>178.3</v>
      </c>
    </row>
    <row r="1626" spans="2:8" x14ac:dyDescent="0.2">
      <c r="B1626" t="str">
        <f>VLOOKUP(G1626,PC!B:D,3,FALSE)</f>
        <v>CPV</v>
      </c>
      <c r="C1626" s="22">
        <v>2023</v>
      </c>
      <c r="D1626" t="s">
        <v>113</v>
      </c>
      <c r="E1626" t="s">
        <v>45</v>
      </c>
      <c r="F1626" t="str">
        <f>VLOOKUP(G1626,PC!B:D,2,FALSE)</f>
        <v>LIMPEZA</v>
      </c>
      <c r="G1626" s="4" t="s">
        <v>43</v>
      </c>
      <c r="H1626" s="1">
        <v>308.88</v>
      </c>
    </row>
    <row r="1627" spans="2:8" x14ac:dyDescent="0.2">
      <c r="B1627" t="str">
        <f>VLOOKUP(G1627,PC!B:D,3,FALSE)</f>
        <v>CPV</v>
      </c>
      <c r="C1627" s="22">
        <v>2023</v>
      </c>
      <c r="D1627" t="s">
        <v>113</v>
      </c>
      <c r="E1627" t="s">
        <v>14</v>
      </c>
      <c r="F1627" t="str">
        <f>VLOOKUP(G1627,PC!B:D,2,FALSE)</f>
        <v>BEBIDAS</v>
      </c>
      <c r="G1627" s="4" t="s">
        <v>41</v>
      </c>
      <c r="H1627" s="1">
        <v>35.96</v>
      </c>
    </row>
    <row r="1628" spans="2:8" x14ac:dyDescent="0.2">
      <c r="B1628" t="str">
        <f>VLOOKUP(G1628,PC!B:D,3,FALSE)</f>
        <v>CPV</v>
      </c>
      <c r="C1628" s="22">
        <v>2023</v>
      </c>
      <c r="D1628" t="s">
        <v>113</v>
      </c>
      <c r="E1628" t="s">
        <v>14</v>
      </c>
      <c r="F1628" t="str">
        <f>VLOOKUP(G1628,PC!B:D,2,FALSE)</f>
        <v>BEBIDAS</v>
      </c>
      <c r="G1628" s="4" t="s">
        <v>25</v>
      </c>
      <c r="H1628" s="1">
        <f>366.19-H1627</f>
        <v>330.23</v>
      </c>
    </row>
    <row r="1629" spans="2:8" x14ac:dyDescent="0.2">
      <c r="B1629" t="str">
        <f>VLOOKUP(G1629,PC!B:D,3,FALSE)</f>
        <v>CPV</v>
      </c>
      <c r="C1629" s="22">
        <v>2023</v>
      </c>
      <c r="D1629" t="s">
        <v>113</v>
      </c>
      <c r="E1629" t="s">
        <v>28</v>
      </c>
      <c r="F1629" t="str">
        <f>VLOOKUP(G1629,PC!B:D,2,FALSE)</f>
        <v>BEBIDAS</v>
      </c>
      <c r="G1629" s="4" t="s">
        <v>26</v>
      </c>
      <c r="H1629" s="1">
        <v>1664.14</v>
      </c>
    </row>
    <row r="1630" spans="2:8" x14ac:dyDescent="0.2">
      <c r="B1630" t="str">
        <f>VLOOKUP(G1630,PC!B:D,3,FALSE)</f>
        <v>CPV</v>
      </c>
      <c r="C1630" s="22">
        <v>2023</v>
      </c>
      <c r="D1630" t="s">
        <v>113</v>
      </c>
      <c r="E1630" t="s">
        <v>40</v>
      </c>
      <c r="F1630" t="str">
        <f>VLOOKUP(G1630,PC!B:D,2,FALSE)</f>
        <v>BEBIDAS</v>
      </c>
      <c r="G1630" s="4" t="s">
        <v>26</v>
      </c>
      <c r="H1630" s="1">
        <v>1383</v>
      </c>
    </row>
    <row r="1631" spans="2:8" x14ac:dyDescent="0.2">
      <c r="B1631" t="str">
        <f>VLOOKUP(G1631,PC!B:D,3,FALSE)</f>
        <v>CPV</v>
      </c>
      <c r="C1631" s="22">
        <v>2023</v>
      </c>
      <c r="D1631" t="s">
        <v>113</v>
      </c>
      <c r="E1631" t="s">
        <v>40</v>
      </c>
      <c r="F1631" t="str">
        <f>VLOOKUP(G1631,PC!B:D,2,FALSE)</f>
        <v>BEBIDAS</v>
      </c>
      <c r="G1631" s="4" t="s">
        <v>26</v>
      </c>
      <c r="H1631" s="1">
        <v>35.200000000000003</v>
      </c>
    </row>
    <row r="1632" spans="2:8" x14ac:dyDescent="0.2">
      <c r="B1632" t="str">
        <f>VLOOKUP(G1632,PC!B:D,3,FALSE)</f>
        <v>CPV</v>
      </c>
      <c r="C1632" s="22">
        <v>2023</v>
      </c>
      <c r="D1632" t="s">
        <v>113</v>
      </c>
      <c r="E1632" t="s">
        <v>10</v>
      </c>
      <c r="F1632" t="str">
        <f>VLOOKUP(G1632,PC!B:D,2,FALSE)</f>
        <v>COMIDA</v>
      </c>
      <c r="G1632" s="4" t="s">
        <v>33</v>
      </c>
      <c r="H1632" s="1">
        <v>36.68</v>
      </c>
    </row>
    <row r="1633" spans="2:8" x14ac:dyDescent="0.2">
      <c r="B1633" t="str">
        <f>VLOOKUP(G1633,PC!B:D,3,FALSE)</f>
        <v>CPV</v>
      </c>
      <c r="C1633" s="22">
        <v>2023</v>
      </c>
      <c r="D1633" t="s">
        <v>113</v>
      </c>
      <c r="E1633" t="s">
        <v>77</v>
      </c>
      <c r="F1633" t="str">
        <f>VLOOKUP(G1633,PC!B:D,2,FALSE)</f>
        <v>OUTROS</v>
      </c>
      <c r="G1633" s="4" t="s">
        <v>37</v>
      </c>
      <c r="H1633" s="1">
        <f>307.91+543.56</f>
        <v>851.47</v>
      </c>
    </row>
    <row r="1634" spans="2:8" x14ac:dyDescent="0.2">
      <c r="B1634" t="str">
        <f>VLOOKUP(G1634,PC!B:D,3,FALSE)</f>
        <v>CPV</v>
      </c>
      <c r="C1634" s="22">
        <v>2023</v>
      </c>
      <c r="D1634" t="s">
        <v>113</v>
      </c>
      <c r="E1634" t="s">
        <v>89</v>
      </c>
      <c r="F1634" t="str">
        <f>VLOOKUP(G1634,PC!B:D,2,FALSE)</f>
        <v>OUTROS</v>
      </c>
      <c r="G1634" s="4" t="s">
        <v>37</v>
      </c>
      <c r="H1634" s="1">
        <v>202.67</v>
      </c>
    </row>
    <row r="1635" spans="2:8" x14ac:dyDescent="0.2">
      <c r="B1635" t="str">
        <f>VLOOKUP(G1635,PC!B:D,3,FALSE)</f>
        <v>CPV</v>
      </c>
      <c r="C1635" s="22">
        <v>2023</v>
      </c>
      <c r="D1635" t="s">
        <v>113</v>
      </c>
      <c r="E1635" t="s">
        <v>129</v>
      </c>
      <c r="F1635" t="str">
        <f>VLOOKUP(G1635,PC!B:D,2,FALSE)</f>
        <v>SOBREMESA</v>
      </c>
      <c r="G1635" s="4" t="s">
        <v>7</v>
      </c>
      <c r="H1635" s="1">
        <v>52</v>
      </c>
    </row>
    <row r="1636" spans="2:8" x14ac:dyDescent="0.2">
      <c r="B1636" t="str">
        <f>VLOOKUP(G1636,PC!B:D,3,FALSE)</f>
        <v>CPV</v>
      </c>
      <c r="C1636" s="22">
        <v>2023</v>
      </c>
      <c r="D1636" t="s">
        <v>113</v>
      </c>
      <c r="E1636" t="s">
        <v>129</v>
      </c>
      <c r="F1636" t="str">
        <f>VLOOKUP(G1636,PC!B:D,2,FALSE)</f>
        <v>OUTROS</v>
      </c>
      <c r="G1636" s="4" t="s">
        <v>37</v>
      </c>
      <c r="H1636" s="1">
        <v>85</v>
      </c>
    </row>
    <row r="1637" spans="2:8" x14ac:dyDescent="0.2">
      <c r="B1637" t="str">
        <f>VLOOKUP(G1637,PC!B:D,3,FALSE)</f>
        <v>CPV</v>
      </c>
      <c r="C1637" s="22">
        <v>2023</v>
      </c>
      <c r="D1637" t="s">
        <v>113</v>
      </c>
      <c r="E1637" t="s">
        <v>129</v>
      </c>
      <c r="F1637" t="str">
        <f>VLOOKUP(G1637,PC!B:D,2,FALSE)</f>
        <v>BEBIDAS</v>
      </c>
      <c r="G1637" s="4" t="s">
        <v>39</v>
      </c>
      <c r="H1637" s="1">
        <v>105</v>
      </c>
    </row>
    <row r="1638" spans="2:8" x14ac:dyDescent="0.2">
      <c r="B1638" t="str">
        <f>VLOOKUP(G1638,PC!B:D,3,FALSE)</f>
        <v>DESCONTO DE FATURAMENTO</v>
      </c>
      <c r="C1638" s="22">
        <v>2023</v>
      </c>
      <c r="D1638" t="s">
        <v>112</v>
      </c>
      <c r="F1638" t="str">
        <f>VLOOKUP(G1638,PC!B:D,2,FALSE)</f>
        <v>IMPOSTO</v>
      </c>
      <c r="G1638" s="4" t="s">
        <v>88</v>
      </c>
      <c r="H1638" s="1">
        <v>3688.72</v>
      </c>
    </row>
    <row r="1639" spans="2:8" x14ac:dyDescent="0.2">
      <c r="B1639" t="str">
        <f>VLOOKUP(G1639,PC!B:D,3,FALSE)</f>
        <v>DESCONTO DE FATURAMENTO</v>
      </c>
      <c r="C1639" s="22">
        <v>2023</v>
      </c>
      <c r="D1639" t="s">
        <v>112</v>
      </c>
      <c r="F1639" t="str">
        <f>VLOOKUP(G1639,PC!B:D,2,FALSE)</f>
        <v>IMPOSTO</v>
      </c>
      <c r="G1639" s="4" t="s">
        <v>158</v>
      </c>
      <c r="H1639" s="1">
        <v>479.15</v>
      </c>
    </row>
    <row r="1640" spans="2:8" x14ac:dyDescent="0.2">
      <c r="B1640" t="str">
        <f>VLOOKUP(G1640,PC!B:D,3,FALSE)</f>
        <v>DESPESA PESSOAL</v>
      </c>
      <c r="C1640" s="22">
        <v>2023</v>
      </c>
      <c r="D1640" t="s">
        <v>112</v>
      </c>
      <c r="F1640" t="str">
        <f>VLOOKUP(G1640,PC!B:D,2,FALSE)</f>
        <v>DESPESA PESSOAL</v>
      </c>
      <c r="G1640" s="4" t="s">
        <v>68</v>
      </c>
      <c r="H1640" s="1">
        <v>632.47</v>
      </c>
    </row>
    <row r="1641" spans="2:8" x14ac:dyDescent="0.2">
      <c r="B1641" t="str">
        <f>VLOOKUP(G1641,PC!B:D,3,FALSE)</f>
        <v>DESPESA FINANCEIRA</v>
      </c>
      <c r="C1641" s="22">
        <v>2023</v>
      </c>
      <c r="D1641" t="s">
        <v>112</v>
      </c>
      <c r="F1641" t="str">
        <f>VLOOKUP(G1641,PC!B:D,2,FALSE)</f>
        <v>DESPESA FINANCEIRA</v>
      </c>
      <c r="G1641" s="4" t="s">
        <v>90</v>
      </c>
      <c r="H1641" s="1">
        <v>624.37</v>
      </c>
    </row>
    <row r="1642" spans="2:8" x14ac:dyDescent="0.2">
      <c r="B1642" t="str">
        <f>VLOOKUP(G1642,PC!B:D,3,FALSE)</f>
        <v>SERV.TERCEIROS</v>
      </c>
      <c r="C1642" s="22">
        <v>2023</v>
      </c>
      <c r="D1642" t="s">
        <v>112</v>
      </c>
      <c r="F1642" t="str">
        <f>VLOOKUP(G1642,PC!B:D,2,FALSE)</f>
        <v>SERV.TERCEIROS</v>
      </c>
      <c r="G1642" s="4" t="s">
        <v>60</v>
      </c>
      <c r="H1642" s="1">
        <v>380</v>
      </c>
    </row>
    <row r="1643" spans="2:8" x14ac:dyDescent="0.2">
      <c r="B1643" t="str">
        <f>VLOOKUP(G1643,PC!B:D,3,FALSE)</f>
        <v>CPV</v>
      </c>
      <c r="C1643" s="22">
        <v>2023</v>
      </c>
      <c r="D1643" t="s">
        <v>113</v>
      </c>
      <c r="F1643" t="str">
        <f>VLOOKUP(G1643,PC!B:D,2,FALSE)</f>
        <v>LIMPEZA</v>
      </c>
      <c r="G1643" s="4" t="s">
        <v>43</v>
      </c>
      <c r="H1643" s="1">
        <v>135</v>
      </c>
    </row>
    <row r="1644" spans="2:8" x14ac:dyDescent="0.2">
      <c r="B1644" t="str">
        <f>VLOOKUP(G1644,PC!B:D,3,FALSE)</f>
        <v>CPV</v>
      </c>
      <c r="C1644" s="22">
        <v>2023</v>
      </c>
      <c r="D1644" t="s">
        <v>113</v>
      </c>
      <c r="E1644" t="s">
        <v>129</v>
      </c>
      <c r="F1644" t="str">
        <f>VLOOKUP(G1644,PC!B:D,2,FALSE)</f>
        <v>SOBREMESA</v>
      </c>
      <c r="G1644" s="4" t="s">
        <v>7</v>
      </c>
      <c r="H1644" s="1">
        <v>238</v>
      </c>
    </row>
    <row r="1645" spans="2:8" x14ac:dyDescent="0.2">
      <c r="B1645" t="str">
        <f>VLOOKUP(G1645,PC!B:D,3,FALSE)</f>
        <v>DESPESA OPERACIONAL</v>
      </c>
      <c r="C1645" s="22">
        <v>2023</v>
      </c>
      <c r="D1645" t="s">
        <v>113</v>
      </c>
      <c r="F1645" t="str">
        <f>VLOOKUP(G1645,PC!B:D,2,FALSE)</f>
        <v>DESPESA OPERACIONAL</v>
      </c>
      <c r="G1645" s="4" t="s">
        <v>73</v>
      </c>
      <c r="H1645" s="1">
        <v>971.18</v>
      </c>
    </row>
    <row r="1646" spans="2:8" x14ac:dyDescent="0.2">
      <c r="B1646" t="str">
        <f>VLOOKUP(G1646,PC!B:D,3,FALSE)</f>
        <v>RECEITA</v>
      </c>
      <c r="C1646" s="22">
        <v>2023</v>
      </c>
      <c r="D1646" t="s">
        <v>113</v>
      </c>
      <c r="F1646" t="str">
        <f>VLOOKUP(G1646,PC!B:D,2,FALSE)</f>
        <v>RECEITA</v>
      </c>
      <c r="G1646" s="4" t="s">
        <v>64</v>
      </c>
      <c r="H1646" s="1">
        <v>22.32</v>
      </c>
    </row>
    <row r="1647" spans="2:8" x14ac:dyDescent="0.2">
      <c r="B1647" t="str">
        <f>VLOOKUP(G1647,PC!B:D,3,FALSE)</f>
        <v>CPV</v>
      </c>
      <c r="C1647" s="22">
        <v>2023</v>
      </c>
      <c r="D1647" t="s">
        <v>113</v>
      </c>
      <c r="E1647" t="s">
        <v>129</v>
      </c>
      <c r="F1647" t="str">
        <f>VLOOKUP(G1647,PC!B:D,2,FALSE)</f>
        <v>COMIDA</v>
      </c>
      <c r="G1647" s="4" t="s">
        <v>12</v>
      </c>
      <c r="H1647" s="1">
        <v>500</v>
      </c>
    </row>
    <row r="1648" spans="2:8" x14ac:dyDescent="0.2">
      <c r="B1648" t="str">
        <f>VLOOKUP(G1648,PC!B:D,3,FALSE)</f>
        <v>CPV</v>
      </c>
      <c r="C1648" s="22">
        <v>2023</v>
      </c>
      <c r="D1648" t="s">
        <v>113</v>
      </c>
      <c r="E1648" t="s">
        <v>129</v>
      </c>
      <c r="F1648" t="str">
        <f>VLOOKUP(G1648,PC!B:D,2,FALSE)</f>
        <v>SOBREMESA</v>
      </c>
      <c r="G1648" s="4" t="s">
        <v>7</v>
      </c>
      <c r="H1648" s="1">
        <v>30</v>
      </c>
    </row>
    <row r="1649" spans="2:8" x14ac:dyDescent="0.2">
      <c r="B1649" t="str">
        <f>VLOOKUP(G1649,PC!B:D,3,FALSE)</f>
        <v>CPV</v>
      </c>
      <c r="C1649" s="22">
        <v>2023</v>
      </c>
      <c r="D1649" t="s">
        <v>113</v>
      </c>
      <c r="E1649" t="s">
        <v>129</v>
      </c>
      <c r="F1649" t="str">
        <f>VLOOKUP(G1649,PC!B:D,2,FALSE)</f>
        <v>COMIDA</v>
      </c>
      <c r="G1649" s="4" t="s">
        <v>152</v>
      </c>
      <c r="H1649" s="1">
        <v>70</v>
      </c>
    </row>
    <row r="1650" spans="2:8" x14ac:dyDescent="0.2">
      <c r="B1650" t="str">
        <f>VLOOKUP(G1650,PC!B:D,3,FALSE)</f>
        <v>CPV</v>
      </c>
      <c r="C1650" s="22">
        <v>2023</v>
      </c>
      <c r="D1650" t="s">
        <v>113</v>
      </c>
      <c r="E1650" t="s">
        <v>129</v>
      </c>
      <c r="F1650" t="str">
        <f>VLOOKUP(G1650,PC!B:D,2,FALSE)</f>
        <v>CIGARRO</v>
      </c>
      <c r="G1650" s="4" t="s">
        <v>53</v>
      </c>
      <c r="H1650" s="1">
        <v>1230</v>
      </c>
    </row>
    <row r="1651" spans="2:8" x14ac:dyDescent="0.2">
      <c r="B1651" t="str">
        <f>VLOOKUP(G1651,PC!B:D,3,FALSE)</f>
        <v>CPV</v>
      </c>
      <c r="C1651" s="22">
        <v>2023</v>
      </c>
      <c r="D1651" t="s">
        <v>113</v>
      </c>
      <c r="E1651" t="s">
        <v>129</v>
      </c>
      <c r="F1651" t="str">
        <f>VLOOKUP(G1651,PC!B:D,2,FALSE)</f>
        <v>CIGARRO</v>
      </c>
      <c r="G1651" s="4" t="s">
        <v>57</v>
      </c>
      <c r="H1651" s="1">
        <f>704+128</f>
        <v>832</v>
      </c>
    </row>
    <row r="1652" spans="2:8" x14ac:dyDescent="0.2">
      <c r="B1652" t="str">
        <f>VLOOKUP(G1652,PC!B:D,3,FALSE)</f>
        <v>CPV</v>
      </c>
      <c r="C1652" s="22">
        <v>2023</v>
      </c>
      <c r="D1652" t="s">
        <v>113</v>
      </c>
      <c r="E1652" t="s">
        <v>129</v>
      </c>
      <c r="F1652" t="str">
        <f>VLOOKUP(G1652,PC!B:D,2,FALSE)</f>
        <v>CIGARRO</v>
      </c>
      <c r="G1652" s="4" t="s">
        <v>131</v>
      </c>
      <c r="H1652" s="1">
        <f>45+70</f>
        <v>115</v>
      </c>
    </row>
    <row r="1653" spans="2:8" x14ac:dyDescent="0.2">
      <c r="B1653" t="str">
        <f>VLOOKUP(G1653,PC!B:D,3,FALSE)</f>
        <v>CPV</v>
      </c>
      <c r="C1653" s="22">
        <v>2023</v>
      </c>
      <c r="D1653" t="s">
        <v>113</v>
      </c>
      <c r="E1653" t="s">
        <v>129</v>
      </c>
      <c r="F1653" t="str">
        <f>VLOOKUP(G1653,PC!B:D,2,FALSE)</f>
        <v>COMIDA</v>
      </c>
      <c r="G1653" s="4" t="s">
        <v>145</v>
      </c>
      <c r="H1653" s="1">
        <v>27</v>
      </c>
    </row>
    <row r="1654" spans="2:8" x14ac:dyDescent="0.2">
      <c r="B1654" t="str">
        <f>VLOOKUP(G1654,PC!B:D,3,FALSE)</f>
        <v>CPV</v>
      </c>
      <c r="C1654" s="22">
        <v>2023</v>
      </c>
      <c r="D1654" t="s">
        <v>113</v>
      </c>
      <c r="E1654" t="s">
        <v>45</v>
      </c>
      <c r="F1654" t="str">
        <f>VLOOKUP(G1654,PC!B:D,2,FALSE)</f>
        <v>COMIDA</v>
      </c>
      <c r="G1654" s="4" t="s">
        <v>38</v>
      </c>
      <c r="H1654" s="1">
        <f>86.25+74.88</f>
        <v>161.13</v>
      </c>
    </row>
    <row r="1655" spans="2:8" x14ac:dyDescent="0.2">
      <c r="B1655" t="str">
        <f>VLOOKUP(G1655,PC!B:D,3,FALSE)</f>
        <v>CPV</v>
      </c>
      <c r="C1655" s="22">
        <v>2023</v>
      </c>
      <c r="D1655" t="s">
        <v>113</v>
      </c>
      <c r="E1655" t="s">
        <v>45</v>
      </c>
      <c r="F1655" t="str">
        <f>VLOOKUP(G1655,PC!B:D,2,FALSE)</f>
        <v>SOBREMESA</v>
      </c>
      <c r="G1655" s="4" t="s">
        <v>23</v>
      </c>
      <c r="H1655" s="1">
        <v>128.86000000000001</v>
      </c>
    </row>
    <row r="1656" spans="2:8" x14ac:dyDescent="0.2">
      <c r="B1656" t="str">
        <f>VLOOKUP(G1656,PC!B:D,3,FALSE)</f>
        <v>CPV</v>
      </c>
      <c r="C1656" s="22">
        <v>2023</v>
      </c>
      <c r="D1656" t="s">
        <v>113</v>
      </c>
      <c r="E1656" t="s">
        <v>45</v>
      </c>
      <c r="F1656" t="str">
        <f>VLOOKUP(G1656,PC!B:D,2,FALSE)</f>
        <v>OUTROS</v>
      </c>
      <c r="G1656" s="4" t="s">
        <v>37</v>
      </c>
      <c r="H1656" s="1">
        <f>71.76+131.57</f>
        <v>203.32999999999998</v>
      </c>
    </row>
    <row r="1657" spans="2:8" x14ac:dyDescent="0.2">
      <c r="B1657" t="str">
        <f>VLOOKUP(G1657,PC!B:D,3,FALSE)</f>
        <v>CPV</v>
      </c>
      <c r="C1657" s="22">
        <v>2023</v>
      </c>
      <c r="D1657" t="s">
        <v>113</v>
      </c>
      <c r="E1657" t="s">
        <v>45</v>
      </c>
      <c r="F1657" t="str">
        <f>VLOOKUP(G1657,PC!B:D,2,FALSE)</f>
        <v>COMIDA</v>
      </c>
      <c r="G1657" s="4" t="s">
        <v>22</v>
      </c>
      <c r="H1657" s="1">
        <f>27.72+56.13</f>
        <v>83.85</v>
      </c>
    </row>
    <row r="1658" spans="2:8" x14ac:dyDescent="0.2">
      <c r="B1658" t="str">
        <f>VLOOKUP(G1658,PC!B:D,3,FALSE)</f>
        <v>CPV</v>
      </c>
      <c r="C1658" s="22">
        <v>2023</v>
      </c>
      <c r="D1658" t="s">
        <v>113</v>
      </c>
      <c r="E1658" t="s">
        <v>45</v>
      </c>
      <c r="F1658" t="str">
        <f>VLOOKUP(G1658,PC!B:D,2,FALSE)</f>
        <v>HIGIENE</v>
      </c>
      <c r="G1658" s="4" t="s">
        <v>36</v>
      </c>
      <c r="H1658" s="1">
        <f>211.68+41.14</f>
        <v>252.82</v>
      </c>
    </row>
    <row r="1659" spans="2:8" x14ac:dyDescent="0.2">
      <c r="B1659" t="str">
        <f>VLOOKUP(G1659,PC!B:D,3,FALSE)</f>
        <v>CPV</v>
      </c>
      <c r="C1659" s="22">
        <v>2023</v>
      </c>
      <c r="D1659" t="s">
        <v>113</v>
      </c>
      <c r="E1659" t="s">
        <v>45</v>
      </c>
      <c r="F1659" t="str">
        <f>VLOOKUP(G1659,PC!B:D,2,FALSE)</f>
        <v>SOBREMESA</v>
      </c>
      <c r="G1659" s="4" t="s">
        <v>8</v>
      </c>
      <c r="H1659" s="1">
        <v>28.9</v>
      </c>
    </row>
    <row r="1660" spans="2:8" x14ac:dyDescent="0.2">
      <c r="B1660" t="str">
        <f>VLOOKUP(G1660,PC!B:D,3,FALSE)</f>
        <v>CPV</v>
      </c>
      <c r="C1660" s="22">
        <v>2023</v>
      </c>
      <c r="D1660" t="s">
        <v>113</v>
      </c>
      <c r="E1660" t="s">
        <v>14</v>
      </c>
      <c r="F1660" t="str">
        <f>VLOOKUP(G1660,PC!B:D,2,FALSE)</f>
        <v>BEBIDAS</v>
      </c>
      <c r="G1660" s="4" t="s">
        <v>25</v>
      </c>
      <c r="H1660" s="1">
        <v>756.25</v>
      </c>
    </row>
    <row r="1661" spans="2:8" x14ac:dyDescent="0.2">
      <c r="B1661" t="str">
        <f>VLOOKUP(G1661,PC!B:D,3,FALSE)</f>
        <v>CPV</v>
      </c>
      <c r="C1661" s="22">
        <v>2023</v>
      </c>
      <c r="D1661" t="s">
        <v>113</v>
      </c>
      <c r="E1661" t="s">
        <v>45</v>
      </c>
      <c r="F1661" t="str">
        <f>VLOOKUP(G1661,PC!B:D,2,FALSE)</f>
        <v>LIMPEZA</v>
      </c>
      <c r="G1661" s="4" t="s">
        <v>43</v>
      </c>
      <c r="H1661" s="1">
        <f>95.88+83.23+75.65</f>
        <v>254.76000000000002</v>
      </c>
    </row>
    <row r="1662" spans="2:8" x14ac:dyDescent="0.2">
      <c r="B1662" t="str">
        <f>VLOOKUP(G1662,PC!B:D,3,FALSE)</f>
        <v>CPV</v>
      </c>
      <c r="C1662" s="22">
        <v>2023</v>
      </c>
      <c r="D1662" t="s">
        <v>113</v>
      </c>
      <c r="E1662" t="s">
        <v>45</v>
      </c>
      <c r="F1662" t="str">
        <f>VLOOKUP(G1662,PC!B:D,2,FALSE)</f>
        <v>HIGIENE</v>
      </c>
      <c r="G1662" s="4" t="s">
        <v>36</v>
      </c>
      <c r="H1662" s="1">
        <v>114.32</v>
      </c>
    </row>
    <row r="1663" spans="2:8" x14ac:dyDescent="0.2">
      <c r="B1663" t="str">
        <f>VLOOKUP(G1663,PC!B:D,3,FALSE)</f>
        <v>CPV</v>
      </c>
      <c r="C1663" s="22">
        <v>2023</v>
      </c>
      <c r="D1663" t="s">
        <v>113</v>
      </c>
      <c r="E1663" t="s">
        <v>45</v>
      </c>
      <c r="F1663" t="str">
        <f>VLOOKUP(G1663,PC!B:D,2,FALSE)</f>
        <v>COMIDA</v>
      </c>
      <c r="G1663" s="4" t="s">
        <v>18</v>
      </c>
      <c r="H1663" s="1">
        <v>62.02</v>
      </c>
    </row>
    <row r="1664" spans="2:8" x14ac:dyDescent="0.2">
      <c r="B1664" t="str">
        <f>VLOOKUP(G1664,PC!B:D,3,FALSE)</f>
        <v>CPV</v>
      </c>
      <c r="C1664" s="22">
        <v>2023</v>
      </c>
      <c r="D1664" t="s">
        <v>113</v>
      </c>
      <c r="E1664" t="s">
        <v>21</v>
      </c>
      <c r="F1664" t="str">
        <f>VLOOKUP(G1664,PC!B:D,2,FALSE)</f>
        <v>SOBREMESA</v>
      </c>
      <c r="G1664" s="4" t="s">
        <v>23</v>
      </c>
      <c r="H1664" s="1">
        <v>107.57</v>
      </c>
    </row>
    <row r="1665" spans="2:8" x14ac:dyDescent="0.2">
      <c r="B1665" t="str">
        <f>VLOOKUP(G1665,PC!B:D,3,FALSE)</f>
        <v>CPV</v>
      </c>
      <c r="C1665" s="22">
        <v>2023</v>
      </c>
      <c r="D1665" t="s">
        <v>113</v>
      </c>
      <c r="E1665" t="s">
        <v>165</v>
      </c>
      <c r="F1665" t="str">
        <f>VLOOKUP(G1665,PC!B:D,2,FALSE)</f>
        <v>COMIDA</v>
      </c>
      <c r="G1665" s="4" t="s">
        <v>33</v>
      </c>
      <c r="H1665" s="1">
        <v>335.37</v>
      </c>
    </row>
    <row r="1666" spans="2:8" x14ac:dyDescent="0.2">
      <c r="B1666" t="str">
        <f>VLOOKUP(G1666,PC!B:D,3,FALSE)</f>
        <v>CPV</v>
      </c>
      <c r="C1666" s="22">
        <v>2023</v>
      </c>
      <c r="D1666" t="s">
        <v>113</v>
      </c>
      <c r="E1666" t="s">
        <v>156</v>
      </c>
      <c r="F1666" t="str">
        <f>VLOOKUP(G1666,PC!B:D,2,FALSE)</f>
        <v>BEBIDAS</v>
      </c>
      <c r="G1666" s="4" t="s">
        <v>26</v>
      </c>
      <c r="H1666" s="1">
        <v>240.86</v>
      </c>
    </row>
    <row r="1667" spans="2:8" x14ac:dyDescent="0.2">
      <c r="B1667" t="str">
        <f>VLOOKUP(G1667,PC!B:D,3,FALSE)</f>
        <v>RECEITA</v>
      </c>
      <c r="C1667" s="22">
        <v>2023</v>
      </c>
      <c r="D1667" t="s">
        <v>113</v>
      </c>
      <c r="F1667" t="str">
        <f>VLOOKUP(G1667,PC!B:D,2,FALSE)</f>
        <v>RECEITA</v>
      </c>
      <c r="G1667" s="4" t="s">
        <v>83</v>
      </c>
      <c r="H1667" s="1">
        <v>43.06</v>
      </c>
    </row>
    <row r="1668" spans="2:8" x14ac:dyDescent="0.2">
      <c r="B1668" t="str">
        <f>VLOOKUP(G1668,PC!B:D,3,FALSE)</f>
        <v>CPV</v>
      </c>
      <c r="C1668" s="22">
        <v>2023</v>
      </c>
      <c r="D1668" t="s">
        <v>113</v>
      </c>
      <c r="E1668" t="s">
        <v>28</v>
      </c>
      <c r="F1668" t="str">
        <f>VLOOKUP(G1668,PC!B:D,2,FALSE)</f>
        <v>BEBIDAS</v>
      </c>
      <c r="G1668" s="4" t="s">
        <v>26</v>
      </c>
      <c r="H1668" s="1">
        <v>3220.12</v>
      </c>
    </row>
    <row r="1669" spans="2:8" x14ac:dyDescent="0.2">
      <c r="B1669" t="str">
        <f>VLOOKUP(G1669,PC!B:D,3,FALSE)</f>
        <v>CPV</v>
      </c>
      <c r="C1669" s="22">
        <v>2023</v>
      </c>
      <c r="D1669" t="s">
        <v>113</v>
      </c>
      <c r="E1669" t="s">
        <v>86</v>
      </c>
      <c r="F1669" t="str">
        <f>VLOOKUP(G1669,PC!B:D,2,FALSE)</f>
        <v>HIGIENE</v>
      </c>
      <c r="G1669" s="4" t="s">
        <v>36</v>
      </c>
      <c r="H1669" s="1">
        <v>861.69</v>
      </c>
    </row>
    <row r="1670" spans="2:8" x14ac:dyDescent="0.2">
      <c r="B1670" t="str">
        <f>VLOOKUP(G1670,PC!B:D,3,FALSE)</f>
        <v>CPV</v>
      </c>
      <c r="C1670" s="22">
        <v>2023</v>
      </c>
      <c r="D1670" t="s">
        <v>113</v>
      </c>
      <c r="E1670" t="s">
        <v>97</v>
      </c>
      <c r="F1670" t="str">
        <f>VLOOKUP(G1670,PC!B:D,2,FALSE)</f>
        <v>HIGIENE</v>
      </c>
      <c r="G1670" s="4" t="s">
        <v>36</v>
      </c>
      <c r="H1670" s="1">
        <v>40</v>
      </c>
    </row>
    <row r="1671" spans="2:8" x14ac:dyDescent="0.2">
      <c r="B1671" t="str">
        <f>VLOOKUP(G1671,PC!B:D,3,FALSE)</f>
        <v>CPV</v>
      </c>
      <c r="C1671" s="22">
        <v>2023</v>
      </c>
      <c r="D1671" t="s">
        <v>113</v>
      </c>
      <c r="E1671" t="s">
        <v>97</v>
      </c>
      <c r="F1671" t="str">
        <f>VLOOKUP(G1671,PC!B:D,2,FALSE)</f>
        <v>OUTROS</v>
      </c>
      <c r="G1671" s="4" t="s">
        <v>37</v>
      </c>
      <c r="H1671" s="1">
        <v>100</v>
      </c>
    </row>
    <row r="1672" spans="2:8" x14ac:dyDescent="0.2">
      <c r="B1672" t="str">
        <f>VLOOKUP(G1672,PC!B:D,3,FALSE)</f>
        <v>CPV</v>
      </c>
      <c r="C1672" s="22">
        <v>2023</v>
      </c>
      <c r="D1672" t="s">
        <v>113</v>
      </c>
      <c r="E1672" t="s">
        <v>97</v>
      </c>
      <c r="F1672" t="str">
        <f>VLOOKUP(G1672,PC!B:D,2,FALSE)</f>
        <v>SOBREMESA</v>
      </c>
      <c r="G1672" s="4" t="s">
        <v>23</v>
      </c>
      <c r="H1672" s="1">
        <f>338.35-H1671-H1670</f>
        <v>198.35000000000002</v>
      </c>
    </row>
    <row r="1673" spans="2:8" x14ac:dyDescent="0.2">
      <c r="B1673" t="str">
        <f>VLOOKUP(G1673,PC!B:D,3,FALSE)</f>
        <v>CPV</v>
      </c>
      <c r="C1673" s="22">
        <v>2023</v>
      </c>
      <c r="D1673" t="s">
        <v>113</v>
      </c>
      <c r="E1673" t="s">
        <v>49</v>
      </c>
      <c r="F1673" t="str">
        <f>VLOOKUP(G1673,PC!B:D,2,FALSE)</f>
        <v>CIGARRO</v>
      </c>
      <c r="G1673" s="4" t="s">
        <v>52</v>
      </c>
      <c r="H1673" s="1">
        <v>6072.86</v>
      </c>
    </row>
    <row r="1674" spans="2:8" x14ac:dyDescent="0.2">
      <c r="B1674" t="str">
        <f>VLOOKUP(G1674,PC!B:D,3,FALSE)</f>
        <v>CPV</v>
      </c>
      <c r="C1674" s="22">
        <v>2023</v>
      </c>
      <c r="D1674" t="s">
        <v>113</v>
      </c>
      <c r="E1674" t="s">
        <v>16</v>
      </c>
      <c r="F1674" t="str">
        <f>VLOOKUP(G1674,PC!B:D,2,FALSE)</f>
        <v>COMIDA</v>
      </c>
      <c r="G1674" s="4" t="s">
        <v>12</v>
      </c>
      <c r="H1674" s="1">
        <v>255.12</v>
      </c>
    </row>
    <row r="1675" spans="2:8" x14ac:dyDescent="0.2">
      <c r="B1675" t="str">
        <f>VLOOKUP(G1675,PC!B:D,3,FALSE)</f>
        <v>CPV</v>
      </c>
      <c r="C1675" s="22">
        <v>2023</v>
      </c>
      <c r="D1675" t="s">
        <v>113</v>
      </c>
      <c r="E1675" t="s">
        <v>14</v>
      </c>
      <c r="F1675" t="str">
        <f>VLOOKUP(G1675,PC!B:D,2,FALSE)</f>
        <v>BEBIDAS</v>
      </c>
      <c r="G1675" s="4" t="s">
        <v>25</v>
      </c>
      <c r="H1675" s="1">
        <v>547.98</v>
      </c>
    </row>
    <row r="1676" spans="2:8" x14ac:dyDescent="0.2">
      <c r="B1676" t="str">
        <f>VLOOKUP(G1676,PC!B:D,3,FALSE)</f>
        <v>CPV</v>
      </c>
      <c r="C1676" s="22">
        <v>2023</v>
      </c>
      <c r="D1676" t="s">
        <v>113</v>
      </c>
      <c r="E1676" t="s">
        <v>28</v>
      </c>
      <c r="F1676" t="str">
        <f>VLOOKUP(G1676,PC!B:D,2,FALSE)</f>
        <v>BEBIDAS</v>
      </c>
      <c r="G1676" s="4" t="s">
        <v>26</v>
      </c>
      <c r="H1676" s="1">
        <v>3291.55</v>
      </c>
    </row>
    <row r="1677" spans="2:8" x14ac:dyDescent="0.2">
      <c r="B1677" t="str">
        <f>VLOOKUP(G1677,PC!B:D,3,FALSE)</f>
        <v>CPV</v>
      </c>
      <c r="C1677" s="22">
        <v>2023</v>
      </c>
      <c r="D1677" t="s">
        <v>113</v>
      </c>
      <c r="E1677" t="s">
        <v>24</v>
      </c>
      <c r="F1677" t="str">
        <f>VLOOKUP(G1677,PC!B:D,2,FALSE)</f>
        <v>COMIDA</v>
      </c>
      <c r="G1677" s="4" t="s">
        <v>33</v>
      </c>
      <c r="H1677" s="1">
        <v>408.06</v>
      </c>
    </row>
    <row r="1678" spans="2:8" x14ac:dyDescent="0.2">
      <c r="B1678" t="str">
        <f>VLOOKUP(G1678,PC!B:D,3,FALSE)</f>
        <v>CPV</v>
      </c>
      <c r="C1678" s="22">
        <v>2023</v>
      </c>
      <c r="D1678" t="s">
        <v>113</v>
      </c>
      <c r="E1678" t="s">
        <v>13</v>
      </c>
      <c r="F1678" t="str">
        <f>VLOOKUP(G1678,PC!B:D,2,FALSE)</f>
        <v>COMIDA</v>
      </c>
      <c r="G1678" s="4" t="s">
        <v>33</v>
      </c>
      <c r="H1678" s="1">
        <v>147.33000000000001</v>
      </c>
    </row>
    <row r="1679" spans="2:8" x14ac:dyDescent="0.2">
      <c r="B1679" t="str">
        <f>VLOOKUP(G1679,PC!B:D,3,FALSE)</f>
        <v>CPV</v>
      </c>
      <c r="C1679" s="22">
        <v>2023</v>
      </c>
      <c r="D1679" t="s">
        <v>113</v>
      </c>
      <c r="E1679" t="s">
        <v>165</v>
      </c>
      <c r="F1679" t="str">
        <f>VLOOKUP(G1679,PC!B:D,2,FALSE)</f>
        <v>COMIDA</v>
      </c>
      <c r="G1679" s="4" t="s">
        <v>33</v>
      </c>
      <c r="H1679" s="1">
        <v>197.48</v>
      </c>
    </row>
    <row r="1680" spans="2:8" x14ac:dyDescent="0.2">
      <c r="B1680" t="str">
        <f>VLOOKUP(G1680,PC!B:D,3,FALSE)</f>
        <v>CPV</v>
      </c>
      <c r="C1680" s="22">
        <v>2023</v>
      </c>
      <c r="D1680" t="s">
        <v>113</v>
      </c>
      <c r="E1680" t="s">
        <v>165</v>
      </c>
      <c r="F1680" t="str">
        <f>VLOOKUP(G1680,PC!B:D,2,FALSE)</f>
        <v>COMIDA</v>
      </c>
      <c r="G1680" s="4" t="s">
        <v>33</v>
      </c>
      <c r="H1680" s="1">
        <v>319.20999999999998</v>
      </c>
    </row>
    <row r="1681" spans="2:8" x14ac:dyDescent="0.2">
      <c r="B1681" t="str">
        <f>VLOOKUP(G1681,PC!B:D,3,FALSE)</f>
        <v>CPV</v>
      </c>
      <c r="C1681" s="22">
        <v>2023</v>
      </c>
      <c r="D1681" t="s">
        <v>113</v>
      </c>
      <c r="E1681" t="s">
        <v>20</v>
      </c>
      <c r="F1681" t="str">
        <f>VLOOKUP(G1681,PC!B:D,2,FALSE)</f>
        <v>COMIDA</v>
      </c>
      <c r="G1681" s="4" t="s">
        <v>29</v>
      </c>
      <c r="H1681" s="1">
        <v>185.6</v>
      </c>
    </row>
    <row r="1682" spans="2:8" x14ac:dyDescent="0.2">
      <c r="B1682" t="str">
        <f>VLOOKUP(G1682,PC!B:D,3,FALSE)</f>
        <v>CPV</v>
      </c>
      <c r="C1682" s="22">
        <v>2023</v>
      </c>
      <c r="D1682" t="s">
        <v>113</v>
      </c>
      <c r="E1682" t="s">
        <v>40</v>
      </c>
      <c r="F1682" t="str">
        <f>VLOOKUP(G1682,PC!B:D,2,FALSE)</f>
        <v>BEBIDAS</v>
      </c>
      <c r="G1682" s="4" t="s">
        <v>26</v>
      </c>
      <c r="H1682" s="1">
        <v>119.8</v>
      </c>
    </row>
    <row r="1683" spans="2:8" x14ac:dyDescent="0.2">
      <c r="B1683" t="str">
        <f>VLOOKUP(G1683,PC!B:D,3,FALSE)</f>
        <v>CPV</v>
      </c>
      <c r="C1683" s="22">
        <v>2023</v>
      </c>
      <c r="D1683" t="s">
        <v>113</v>
      </c>
      <c r="E1683" t="s">
        <v>175</v>
      </c>
      <c r="F1683" t="str">
        <f>VLOOKUP(G1683,PC!B:D,2,FALSE)</f>
        <v>BEBIDAS</v>
      </c>
      <c r="G1683" s="4" t="s">
        <v>25</v>
      </c>
      <c r="H1683" s="1">
        <v>253</v>
      </c>
    </row>
    <row r="1684" spans="2:8" x14ac:dyDescent="0.2">
      <c r="B1684" t="str">
        <f>VLOOKUP(G1684,PC!B:D,3,FALSE)</f>
        <v>CPV</v>
      </c>
      <c r="C1684" s="22">
        <v>2023</v>
      </c>
      <c r="D1684" t="s">
        <v>113</v>
      </c>
      <c r="E1684" t="s">
        <v>129</v>
      </c>
      <c r="F1684" t="str">
        <f>VLOOKUP(G1684,PC!B:D,2,FALSE)</f>
        <v>COMIDA</v>
      </c>
      <c r="G1684" s="4" t="s">
        <v>145</v>
      </c>
      <c r="H1684" s="1">
        <v>18</v>
      </c>
    </row>
    <row r="1685" spans="2:8" x14ac:dyDescent="0.2">
      <c r="B1685" t="str">
        <f>VLOOKUP(G1685,PC!B:D,3,FALSE)</f>
        <v>CPV</v>
      </c>
      <c r="C1685" s="22">
        <v>2023</v>
      </c>
      <c r="D1685" t="s">
        <v>113</v>
      </c>
      <c r="E1685" t="s">
        <v>129</v>
      </c>
      <c r="F1685" t="str">
        <f>VLOOKUP(G1685,PC!B:D,2,FALSE)</f>
        <v>COMIDA</v>
      </c>
      <c r="G1685" s="4" t="s">
        <v>22</v>
      </c>
      <c r="H1685" s="1">
        <v>120.5</v>
      </c>
    </row>
    <row r="1686" spans="2:8" x14ac:dyDescent="0.2">
      <c r="B1686" t="str">
        <f>VLOOKUP(G1686,PC!B:D,3,FALSE)</f>
        <v>CPV</v>
      </c>
      <c r="C1686" s="22">
        <v>2023</v>
      </c>
      <c r="D1686" t="s">
        <v>113</v>
      </c>
      <c r="E1686" t="s">
        <v>129</v>
      </c>
      <c r="F1686" t="str">
        <f>VLOOKUP(G1686,PC!B:D,2,FALSE)</f>
        <v>COMIDA</v>
      </c>
      <c r="G1686" s="4" t="s">
        <v>155</v>
      </c>
      <c r="H1686" s="1">
        <v>452.5</v>
      </c>
    </row>
    <row r="1687" spans="2:8" x14ac:dyDescent="0.2">
      <c r="B1687" t="str">
        <f>VLOOKUP(G1687,PC!B:D,3,FALSE)</f>
        <v>CPV</v>
      </c>
      <c r="C1687" s="22">
        <v>2023</v>
      </c>
      <c r="D1687" t="s">
        <v>113</v>
      </c>
      <c r="E1687" t="s">
        <v>129</v>
      </c>
      <c r="F1687" t="str">
        <f>VLOOKUP(G1687,PC!B:D,2,FALSE)</f>
        <v>SOBREMESA</v>
      </c>
      <c r="G1687" s="4" t="s">
        <v>7</v>
      </c>
      <c r="H1687" s="1">
        <v>221</v>
      </c>
    </row>
    <row r="1688" spans="2:8" x14ac:dyDescent="0.2">
      <c r="B1688" t="str">
        <f>VLOOKUP(G1688,PC!B:D,3,FALSE)</f>
        <v>CPV</v>
      </c>
      <c r="C1688" s="22">
        <v>2023</v>
      </c>
      <c r="D1688" t="s">
        <v>113</v>
      </c>
      <c r="E1688" t="s">
        <v>129</v>
      </c>
      <c r="F1688" t="str">
        <f>VLOOKUP(G1688,PC!B:D,2,FALSE)</f>
        <v>SOBREMESA</v>
      </c>
      <c r="G1688" s="4" t="s">
        <v>75</v>
      </c>
      <c r="H1688" s="1">
        <v>532.61</v>
      </c>
    </row>
    <row r="1689" spans="2:8" x14ac:dyDescent="0.2">
      <c r="B1689" t="str">
        <f>VLOOKUP(G1689,PC!B:D,3,FALSE)</f>
        <v>CPV</v>
      </c>
      <c r="C1689" s="22">
        <v>2023</v>
      </c>
      <c r="D1689" t="s">
        <v>113</v>
      </c>
      <c r="E1689" t="s">
        <v>129</v>
      </c>
      <c r="F1689" t="str">
        <f>VLOOKUP(G1689,PC!B:D,2,FALSE)</f>
        <v>COMIDA</v>
      </c>
      <c r="G1689" s="4" t="s">
        <v>12</v>
      </c>
      <c r="H1689" s="1">
        <v>51.3</v>
      </c>
    </row>
    <row r="1690" spans="2:8" x14ac:dyDescent="0.2">
      <c r="B1690" t="str">
        <f>VLOOKUP(G1690,PC!B:D,3,FALSE)</f>
        <v>CPV</v>
      </c>
      <c r="C1690" s="22">
        <v>2023</v>
      </c>
      <c r="D1690" t="s">
        <v>113</v>
      </c>
      <c r="E1690" t="s">
        <v>129</v>
      </c>
      <c r="F1690" t="str">
        <f>VLOOKUP(G1690,PC!B:D,2,FALSE)</f>
        <v>COMIDA</v>
      </c>
      <c r="G1690" s="4" t="s">
        <v>12</v>
      </c>
      <c r="H1690" s="1">
        <v>56</v>
      </c>
    </row>
    <row r="1691" spans="2:8" x14ac:dyDescent="0.2">
      <c r="B1691" t="str">
        <f>VLOOKUP(G1691,PC!B:D,3,FALSE)</f>
        <v>CPV</v>
      </c>
      <c r="C1691" s="22">
        <v>2023</v>
      </c>
      <c r="D1691" t="s">
        <v>113</v>
      </c>
      <c r="E1691" t="s">
        <v>129</v>
      </c>
      <c r="F1691" t="str">
        <f>VLOOKUP(G1691,PC!B:D,2,FALSE)</f>
        <v>COMIDA</v>
      </c>
      <c r="G1691" s="4" t="s">
        <v>38</v>
      </c>
      <c r="H1691" s="1">
        <v>365</v>
      </c>
    </row>
    <row r="1692" spans="2:8" x14ac:dyDescent="0.2">
      <c r="B1692" t="str">
        <f>VLOOKUP(G1692,PC!B:D,3,FALSE)</f>
        <v>DESPESA OPERACIONAL</v>
      </c>
      <c r="C1692" s="22">
        <v>2023</v>
      </c>
      <c r="D1692" t="s">
        <v>113</v>
      </c>
      <c r="F1692" t="str">
        <f>VLOOKUP(G1692,PC!B:D,2,FALSE)</f>
        <v>DESPESA OPERACIONAL</v>
      </c>
      <c r="G1692" s="4" t="s">
        <v>70</v>
      </c>
      <c r="H1692" s="1">
        <v>115</v>
      </c>
    </row>
    <row r="1693" spans="2:8" x14ac:dyDescent="0.2">
      <c r="B1693" t="str">
        <f>VLOOKUP(G1693,PC!B:D,3,FALSE)</f>
        <v>CPV</v>
      </c>
      <c r="C1693" s="22">
        <v>2023</v>
      </c>
      <c r="D1693" t="s">
        <v>113</v>
      </c>
      <c r="E1693" t="s">
        <v>129</v>
      </c>
      <c r="F1693" t="str">
        <f>VLOOKUP(G1693,PC!B:D,2,FALSE)</f>
        <v>COMIDA</v>
      </c>
      <c r="G1693" s="4" t="s">
        <v>33</v>
      </c>
      <c r="H1693" s="1">
        <v>42</v>
      </c>
    </row>
    <row r="1694" spans="2:8" x14ac:dyDescent="0.2">
      <c r="B1694" t="str">
        <f>VLOOKUP(G1694,PC!B:D,3,FALSE)</f>
        <v>CPV</v>
      </c>
      <c r="C1694" s="22">
        <v>2023</v>
      </c>
      <c r="D1694" t="s">
        <v>113</v>
      </c>
      <c r="E1694" t="s">
        <v>129</v>
      </c>
      <c r="F1694" t="str">
        <f>VLOOKUP(G1694,PC!B:D,2,FALSE)</f>
        <v>COMIDA</v>
      </c>
      <c r="G1694" s="4" t="s">
        <v>12</v>
      </c>
      <c r="H1694" s="1">
        <v>500</v>
      </c>
    </row>
    <row r="1695" spans="2:8" x14ac:dyDescent="0.2">
      <c r="B1695" t="str">
        <f>VLOOKUP(G1695,PC!B:D,3,FALSE)</f>
        <v>CPV</v>
      </c>
      <c r="C1695" s="22">
        <v>2023</v>
      </c>
      <c r="D1695" t="s">
        <v>113</v>
      </c>
      <c r="E1695" t="s">
        <v>129</v>
      </c>
      <c r="F1695" t="str">
        <f>VLOOKUP(G1695,PC!B:D,2,FALSE)</f>
        <v>COMIDA</v>
      </c>
      <c r="G1695" s="4" t="s">
        <v>12</v>
      </c>
      <c r="H1695" s="1">
        <v>59</v>
      </c>
    </row>
    <row r="1696" spans="2:8" x14ac:dyDescent="0.2">
      <c r="B1696" t="str">
        <f>VLOOKUP(G1696,PC!B:D,3,FALSE)</f>
        <v>CPV</v>
      </c>
      <c r="C1696" s="22">
        <v>2023</v>
      </c>
      <c r="D1696" t="s">
        <v>113</v>
      </c>
      <c r="E1696" t="s">
        <v>129</v>
      </c>
      <c r="F1696" t="str">
        <f>VLOOKUP(G1696,PC!B:D,2,FALSE)</f>
        <v>CIGARRO</v>
      </c>
      <c r="G1696" s="4" t="s">
        <v>57</v>
      </c>
      <c r="H1696" s="1">
        <f>704+124</f>
        <v>828</v>
      </c>
    </row>
    <row r="1697" spans="2:9" x14ac:dyDescent="0.2">
      <c r="B1697" t="str">
        <f>VLOOKUP(G1697,PC!B:D,3,FALSE)</f>
        <v>CPV</v>
      </c>
      <c r="C1697" s="22">
        <v>2023</v>
      </c>
      <c r="D1697" t="s">
        <v>113</v>
      </c>
      <c r="E1697" t="s">
        <v>129</v>
      </c>
      <c r="F1697" t="str">
        <f>VLOOKUP(G1697,PC!B:D,2,FALSE)</f>
        <v>CIGARRO</v>
      </c>
      <c r="G1697" s="4" t="s">
        <v>131</v>
      </c>
      <c r="H1697" s="1">
        <f>70+125</f>
        <v>195</v>
      </c>
    </row>
    <row r="1698" spans="2:9" x14ac:dyDescent="0.2">
      <c r="B1698" t="str">
        <f>VLOOKUP(G1698,PC!B:D,3,FALSE)</f>
        <v>CPV</v>
      </c>
      <c r="C1698" s="22">
        <v>2023</v>
      </c>
      <c r="D1698" t="s">
        <v>113</v>
      </c>
      <c r="E1698" t="s">
        <v>129</v>
      </c>
      <c r="F1698" t="str">
        <f>VLOOKUP(G1698,PC!B:D,2,FALSE)</f>
        <v>BEBIDAS</v>
      </c>
      <c r="G1698" s="4" t="s">
        <v>39</v>
      </c>
      <c r="H1698" s="1">
        <v>211.5</v>
      </c>
    </row>
    <row r="1699" spans="2:9" x14ac:dyDescent="0.2">
      <c r="B1699" t="str">
        <f>VLOOKUP(G1699,PC!B:D,3,FALSE)</f>
        <v>CPV</v>
      </c>
      <c r="C1699" s="22">
        <v>2023</v>
      </c>
      <c r="D1699" t="s">
        <v>113</v>
      </c>
      <c r="E1699" t="s">
        <v>129</v>
      </c>
      <c r="F1699" t="str">
        <f>VLOOKUP(G1699,PC!B:D,2,FALSE)</f>
        <v>OUTROS</v>
      </c>
      <c r="G1699" s="4" t="s">
        <v>58</v>
      </c>
      <c r="H1699" s="1">
        <v>150</v>
      </c>
    </row>
    <row r="1700" spans="2:9" x14ac:dyDescent="0.2">
      <c r="B1700" t="str">
        <f>VLOOKUP(G1700,PC!B:D,3,FALSE)</f>
        <v>CPV</v>
      </c>
      <c r="C1700" s="22">
        <v>2023</v>
      </c>
      <c r="D1700" t="s">
        <v>113</v>
      </c>
      <c r="E1700" t="s">
        <v>129</v>
      </c>
      <c r="F1700" t="str">
        <f>VLOOKUP(G1700,PC!B:D,2,FALSE)</f>
        <v>SOBREMESA</v>
      </c>
      <c r="G1700" s="4" t="s">
        <v>7</v>
      </c>
      <c r="H1700" s="1">
        <v>117</v>
      </c>
    </row>
    <row r="1701" spans="2:9" x14ac:dyDescent="0.2">
      <c r="B1701" t="str">
        <f>VLOOKUP(G1701,PC!B:D,3,FALSE)</f>
        <v>CPV</v>
      </c>
      <c r="C1701" s="22">
        <v>2023</v>
      </c>
      <c r="D1701" t="s">
        <v>113</v>
      </c>
      <c r="E1701" t="s">
        <v>129</v>
      </c>
      <c r="F1701" t="str">
        <f>VLOOKUP(G1701,PC!B:D,2,FALSE)</f>
        <v>BEBIDAS</v>
      </c>
      <c r="G1701" s="4" t="s">
        <v>39</v>
      </c>
      <c r="H1701" s="1">
        <v>47</v>
      </c>
    </row>
    <row r="1702" spans="2:9" x14ac:dyDescent="0.2">
      <c r="B1702" t="str">
        <f>VLOOKUP(G1702,PC!B:D,3,FALSE)</f>
        <v>CPV</v>
      </c>
      <c r="C1702" s="22">
        <v>2023</v>
      </c>
      <c r="D1702" t="s">
        <v>113</v>
      </c>
      <c r="E1702" t="s">
        <v>129</v>
      </c>
      <c r="F1702" t="str">
        <f>VLOOKUP(G1702,PC!B:D,2,FALSE)</f>
        <v>CIGARRO</v>
      </c>
      <c r="G1702" s="4" t="s">
        <v>57</v>
      </c>
      <c r="H1702" s="1">
        <v>80</v>
      </c>
    </row>
    <row r="1703" spans="2:9" x14ac:dyDescent="0.2">
      <c r="B1703" t="str">
        <f>VLOOKUP(G1703,PC!B:D,3,FALSE)</f>
        <v>CPV</v>
      </c>
      <c r="C1703" s="22">
        <v>2023</v>
      </c>
      <c r="D1703" t="s">
        <v>113</v>
      </c>
      <c r="E1703" t="s">
        <v>5</v>
      </c>
      <c r="F1703" t="str">
        <f>VLOOKUP(G1703,PC!B:D,2,FALSE)</f>
        <v>COMIDA</v>
      </c>
      <c r="G1703" s="4" t="s">
        <v>18</v>
      </c>
      <c r="H1703" s="1">
        <v>131.76</v>
      </c>
    </row>
    <row r="1704" spans="2:9" x14ac:dyDescent="0.2">
      <c r="B1704" t="str">
        <f>VLOOKUP(G1704,PC!B:D,3,FALSE)</f>
        <v>CPV</v>
      </c>
      <c r="C1704" s="22">
        <v>2023</v>
      </c>
      <c r="D1704" t="s">
        <v>113</v>
      </c>
      <c r="E1704" t="s">
        <v>129</v>
      </c>
      <c r="F1704" t="str">
        <f>VLOOKUP(G1704,PC!B:D,2,FALSE)</f>
        <v>BEBIDAS</v>
      </c>
      <c r="G1704" s="4" t="s">
        <v>25</v>
      </c>
      <c r="H1704" s="1">
        <v>42.5</v>
      </c>
    </row>
    <row r="1705" spans="2:9" x14ac:dyDescent="0.2">
      <c r="B1705" t="str">
        <f>VLOOKUP(G1705,PC!B:D,3,FALSE)</f>
        <v>CPV</v>
      </c>
      <c r="C1705" s="22">
        <v>2023</v>
      </c>
      <c r="D1705" t="s">
        <v>113</v>
      </c>
      <c r="E1705" t="s">
        <v>129</v>
      </c>
      <c r="F1705" t="str">
        <f>VLOOKUP(G1705,PC!B:D,2,FALSE)</f>
        <v>BEBIDAS</v>
      </c>
      <c r="G1705" s="4" t="s">
        <v>39</v>
      </c>
      <c r="H1705" s="1">
        <v>105.9</v>
      </c>
    </row>
    <row r="1706" spans="2:9" x14ac:dyDescent="0.2">
      <c r="B1706" t="str">
        <f>VLOOKUP(G1706,PC!B:D,3,FALSE)</f>
        <v>CPV</v>
      </c>
      <c r="C1706" s="22">
        <v>2023</v>
      </c>
      <c r="D1706" t="s">
        <v>113</v>
      </c>
      <c r="E1706" t="s">
        <v>129</v>
      </c>
      <c r="F1706" t="str">
        <f>VLOOKUP(G1706,PC!B:D,2,FALSE)</f>
        <v>COMIDA</v>
      </c>
      <c r="G1706" s="4" t="s">
        <v>155</v>
      </c>
      <c r="H1706" s="1">
        <v>450</v>
      </c>
    </row>
    <row r="1707" spans="2:9" x14ac:dyDescent="0.2">
      <c r="B1707" t="str">
        <f>VLOOKUP(G1707,PC!B:D,3,FALSE)</f>
        <v>CPV</v>
      </c>
      <c r="C1707" s="22">
        <v>2023</v>
      </c>
      <c r="D1707" t="s">
        <v>113</v>
      </c>
      <c r="E1707" t="s">
        <v>129</v>
      </c>
      <c r="F1707" t="str">
        <f>VLOOKUP(G1707,PC!B:D,2,FALSE)</f>
        <v>OUTROS</v>
      </c>
      <c r="G1707" s="4" t="s">
        <v>37</v>
      </c>
      <c r="H1707" s="1">
        <v>65</v>
      </c>
      <c r="I1707" s="4" t="s">
        <v>149</v>
      </c>
    </row>
    <row r="1708" spans="2:9" x14ac:dyDescent="0.2">
      <c r="B1708" t="str">
        <f>VLOOKUP(G1708,PC!B:D,3,FALSE)</f>
        <v>CPV</v>
      </c>
      <c r="C1708" s="22">
        <v>2023</v>
      </c>
      <c r="D1708" t="s">
        <v>113</v>
      </c>
      <c r="E1708" t="s">
        <v>129</v>
      </c>
      <c r="F1708" t="str">
        <f>VLOOKUP(G1708,PC!B:D,2,FALSE)</f>
        <v>BEBIDAS</v>
      </c>
      <c r="G1708" s="4" t="s">
        <v>48</v>
      </c>
      <c r="H1708" s="1">
        <v>184.8</v>
      </c>
    </row>
    <row r="1709" spans="2:9" x14ac:dyDescent="0.2">
      <c r="B1709" t="str">
        <f>VLOOKUP(G1709,PC!B:D,3,FALSE)</f>
        <v>CPV</v>
      </c>
      <c r="C1709" s="22">
        <v>2023</v>
      </c>
      <c r="D1709" t="s">
        <v>113</v>
      </c>
      <c r="E1709" t="s">
        <v>89</v>
      </c>
      <c r="F1709" t="str">
        <f>VLOOKUP(G1709,PC!B:D,2,FALSE)</f>
        <v>BEBIDAS</v>
      </c>
      <c r="G1709" s="4" t="s">
        <v>48</v>
      </c>
      <c r="H1709" s="1">
        <v>725</v>
      </c>
    </row>
    <row r="1710" spans="2:9" x14ac:dyDescent="0.2">
      <c r="B1710" t="str">
        <f>VLOOKUP(G1710,PC!B:D,3,FALSE)</f>
        <v>CPV</v>
      </c>
      <c r="C1710" s="22">
        <v>2023</v>
      </c>
      <c r="D1710" t="s">
        <v>113</v>
      </c>
      <c r="E1710" t="s">
        <v>77</v>
      </c>
      <c r="F1710" t="str">
        <f>VLOOKUP(G1710,PC!B:D,2,FALSE)</f>
        <v>OUTROS</v>
      </c>
      <c r="G1710" s="4" t="s">
        <v>37</v>
      </c>
      <c r="H1710" s="1">
        <v>857.17</v>
      </c>
    </row>
    <row r="1711" spans="2:9" x14ac:dyDescent="0.2">
      <c r="B1711" t="str">
        <f>VLOOKUP(G1711,PC!B:D,3,FALSE)</f>
        <v>DESPESA OPERACIONAL</v>
      </c>
      <c r="C1711" s="22">
        <v>2023</v>
      </c>
      <c r="D1711" t="s">
        <v>113</v>
      </c>
      <c r="F1711" t="str">
        <f>VLOOKUP(G1711,PC!B:D,2,FALSE)</f>
        <v>DESPESA OPERACIONAL</v>
      </c>
      <c r="G1711" s="4" t="s">
        <v>73</v>
      </c>
      <c r="H1711" s="1">
        <f>1209.69+1655.43+1505.39</f>
        <v>4370.51</v>
      </c>
    </row>
    <row r="1712" spans="2:9" x14ac:dyDescent="0.2">
      <c r="B1712" t="str">
        <f>VLOOKUP(G1712,PC!B:D,3,FALSE)</f>
        <v>RECEITA</v>
      </c>
      <c r="C1712" s="22">
        <v>2023</v>
      </c>
      <c r="D1712" t="s">
        <v>113</v>
      </c>
      <c r="F1712" t="str">
        <f>VLOOKUP(G1712,PC!B:D,2,FALSE)</f>
        <v>RECEITA</v>
      </c>
      <c r="G1712" s="4" t="s">
        <v>64</v>
      </c>
      <c r="H1712" s="1">
        <f>33+38+28</f>
        <v>99</v>
      </c>
    </row>
    <row r="1713" spans="2:9" x14ac:dyDescent="0.2">
      <c r="B1713" t="str">
        <f>VLOOKUP(G1713,PC!B:D,3,FALSE)</f>
        <v>RECEITA</v>
      </c>
      <c r="C1713" s="22">
        <v>2023</v>
      </c>
      <c r="D1713" t="s">
        <v>113</v>
      </c>
      <c r="F1713" t="str">
        <f>VLOOKUP(G1713,PC!B:D,2,FALSE)</f>
        <v>RECEITA</v>
      </c>
      <c r="G1713" s="4" t="s">
        <v>54</v>
      </c>
      <c r="H1713" s="1">
        <v>1950</v>
      </c>
    </row>
    <row r="1714" spans="2:9" x14ac:dyDescent="0.2">
      <c r="B1714" t="str">
        <f>VLOOKUP(G1714,PC!B:D,3,FALSE)</f>
        <v>RECEITA</v>
      </c>
      <c r="C1714" s="22">
        <v>2023</v>
      </c>
      <c r="D1714" t="s">
        <v>113</v>
      </c>
      <c r="F1714" t="str">
        <f>VLOOKUP(G1714,PC!B:D,2,FALSE)</f>
        <v>RECEITA</v>
      </c>
      <c r="G1714" s="4" t="s">
        <v>54</v>
      </c>
      <c r="H1714" s="1">
        <v>600</v>
      </c>
    </row>
    <row r="1715" spans="2:9" x14ac:dyDescent="0.2">
      <c r="B1715" t="str">
        <f>VLOOKUP(G1715,PC!B:D,3,FALSE)</f>
        <v>RECEITA</v>
      </c>
      <c r="C1715" s="22">
        <v>2023</v>
      </c>
      <c r="D1715" t="s">
        <v>113</v>
      </c>
      <c r="F1715" t="str">
        <f>VLOOKUP(G1715,PC!B:D,2,FALSE)</f>
        <v>RECEITA</v>
      </c>
      <c r="G1715" s="4" t="s">
        <v>54</v>
      </c>
      <c r="H1715" s="1">
        <f>27</f>
        <v>27</v>
      </c>
    </row>
    <row r="1716" spans="2:9" x14ac:dyDescent="0.2">
      <c r="B1716" t="str">
        <f>VLOOKUP(G1716,PC!B:D,3,FALSE)</f>
        <v>RECEITA</v>
      </c>
      <c r="C1716" s="22">
        <v>2023</v>
      </c>
      <c r="D1716" t="s">
        <v>113</v>
      </c>
      <c r="F1716" t="str">
        <f>VLOOKUP(G1716,PC!B:D,2,FALSE)</f>
        <v>RECEITA</v>
      </c>
      <c r="G1716" s="4" t="s">
        <v>54</v>
      </c>
      <c r="H1716" s="1">
        <f>1000+1600+300</f>
        <v>2900</v>
      </c>
    </row>
    <row r="1717" spans="2:9" x14ac:dyDescent="0.2">
      <c r="B1717" t="str">
        <f>VLOOKUP(G1717,PC!B:D,3,FALSE)</f>
        <v>RECEITA</v>
      </c>
      <c r="C1717" s="22">
        <v>2023</v>
      </c>
      <c r="D1717" t="s">
        <v>113</v>
      </c>
      <c r="F1717" t="str">
        <f>VLOOKUP(G1717,PC!B:D,2,FALSE)</f>
        <v>RECEITA</v>
      </c>
      <c r="G1717" s="4" t="s">
        <v>54</v>
      </c>
      <c r="H1717" s="1">
        <v>450</v>
      </c>
    </row>
    <row r="1718" spans="2:9" x14ac:dyDescent="0.2">
      <c r="B1718" t="str">
        <f>VLOOKUP(G1718,PC!B:D,3,FALSE)</f>
        <v>RECEITA</v>
      </c>
      <c r="C1718" s="22">
        <v>2023</v>
      </c>
      <c r="D1718" t="s">
        <v>113</v>
      </c>
      <c r="F1718" t="str">
        <f>VLOOKUP(G1718,PC!B:D,2,FALSE)</f>
        <v>RECEITA</v>
      </c>
      <c r="G1718" s="4" t="s">
        <v>54</v>
      </c>
      <c r="H1718" s="1">
        <v>1750</v>
      </c>
    </row>
    <row r="1719" spans="2:9" x14ac:dyDescent="0.2">
      <c r="B1719" t="str">
        <f>VLOOKUP(G1719,PC!B:D,3,FALSE)</f>
        <v>RECEITA</v>
      </c>
      <c r="C1719" s="22">
        <v>2023</v>
      </c>
      <c r="D1719" t="s">
        <v>113</v>
      </c>
      <c r="F1719" t="str">
        <f>VLOOKUP(G1719,PC!B:D,2,FALSE)</f>
        <v>RECEITA</v>
      </c>
      <c r="G1719" s="4" t="s">
        <v>54</v>
      </c>
      <c r="H1719" s="1">
        <v>400</v>
      </c>
    </row>
    <row r="1720" spans="2:9" x14ac:dyDescent="0.2">
      <c r="B1720" t="str">
        <f>VLOOKUP(G1720,PC!B:D,3,FALSE)</f>
        <v>RECEITA</v>
      </c>
      <c r="C1720" s="22">
        <v>2023</v>
      </c>
      <c r="D1720" t="s">
        <v>113</v>
      </c>
      <c r="F1720" t="str">
        <f>VLOOKUP(G1720,PC!B:D,2,FALSE)</f>
        <v>RECEITA</v>
      </c>
      <c r="G1720" s="4" t="s">
        <v>54</v>
      </c>
      <c r="H1720" s="1">
        <f>98+135+56+177+52</f>
        <v>518</v>
      </c>
    </row>
    <row r="1721" spans="2:9" x14ac:dyDescent="0.2">
      <c r="B1721" t="str">
        <f>VLOOKUP(G1721,PC!B:D,3,FALSE)</f>
        <v>RECEITA</v>
      </c>
      <c r="C1721" s="22">
        <v>2023</v>
      </c>
      <c r="D1721" t="s">
        <v>113</v>
      </c>
      <c r="F1721" t="str">
        <f>VLOOKUP(G1721,PC!B:D,2,FALSE)</f>
        <v>RECEITA</v>
      </c>
      <c r="G1721" s="4" t="s">
        <v>54</v>
      </c>
      <c r="H1721" s="1">
        <f>1000+1500+600+650</f>
        <v>3750</v>
      </c>
    </row>
    <row r="1722" spans="2:9" x14ac:dyDescent="0.2">
      <c r="B1722" t="str">
        <f>VLOOKUP(G1722,PC!B:D,3,FALSE)</f>
        <v>RECEITA</v>
      </c>
      <c r="C1722" s="22">
        <v>2023</v>
      </c>
      <c r="D1722" t="s">
        <v>113</v>
      </c>
      <c r="F1722" t="str">
        <f>VLOOKUP(G1722,PC!B:D,2,FALSE)</f>
        <v>RECEITA</v>
      </c>
      <c r="G1722" s="4" t="s">
        <v>54</v>
      </c>
      <c r="H1722" s="1">
        <f>24+60+122+60</f>
        <v>266</v>
      </c>
    </row>
    <row r="1723" spans="2:9" x14ac:dyDescent="0.2">
      <c r="B1723" t="str">
        <f>VLOOKUP(G1723,PC!B:D,3,FALSE)</f>
        <v>DESPESA PESSOAL</v>
      </c>
      <c r="C1723" s="22">
        <v>2023</v>
      </c>
      <c r="D1723" t="s">
        <v>113</v>
      </c>
      <c r="F1723" t="str">
        <f>VLOOKUP(G1723,PC!B:D,2,FALSE)</f>
        <v>DESPESA PESSOAL</v>
      </c>
      <c r="G1723" s="4" t="s">
        <v>68</v>
      </c>
      <c r="H1723" s="1">
        <v>60</v>
      </c>
    </row>
    <row r="1724" spans="2:9" x14ac:dyDescent="0.2">
      <c r="B1724" t="str">
        <f>VLOOKUP(G1724,PC!B:D,3,FALSE)</f>
        <v>CPV</v>
      </c>
      <c r="C1724" s="22">
        <v>2023</v>
      </c>
      <c r="D1724" t="s">
        <v>113</v>
      </c>
      <c r="E1724" t="s">
        <v>129</v>
      </c>
      <c r="F1724" t="str">
        <f>VLOOKUP(G1724,PC!B:D,2,FALSE)</f>
        <v>COMIDA</v>
      </c>
      <c r="G1724" s="4" t="s">
        <v>18</v>
      </c>
      <c r="H1724" s="1">
        <v>24</v>
      </c>
    </row>
    <row r="1725" spans="2:9" x14ac:dyDescent="0.2">
      <c r="B1725" t="str">
        <f>VLOOKUP(G1725,PC!B:D,3,FALSE)</f>
        <v>RECEITA</v>
      </c>
      <c r="C1725" s="22">
        <v>2023</v>
      </c>
      <c r="D1725" t="s">
        <v>113</v>
      </c>
      <c r="F1725" t="str">
        <f>VLOOKUP(G1725,PC!B:D,2,FALSE)</f>
        <v>RECEITA</v>
      </c>
      <c r="G1725" s="4" t="s">
        <v>54</v>
      </c>
      <c r="H1725" s="1">
        <v>600</v>
      </c>
    </row>
    <row r="1726" spans="2:9" x14ac:dyDescent="0.2">
      <c r="B1726" t="str">
        <f>VLOOKUP(G1726,PC!B:D,3,FALSE)</f>
        <v>RECEITA</v>
      </c>
      <c r="C1726" s="22">
        <v>2023</v>
      </c>
      <c r="D1726" t="s">
        <v>113</v>
      </c>
      <c r="F1726" t="str">
        <f>VLOOKUP(G1726,PC!B:D,2,FALSE)</f>
        <v>RECEITA</v>
      </c>
      <c r="G1726" s="4" t="s">
        <v>54</v>
      </c>
      <c r="H1726" s="1">
        <v>1800</v>
      </c>
    </row>
    <row r="1727" spans="2:9" x14ac:dyDescent="0.2">
      <c r="B1727" t="str">
        <f>VLOOKUP(G1727,PC!B:D,3,FALSE)</f>
        <v>DESPESA PESSOAL</v>
      </c>
      <c r="C1727" s="22">
        <v>2023</v>
      </c>
      <c r="D1727" t="s">
        <v>113</v>
      </c>
      <c r="F1727" t="str">
        <f>VLOOKUP(G1727,PC!B:D,2,FALSE)</f>
        <v>DESPESA PESSOAL</v>
      </c>
      <c r="G1727" s="4" t="s">
        <v>56</v>
      </c>
      <c r="H1727" s="1">
        <v>350</v>
      </c>
      <c r="I1727" s="7" t="s">
        <v>197</v>
      </c>
    </row>
    <row r="1728" spans="2:9" x14ac:dyDescent="0.2">
      <c r="B1728" t="str">
        <f>VLOOKUP(G1728,PC!B:D,3,FALSE)</f>
        <v>DESPESA PESSOAL</v>
      </c>
      <c r="C1728" s="22">
        <v>2023</v>
      </c>
      <c r="D1728" t="s">
        <v>113</v>
      </c>
      <c r="F1728" t="str">
        <f>VLOOKUP(G1728,PC!B:D,2,FALSE)</f>
        <v>DESPESA PESSOAL</v>
      </c>
      <c r="G1728" s="4" t="s">
        <v>68</v>
      </c>
      <c r="H1728" s="1">
        <v>150</v>
      </c>
    </row>
    <row r="1729" spans="2:9" x14ac:dyDescent="0.2">
      <c r="B1729" t="str">
        <f>VLOOKUP(G1729,PC!B:D,3,FALSE)</f>
        <v>RECEITA</v>
      </c>
      <c r="C1729" s="22">
        <v>2023</v>
      </c>
      <c r="D1729" t="s">
        <v>113</v>
      </c>
      <c r="F1729" t="str">
        <f>VLOOKUP(G1729,PC!B:D,2,FALSE)</f>
        <v>RECEITA</v>
      </c>
      <c r="G1729" s="4" t="s">
        <v>54</v>
      </c>
      <c r="H1729" s="1">
        <f>24+50+105+44+318+150</f>
        <v>691</v>
      </c>
    </row>
    <row r="1730" spans="2:9" x14ac:dyDescent="0.2">
      <c r="B1730" t="str">
        <f>VLOOKUP(G1730,PC!B:D,3,FALSE)</f>
        <v>RECEITA</v>
      </c>
      <c r="C1730" s="22">
        <v>2023</v>
      </c>
      <c r="D1730" t="s">
        <v>113</v>
      </c>
      <c r="F1730" t="str">
        <f>VLOOKUP(G1730,PC!B:D,2,FALSE)</f>
        <v>RECEITA</v>
      </c>
      <c r="G1730" s="4" t="s">
        <v>54</v>
      </c>
      <c r="H1730" s="1">
        <f>85.75+85</f>
        <v>170.75</v>
      </c>
    </row>
    <row r="1731" spans="2:9" x14ac:dyDescent="0.2">
      <c r="B1731" t="str">
        <f>VLOOKUP(G1731,PC!B:D,3,FALSE)</f>
        <v>RECEITA</v>
      </c>
      <c r="C1731" s="22">
        <v>2023</v>
      </c>
      <c r="D1731" t="s">
        <v>113</v>
      </c>
      <c r="F1731" t="str">
        <f>VLOOKUP(G1731,PC!B:D,2,FALSE)</f>
        <v>RECEITA</v>
      </c>
      <c r="G1731" s="4" t="s">
        <v>54</v>
      </c>
      <c r="H1731" s="1">
        <v>1600</v>
      </c>
    </row>
    <row r="1732" spans="2:9" x14ac:dyDescent="0.2">
      <c r="B1732" t="str">
        <f>VLOOKUP(G1732,PC!B:D,3,FALSE)</f>
        <v>RECEITA</v>
      </c>
      <c r="C1732" s="22">
        <v>2023</v>
      </c>
      <c r="D1732" t="s">
        <v>113</v>
      </c>
      <c r="F1732" t="str">
        <f>VLOOKUP(G1732,PC!B:D,2,FALSE)</f>
        <v>RECEITA</v>
      </c>
      <c r="G1732" s="4" t="s">
        <v>54</v>
      </c>
      <c r="H1732" s="1">
        <v>1600</v>
      </c>
    </row>
    <row r="1733" spans="2:9" x14ac:dyDescent="0.2">
      <c r="B1733" t="str">
        <f>VLOOKUP(G1733,PC!B:D,3,FALSE)</f>
        <v>RECEITA</v>
      </c>
      <c r="C1733" s="22">
        <v>2023</v>
      </c>
      <c r="D1733" t="s">
        <v>113</v>
      </c>
      <c r="F1733" t="str">
        <f>VLOOKUP(G1733,PC!B:D,2,FALSE)</f>
        <v>RECEITA</v>
      </c>
      <c r="G1733" s="4" t="s">
        <v>54</v>
      </c>
      <c r="H1733" s="1">
        <f>150+300+30+49+40</f>
        <v>569</v>
      </c>
    </row>
    <row r="1734" spans="2:9" x14ac:dyDescent="0.2">
      <c r="B1734" t="str">
        <f>VLOOKUP(G1734,PC!B:D,3,FALSE)</f>
        <v>DESPESA PESSOAL</v>
      </c>
      <c r="C1734" s="22">
        <v>2023</v>
      </c>
      <c r="D1734" t="s">
        <v>113</v>
      </c>
      <c r="F1734" t="str">
        <f>VLOOKUP(G1734,PC!B:D,2,FALSE)</f>
        <v>DESPESA PESSOAL</v>
      </c>
      <c r="G1734" s="4" t="s">
        <v>56</v>
      </c>
      <c r="H1734" s="1">
        <v>300</v>
      </c>
      <c r="I1734" s="7" t="s">
        <v>150</v>
      </c>
    </row>
    <row r="1735" spans="2:9" x14ac:dyDescent="0.2">
      <c r="B1735" t="str">
        <f>VLOOKUP(G1735,PC!B:D,3,FALSE)</f>
        <v>DESPESA PESSOAL</v>
      </c>
      <c r="C1735" s="22">
        <v>2023</v>
      </c>
      <c r="D1735" t="s">
        <v>113</v>
      </c>
      <c r="F1735" t="str">
        <f>VLOOKUP(G1735,PC!B:D,2,FALSE)</f>
        <v>DESPESA PESSOAL</v>
      </c>
      <c r="G1735" s="4" t="s">
        <v>56</v>
      </c>
      <c r="H1735" s="1">
        <v>40</v>
      </c>
      <c r="I1735" s="7" t="s">
        <v>198</v>
      </c>
    </row>
    <row r="1736" spans="2:9" x14ac:dyDescent="0.2">
      <c r="B1736" t="str">
        <f>VLOOKUP(G1736,PC!B:D,3,FALSE)</f>
        <v>RECEITAS NÃO OPERACIONAIS</v>
      </c>
      <c r="C1736" s="22">
        <v>2023</v>
      </c>
      <c r="D1736" t="s">
        <v>113</v>
      </c>
      <c r="F1736" t="str">
        <f>VLOOKUP(G1736,PC!B:D,2,FALSE)</f>
        <v>EMPRESTIMO</v>
      </c>
      <c r="G1736" s="4" t="s">
        <v>71</v>
      </c>
      <c r="H1736" s="1">
        <v>150</v>
      </c>
    </row>
    <row r="1737" spans="2:9" x14ac:dyDescent="0.2">
      <c r="B1737" t="str">
        <f>VLOOKUP(G1737,PC!B:D,3,FALSE)</f>
        <v>RECEITA</v>
      </c>
      <c r="C1737" s="22">
        <v>2023</v>
      </c>
      <c r="D1737" t="s">
        <v>113</v>
      </c>
      <c r="F1737" t="str">
        <f>VLOOKUP(G1737,PC!B:D,2,FALSE)</f>
        <v>RECEITA</v>
      </c>
      <c r="G1737" s="4" t="s">
        <v>54</v>
      </c>
      <c r="H1737" s="1">
        <v>1500</v>
      </c>
    </row>
    <row r="1738" spans="2:9" x14ac:dyDescent="0.2">
      <c r="B1738" t="str">
        <f>VLOOKUP(G1738,PC!B:D,3,FALSE)</f>
        <v>RECEITA</v>
      </c>
      <c r="C1738" s="22">
        <v>2023</v>
      </c>
      <c r="D1738" t="s">
        <v>113</v>
      </c>
      <c r="F1738" t="str">
        <f>VLOOKUP(G1738,PC!B:D,2,FALSE)</f>
        <v>RECEITA</v>
      </c>
      <c r="G1738" s="4" t="s">
        <v>54</v>
      </c>
      <c r="H1738" s="1">
        <v>1000</v>
      </c>
    </row>
    <row r="1739" spans="2:9" x14ac:dyDescent="0.2">
      <c r="B1739" t="str">
        <f>VLOOKUP(G1739,PC!B:D,3,FALSE)</f>
        <v>RECEITA</v>
      </c>
      <c r="C1739" s="22">
        <v>2023</v>
      </c>
      <c r="D1739" t="s">
        <v>113</v>
      </c>
      <c r="F1739" t="str">
        <f>VLOOKUP(G1739,PC!B:D,2,FALSE)</f>
        <v>RECEITA</v>
      </c>
      <c r="G1739" s="4" t="s">
        <v>54</v>
      </c>
      <c r="H1739" s="1">
        <v>200</v>
      </c>
    </row>
    <row r="1740" spans="2:9" x14ac:dyDescent="0.2">
      <c r="B1740" t="str">
        <f>VLOOKUP(G1740,PC!B:D,3,FALSE)</f>
        <v>RECEITA</v>
      </c>
      <c r="C1740" s="22">
        <v>2023</v>
      </c>
      <c r="D1740" t="s">
        <v>113</v>
      </c>
      <c r="F1740" t="str">
        <f>VLOOKUP(G1740,PC!B:D,2,FALSE)</f>
        <v>RECEITA</v>
      </c>
      <c r="G1740" s="4" t="s">
        <v>54</v>
      </c>
      <c r="H1740" s="1">
        <v>1000</v>
      </c>
    </row>
    <row r="1741" spans="2:9" x14ac:dyDescent="0.2">
      <c r="B1741" t="str">
        <f>VLOOKUP(G1741,PC!B:D,3,FALSE)</f>
        <v>RECEITA</v>
      </c>
      <c r="C1741" s="22">
        <v>2023</v>
      </c>
      <c r="D1741" t="s">
        <v>113</v>
      </c>
      <c r="F1741" t="str">
        <f>VLOOKUP(G1741,PC!B:D,2,FALSE)</f>
        <v>RECEITA</v>
      </c>
      <c r="G1741" s="4" t="s">
        <v>54</v>
      </c>
      <c r="H1741" s="1">
        <v>100</v>
      </c>
    </row>
    <row r="1742" spans="2:9" x14ac:dyDescent="0.2">
      <c r="B1742" t="str">
        <f>VLOOKUP(G1742,PC!B:D,3,FALSE)</f>
        <v>RECEITA</v>
      </c>
      <c r="C1742" s="22">
        <v>2023</v>
      </c>
      <c r="D1742" t="s">
        <v>113</v>
      </c>
      <c r="F1742" t="str">
        <f>VLOOKUP(G1742,PC!B:D,2,FALSE)</f>
        <v>RECEITA</v>
      </c>
      <c r="G1742" s="4" t="s">
        <v>54</v>
      </c>
      <c r="H1742" s="1">
        <v>1900</v>
      </c>
    </row>
    <row r="1743" spans="2:9" x14ac:dyDescent="0.2">
      <c r="B1743" t="str">
        <f>VLOOKUP(G1743,PC!B:D,3,FALSE)</f>
        <v>DESPESA PESSOAL</v>
      </c>
      <c r="C1743" s="22">
        <v>2023</v>
      </c>
      <c r="D1743" t="s">
        <v>113</v>
      </c>
      <c r="F1743" t="str">
        <f>VLOOKUP(G1743,PC!B:D,2,FALSE)</f>
        <v>DESPESA PESSOAL</v>
      </c>
      <c r="G1743" s="4" t="s">
        <v>56</v>
      </c>
      <c r="H1743" s="1">
        <v>350</v>
      </c>
      <c r="I1743" s="7" t="s">
        <v>197</v>
      </c>
    </row>
    <row r="1744" spans="2:9" x14ac:dyDescent="0.2">
      <c r="B1744" t="str">
        <f>VLOOKUP(G1744,PC!B:D,3,FALSE)</f>
        <v>DESPESA PESSOAL</v>
      </c>
      <c r="C1744" s="22">
        <v>2023</v>
      </c>
      <c r="D1744" t="s">
        <v>113</v>
      </c>
      <c r="F1744" t="str">
        <f>VLOOKUP(G1744,PC!B:D,2,FALSE)</f>
        <v>DESPESA PESSOAL</v>
      </c>
      <c r="G1744" s="4" t="s">
        <v>124</v>
      </c>
      <c r="H1744" s="1">
        <v>600</v>
      </c>
    </row>
    <row r="1745" spans="2:8" x14ac:dyDescent="0.2">
      <c r="B1745" t="str">
        <f>VLOOKUP(G1745,PC!B:D,3,FALSE)</f>
        <v>RECEITA</v>
      </c>
      <c r="C1745" s="22">
        <v>2023</v>
      </c>
      <c r="D1745" t="s">
        <v>113</v>
      </c>
      <c r="F1745" t="str">
        <f>VLOOKUP(G1745,PC!B:D,2,FALSE)</f>
        <v>RECEITA</v>
      </c>
      <c r="G1745" s="4" t="s">
        <v>54</v>
      </c>
      <c r="H1745" s="1">
        <f>18+105</f>
        <v>123</v>
      </c>
    </row>
    <row r="1746" spans="2:8" x14ac:dyDescent="0.2">
      <c r="B1746" t="str">
        <f>VLOOKUP(G1746,PC!B:D,3,FALSE)</f>
        <v>RECEITA</v>
      </c>
      <c r="C1746" s="22">
        <v>2023</v>
      </c>
      <c r="D1746" t="s">
        <v>113</v>
      </c>
      <c r="F1746" t="str">
        <f>VLOOKUP(G1746,PC!B:D,2,FALSE)</f>
        <v>RECEITA</v>
      </c>
      <c r="G1746" s="4" t="s">
        <v>54</v>
      </c>
      <c r="H1746" s="1">
        <v>1000</v>
      </c>
    </row>
    <row r="1747" spans="2:8" x14ac:dyDescent="0.2">
      <c r="B1747" t="str">
        <f>VLOOKUP(G1747,PC!B:D,3,FALSE)</f>
        <v>RECEITA</v>
      </c>
      <c r="C1747" s="22">
        <v>2023</v>
      </c>
      <c r="D1747" t="s">
        <v>113</v>
      </c>
      <c r="F1747" t="str">
        <f>VLOOKUP(G1747,PC!B:D,2,FALSE)</f>
        <v>RECEITA</v>
      </c>
      <c r="G1747" s="4" t="s">
        <v>54</v>
      </c>
      <c r="H1747" s="1">
        <v>550</v>
      </c>
    </row>
    <row r="1748" spans="2:8" x14ac:dyDescent="0.2">
      <c r="B1748" t="str">
        <f>VLOOKUP(G1748,PC!B:D,3,FALSE)</f>
        <v>RECEITA</v>
      </c>
      <c r="C1748" s="22">
        <v>2023</v>
      </c>
      <c r="D1748" t="s">
        <v>113</v>
      </c>
      <c r="F1748" t="str">
        <f>VLOOKUP(G1748,PC!B:D,2,FALSE)</f>
        <v>RECEITA</v>
      </c>
      <c r="G1748" s="4" t="s">
        <v>54</v>
      </c>
      <c r="H1748" s="1">
        <v>1000</v>
      </c>
    </row>
    <row r="1749" spans="2:8" x14ac:dyDescent="0.2">
      <c r="B1749" t="str">
        <f>VLOOKUP(G1749,PC!B:D,3,FALSE)</f>
        <v>RECEITA</v>
      </c>
      <c r="C1749" s="22">
        <v>2023</v>
      </c>
      <c r="D1749" t="s">
        <v>113</v>
      </c>
      <c r="F1749" t="str">
        <f>VLOOKUP(G1749,PC!B:D,2,FALSE)</f>
        <v>RECEITA</v>
      </c>
      <c r="G1749" s="4" t="s">
        <v>54</v>
      </c>
      <c r="H1749" s="1">
        <f>35+120+42+80</f>
        <v>277</v>
      </c>
    </row>
    <row r="1750" spans="2:8" x14ac:dyDescent="0.2">
      <c r="B1750" t="str">
        <f>VLOOKUP(G1750,PC!B:D,3,FALSE)</f>
        <v>RECEITA</v>
      </c>
      <c r="C1750" s="22">
        <v>2023</v>
      </c>
      <c r="D1750" t="s">
        <v>113</v>
      </c>
      <c r="F1750" t="str">
        <f>VLOOKUP(G1750,PC!B:D,2,FALSE)</f>
        <v>RECEITA</v>
      </c>
      <c r="G1750" s="4" t="s">
        <v>54</v>
      </c>
      <c r="H1750" s="1">
        <v>550</v>
      </c>
    </row>
    <row r="1751" spans="2:8" x14ac:dyDescent="0.2">
      <c r="B1751" t="str">
        <f>VLOOKUP(G1751,PC!B:D,3,FALSE)</f>
        <v>RECEITA</v>
      </c>
      <c r="C1751" s="22">
        <v>2023</v>
      </c>
      <c r="D1751" t="s">
        <v>113</v>
      </c>
      <c r="F1751" t="str">
        <f>VLOOKUP(G1751,PC!B:D,2,FALSE)</f>
        <v>RECEITA</v>
      </c>
      <c r="G1751" s="4" t="s">
        <v>54</v>
      </c>
      <c r="H1751" s="1">
        <v>1600</v>
      </c>
    </row>
    <row r="1752" spans="2:8" x14ac:dyDescent="0.2">
      <c r="B1752" t="str">
        <f>VLOOKUP(G1752,PC!B:D,3,FALSE)</f>
        <v>RECEITA</v>
      </c>
      <c r="C1752" s="22">
        <v>2023</v>
      </c>
      <c r="D1752" t="s">
        <v>113</v>
      </c>
      <c r="F1752" t="str">
        <f>VLOOKUP(G1752,PC!B:D,2,FALSE)</f>
        <v>RECEITA</v>
      </c>
      <c r="G1752" s="4" t="s">
        <v>54</v>
      </c>
      <c r="H1752" s="1">
        <f>56+27+51.2+115+365</f>
        <v>614.20000000000005</v>
      </c>
    </row>
    <row r="1753" spans="2:8" x14ac:dyDescent="0.2">
      <c r="B1753" t="str">
        <f>VLOOKUP(G1753,PC!B:D,3,FALSE)</f>
        <v>RECEITA</v>
      </c>
      <c r="C1753" s="22">
        <v>2023</v>
      </c>
      <c r="D1753" t="s">
        <v>113</v>
      </c>
      <c r="F1753" t="str">
        <f>VLOOKUP(G1753,PC!B:D,2,FALSE)</f>
        <v>RECEITA</v>
      </c>
      <c r="G1753" s="4" t="s">
        <v>54</v>
      </c>
      <c r="H1753" s="1">
        <v>300</v>
      </c>
    </row>
    <row r="1754" spans="2:8" x14ac:dyDescent="0.2">
      <c r="B1754" t="str">
        <f>VLOOKUP(G1754,PC!B:D,3,FALSE)</f>
        <v>RECEITA</v>
      </c>
      <c r="C1754" s="22">
        <v>2023</v>
      </c>
      <c r="D1754" t="s">
        <v>113</v>
      </c>
      <c r="F1754" t="str">
        <f>VLOOKUP(G1754,PC!B:D,2,FALSE)</f>
        <v>RECEITA</v>
      </c>
      <c r="G1754" s="4" t="s">
        <v>54</v>
      </c>
      <c r="H1754" s="1">
        <f>117+150</f>
        <v>267</v>
      </c>
    </row>
    <row r="1755" spans="2:8" x14ac:dyDescent="0.2">
      <c r="B1755" t="str">
        <f>VLOOKUP(G1755,PC!B:D,3,FALSE)</f>
        <v>RECEITA</v>
      </c>
      <c r="C1755" s="22">
        <v>2023</v>
      </c>
      <c r="D1755" t="s">
        <v>113</v>
      </c>
      <c r="F1755" t="str">
        <f>VLOOKUP(G1755,PC!B:D,2,FALSE)</f>
        <v>RECEITA</v>
      </c>
      <c r="G1755" s="4" t="s">
        <v>54</v>
      </c>
      <c r="H1755" s="1">
        <v>700</v>
      </c>
    </row>
    <row r="1756" spans="2:8" x14ac:dyDescent="0.2">
      <c r="B1756" t="str">
        <f>VLOOKUP(G1756,PC!B:D,3,FALSE)</f>
        <v>RECEITA</v>
      </c>
      <c r="C1756" s="22">
        <v>2023</v>
      </c>
      <c r="D1756" t="s">
        <v>113</v>
      </c>
      <c r="F1756" t="str">
        <f>VLOOKUP(G1756,PC!B:D,2,FALSE)</f>
        <v>RECEITA</v>
      </c>
      <c r="G1756" s="4" t="s">
        <v>54</v>
      </c>
      <c r="H1756" s="1">
        <v>600</v>
      </c>
    </row>
    <row r="1757" spans="2:8" x14ac:dyDescent="0.2">
      <c r="B1757" t="str">
        <f>VLOOKUP(G1757,PC!B:D,3,FALSE)</f>
        <v>RECEITA</v>
      </c>
      <c r="C1757" s="22">
        <v>2023</v>
      </c>
      <c r="D1757" t="s">
        <v>113</v>
      </c>
      <c r="F1757" t="str">
        <f>VLOOKUP(G1757,PC!B:D,2,FALSE)</f>
        <v>RECEITA</v>
      </c>
      <c r="G1757" s="4" t="s">
        <v>54</v>
      </c>
      <c r="H1757" s="1">
        <f>59+211.5+82.5+23+50+228+94+380+176+42.5</f>
        <v>1346.5</v>
      </c>
    </row>
    <row r="1758" spans="2:8" x14ac:dyDescent="0.2">
      <c r="B1758" t="str">
        <f>VLOOKUP(G1758,PC!B:D,3,FALSE)</f>
        <v>CPV</v>
      </c>
      <c r="C1758" s="22">
        <v>2023</v>
      </c>
      <c r="D1758" t="s">
        <v>113</v>
      </c>
      <c r="E1758" t="s">
        <v>129</v>
      </c>
      <c r="F1758" t="str">
        <f>VLOOKUP(G1758,PC!B:D,2,FALSE)</f>
        <v>COMIDA</v>
      </c>
      <c r="G1758" s="4" t="s">
        <v>12</v>
      </c>
      <c r="H1758" s="1">
        <v>228</v>
      </c>
    </row>
    <row r="1759" spans="2:8" x14ac:dyDescent="0.2">
      <c r="B1759" t="str">
        <f>VLOOKUP(G1759,PC!B:D,3,FALSE)</f>
        <v>CPV</v>
      </c>
      <c r="C1759" s="22">
        <v>2023</v>
      </c>
      <c r="D1759" t="s">
        <v>113</v>
      </c>
      <c r="E1759" t="s">
        <v>129</v>
      </c>
      <c r="F1759" t="str">
        <f>VLOOKUP(G1759,PC!B:D,2,FALSE)</f>
        <v>COMIDA</v>
      </c>
      <c r="G1759" s="4" t="s">
        <v>146</v>
      </c>
      <c r="H1759" s="1">
        <v>50</v>
      </c>
    </row>
    <row r="1760" spans="2:8" x14ac:dyDescent="0.2">
      <c r="B1760" t="str">
        <f>VLOOKUP(G1760,PC!B:D,3,FALSE)</f>
        <v>CPV</v>
      </c>
      <c r="C1760" s="22">
        <v>2023</v>
      </c>
      <c r="D1760" t="s">
        <v>113</v>
      </c>
      <c r="E1760" t="s">
        <v>129</v>
      </c>
      <c r="F1760" t="str">
        <f>VLOOKUP(G1760,PC!B:D,2,FALSE)</f>
        <v>COMIDA</v>
      </c>
      <c r="G1760" s="4" t="s">
        <v>12</v>
      </c>
      <c r="H1760" s="1">
        <v>380</v>
      </c>
    </row>
    <row r="1761" spans="2:9" x14ac:dyDescent="0.2">
      <c r="B1761" t="str">
        <f>VLOOKUP(G1761,PC!B:D,3,FALSE)</f>
        <v>RECEITA</v>
      </c>
      <c r="C1761" s="22">
        <v>2023</v>
      </c>
      <c r="D1761" t="s">
        <v>113</v>
      </c>
      <c r="F1761" t="str">
        <f>VLOOKUP(G1761,PC!B:D,2,FALSE)</f>
        <v>RECEITA</v>
      </c>
      <c r="G1761" s="4" t="s">
        <v>54</v>
      </c>
      <c r="H1761" s="1">
        <v>1250</v>
      </c>
    </row>
    <row r="1762" spans="2:9" x14ac:dyDescent="0.2">
      <c r="B1762" t="str">
        <f>VLOOKUP(G1762,PC!B:D,3,FALSE)</f>
        <v>RECEITA</v>
      </c>
      <c r="C1762" s="22">
        <v>2023</v>
      </c>
      <c r="D1762" t="s">
        <v>113</v>
      </c>
      <c r="F1762" t="str">
        <f>VLOOKUP(G1762,PC!B:D,2,FALSE)</f>
        <v>RECEITA</v>
      </c>
      <c r="G1762" s="4" t="s">
        <v>54</v>
      </c>
      <c r="H1762" s="1">
        <v>500</v>
      </c>
    </row>
    <row r="1763" spans="2:9" x14ac:dyDescent="0.2">
      <c r="B1763" t="str">
        <f>VLOOKUP(G1763,PC!B:D,3,FALSE)</f>
        <v>RECEITA</v>
      </c>
      <c r="C1763" s="22">
        <v>2023</v>
      </c>
      <c r="D1763" t="s">
        <v>113</v>
      </c>
      <c r="F1763" t="str">
        <f>VLOOKUP(G1763,PC!B:D,2,FALSE)</f>
        <v>RECEITA</v>
      </c>
      <c r="G1763" s="4" t="s">
        <v>54</v>
      </c>
      <c r="H1763" s="1">
        <f>80+105+30+26.4+184+65+185</f>
        <v>675.4</v>
      </c>
    </row>
    <row r="1764" spans="2:9" x14ac:dyDescent="0.2">
      <c r="B1764" t="str">
        <f>VLOOKUP(G1764,PC!B:D,3,FALSE)</f>
        <v>CPV</v>
      </c>
      <c r="C1764" s="22">
        <v>2023</v>
      </c>
      <c r="D1764" t="s">
        <v>113</v>
      </c>
      <c r="E1764" t="s">
        <v>129</v>
      </c>
      <c r="F1764" t="str">
        <f>VLOOKUP(G1764,PC!B:D,2,FALSE)</f>
        <v>COMIDA</v>
      </c>
      <c r="G1764" s="4" t="s">
        <v>18</v>
      </c>
      <c r="H1764" s="1">
        <v>26.4</v>
      </c>
    </row>
    <row r="1765" spans="2:9" x14ac:dyDescent="0.2">
      <c r="B1765" t="str">
        <f>VLOOKUP(G1765,PC!B:D,3,FALSE)</f>
        <v>RECEITA</v>
      </c>
      <c r="C1765" s="22">
        <v>2023</v>
      </c>
      <c r="D1765" t="s">
        <v>113</v>
      </c>
      <c r="F1765" t="str">
        <f>VLOOKUP(G1765,PC!B:D,2,FALSE)</f>
        <v>RECEITA</v>
      </c>
      <c r="G1765" s="4" t="s">
        <v>54</v>
      </c>
      <c r="H1765" s="1">
        <v>800</v>
      </c>
    </row>
    <row r="1766" spans="2:9" x14ac:dyDescent="0.2">
      <c r="B1766" t="str">
        <f>VLOOKUP(G1766,PC!B:D,3,FALSE)</f>
        <v>RECEITA</v>
      </c>
      <c r="C1766" s="22">
        <v>2023</v>
      </c>
      <c r="D1766" t="s">
        <v>113</v>
      </c>
      <c r="F1766" t="str">
        <f>VLOOKUP(G1766,PC!B:D,2,FALSE)</f>
        <v>RECEITA</v>
      </c>
      <c r="G1766" s="4" t="s">
        <v>54</v>
      </c>
      <c r="H1766" s="1">
        <f>1000+700+800</f>
        <v>2500</v>
      </c>
    </row>
    <row r="1767" spans="2:9" x14ac:dyDescent="0.2">
      <c r="B1767" t="str">
        <f>VLOOKUP(G1767,PC!B:D,3,FALSE)</f>
        <v>DESPESA PESSOAL</v>
      </c>
      <c r="C1767" s="22">
        <v>2023</v>
      </c>
      <c r="D1767" t="s">
        <v>113</v>
      </c>
      <c r="F1767" t="str">
        <f>VLOOKUP(G1767,PC!B:D,2,FALSE)</f>
        <v>DESPESA PESSOAL</v>
      </c>
      <c r="G1767" s="4" t="s">
        <v>56</v>
      </c>
      <c r="H1767" s="1">
        <v>300</v>
      </c>
      <c r="I1767" s="7" t="s">
        <v>150</v>
      </c>
    </row>
    <row r="1768" spans="2:9" x14ac:dyDescent="0.2">
      <c r="B1768" t="str">
        <f>VLOOKUP(G1768,PC!B:D,3,FALSE)</f>
        <v>CPV</v>
      </c>
      <c r="C1768" s="22">
        <v>2023</v>
      </c>
      <c r="D1768" t="s">
        <v>113</v>
      </c>
      <c r="E1768" t="s">
        <v>129</v>
      </c>
      <c r="F1768" t="str">
        <f>VLOOKUP(G1768,PC!B:D,2,FALSE)</f>
        <v>COMIDA</v>
      </c>
      <c r="G1768" s="4" t="s">
        <v>12</v>
      </c>
      <c r="H1768" s="1">
        <v>30</v>
      </c>
    </row>
    <row r="1769" spans="2:9" x14ac:dyDescent="0.2">
      <c r="B1769" t="str">
        <f>VLOOKUP(G1769,PC!B:D,3,FALSE)</f>
        <v>RECEITAS NÃO OPERACIONAIS</v>
      </c>
      <c r="C1769" s="22">
        <v>2023</v>
      </c>
      <c r="D1769" t="s">
        <v>113</v>
      </c>
      <c r="F1769" t="str">
        <f>VLOOKUP(G1769,PC!B:D,2,FALSE)</f>
        <v>EMPRESTIMO</v>
      </c>
      <c r="G1769" s="4" t="s">
        <v>71</v>
      </c>
      <c r="H1769" s="1">
        <v>200</v>
      </c>
    </row>
    <row r="1770" spans="2:9" x14ac:dyDescent="0.2">
      <c r="B1770" t="str">
        <f>VLOOKUP(G1770,PC!B:D,3,FALSE)</f>
        <v>DESPESA PESSOAL</v>
      </c>
      <c r="C1770" s="22">
        <v>2023</v>
      </c>
      <c r="D1770" t="s">
        <v>113</v>
      </c>
      <c r="F1770" t="str">
        <f>VLOOKUP(G1770,PC!B:D,2,FALSE)</f>
        <v>DESPESA PESSOAL</v>
      </c>
      <c r="G1770" s="4" t="s">
        <v>56</v>
      </c>
      <c r="H1770" s="1">
        <v>40</v>
      </c>
      <c r="I1770" s="7" t="s">
        <v>198</v>
      </c>
    </row>
    <row r="1771" spans="2:9" x14ac:dyDescent="0.2">
      <c r="B1771" t="str">
        <f>VLOOKUP(G1771,PC!B:D,3,FALSE)</f>
        <v>RECEITA</v>
      </c>
      <c r="C1771" s="22">
        <v>2023</v>
      </c>
      <c r="D1771" t="s">
        <v>113</v>
      </c>
      <c r="F1771" t="str">
        <f>VLOOKUP(G1771,PC!B:D,2,FALSE)</f>
        <v>RECEITA</v>
      </c>
      <c r="G1771" s="4" t="s">
        <v>54</v>
      </c>
      <c r="H1771" s="1">
        <f>300+119.8+30+253+45+200+40</f>
        <v>987.8</v>
      </c>
    </row>
    <row r="1772" spans="2:9" x14ac:dyDescent="0.2">
      <c r="B1772" t="str">
        <f>VLOOKUP(G1772,PC!B:D,3,FALSE)</f>
        <v>CPV</v>
      </c>
      <c r="C1772" s="22">
        <v>2023</v>
      </c>
      <c r="D1772" t="s">
        <v>113</v>
      </c>
      <c r="F1772" t="str">
        <f>VLOOKUP(G1772,PC!B:D,2,FALSE)</f>
        <v>OUTROS</v>
      </c>
      <c r="G1772" s="4" t="s">
        <v>37</v>
      </c>
      <c r="H1772" s="1">
        <v>45</v>
      </c>
    </row>
    <row r="1773" spans="2:9" x14ac:dyDescent="0.2">
      <c r="B1773" t="str">
        <f>VLOOKUP(G1773,PC!B:D,3,FALSE)</f>
        <v>RECEITA</v>
      </c>
      <c r="C1773" s="22">
        <v>2023</v>
      </c>
      <c r="D1773" t="s">
        <v>113</v>
      </c>
      <c r="F1773" t="str">
        <f>VLOOKUP(G1773,PC!B:D,2,FALSE)</f>
        <v>RECEITA</v>
      </c>
      <c r="G1773" s="4" t="s">
        <v>54</v>
      </c>
      <c r="H1773" s="1">
        <v>1000</v>
      </c>
    </row>
    <row r="1774" spans="2:9" x14ac:dyDescent="0.2">
      <c r="B1774" t="str">
        <f>VLOOKUP(G1774,PC!B:D,3,FALSE)</f>
        <v>RECEITA</v>
      </c>
      <c r="C1774" s="22">
        <v>2023</v>
      </c>
      <c r="D1774" t="s">
        <v>113</v>
      </c>
      <c r="F1774" t="str">
        <f>VLOOKUP(G1774,PC!B:D,2,FALSE)</f>
        <v>RECEITA</v>
      </c>
      <c r="G1774" s="4" t="s">
        <v>54</v>
      </c>
      <c r="H1774" s="1">
        <v>300</v>
      </c>
    </row>
    <row r="1775" spans="2:9" x14ac:dyDescent="0.2">
      <c r="B1775" t="str">
        <f>VLOOKUP(G1775,PC!B:D,3,FALSE)</f>
        <v>RECEITA</v>
      </c>
      <c r="C1775" s="22">
        <v>2023</v>
      </c>
      <c r="D1775" t="s">
        <v>113</v>
      </c>
      <c r="F1775" t="str">
        <f>VLOOKUP(G1775,PC!B:D,2,FALSE)</f>
        <v>RECEITA</v>
      </c>
      <c r="G1775" s="4" t="s">
        <v>54</v>
      </c>
      <c r="H1775" s="1">
        <v>1900</v>
      </c>
    </row>
    <row r="1776" spans="2:9" x14ac:dyDescent="0.2">
      <c r="B1776" t="str">
        <f>VLOOKUP(G1776,PC!B:D,3,FALSE)</f>
        <v>RECEITA</v>
      </c>
      <c r="C1776" s="22">
        <v>2023</v>
      </c>
      <c r="D1776" t="s">
        <v>113</v>
      </c>
      <c r="F1776" t="str">
        <f>VLOOKUP(G1776,PC!B:D,2,FALSE)</f>
        <v>RECEITA</v>
      </c>
      <c r="G1776" s="4" t="s">
        <v>54</v>
      </c>
      <c r="H1776" s="1">
        <v>850</v>
      </c>
    </row>
    <row r="1777" spans="2:10" x14ac:dyDescent="0.2">
      <c r="B1777" t="str">
        <f>VLOOKUP(G1777,PC!B:D,3,FALSE)</f>
        <v>DESPESA FINANCEIRA</v>
      </c>
      <c r="C1777" s="22">
        <v>2023</v>
      </c>
      <c r="D1777" t="s">
        <v>113</v>
      </c>
      <c r="F1777" t="str">
        <f>VLOOKUP(G1777,PC!B:D,2,FALSE)</f>
        <v>DESPESA FINANCEIRA</v>
      </c>
      <c r="G1777" s="4" t="s">
        <v>90</v>
      </c>
      <c r="H1777" s="1">
        <v>800</v>
      </c>
      <c r="I1777" s="7" t="s">
        <v>195</v>
      </c>
      <c r="J1777" s="48">
        <v>44345</v>
      </c>
    </row>
    <row r="1778" spans="2:10" x14ac:dyDescent="0.2">
      <c r="B1778" t="str">
        <f>VLOOKUP(G1778,PC!B:D,3,FALSE)</f>
        <v>INVESTIMENTO</v>
      </c>
      <c r="C1778" s="22">
        <v>2023</v>
      </c>
      <c r="D1778" t="s">
        <v>44</v>
      </c>
      <c r="F1778" t="str">
        <f>VLOOKUP(G1778,PC!B:D,2,FALSE)</f>
        <v>INVESTIMENTO</v>
      </c>
      <c r="G1778" s="4" t="s">
        <v>130</v>
      </c>
      <c r="H1778" s="1">
        <v>450</v>
      </c>
    </row>
    <row r="1779" spans="2:10" x14ac:dyDescent="0.2">
      <c r="B1779" t="str">
        <f>VLOOKUP(G1779,PC!B:D,3,FALSE)</f>
        <v>CPV</v>
      </c>
      <c r="C1779" s="22">
        <v>2023</v>
      </c>
      <c r="D1779" t="s">
        <v>113</v>
      </c>
      <c r="E1779" t="s">
        <v>6</v>
      </c>
      <c r="F1779" t="str">
        <f>VLOOKUP(G1779,PC!B:D,2,FALSE)</f>
        <v>COMIDA</v>
      </c>
      <c r="G1779" s="4" t="s">
        <v>145</v>
      </c>
      <c r="H1779" s="1">
        <v>49.2</v>
      </c>
    </row>
    <row r="1780" spans="2:10" x14ac:dyDescent="0.2">
      <c r="B1780" t="str">
        <f>VLOOKUP(G1780,PC!B:D,3,FALSE)</f>
        <v>CPV</v>
      </c>
      <c r="C1780" s="22">
        <v>2023</v>
      </c>
      <c r="D1780" t="s">
        <v>113</v>
      </c>
      <c r="E1780" t="s">
        <v>95</v>
      </c>
      <c r="F1780" t="str">
        <f>VLOOKUP(G1780,PC!B:D,2,FALSE)</f>
        <v>BEBIDAS</v>
      </c>
      <c r="G1780" s="4" t="s">
        <v>144</v>
      </c>
      <c r="H1780" s="1">
        <v>262.66000000000003</v>
      </c>
    </row>
    <row r="1781" spans="2:10" x14ac:dyDescent="0.2">
      <c r="B1781" t="str">
        <f>VLOOKUP(G1781,PC!B:D,3,FALSE)</f>
        <v>CPV</v>
      </c>
      <c r="C1781" s="22">
        <v>2023</v>
      </c>
      <c r="D1781" t="s">
        <v>113</v>
      </c>
      <c r="E1781" t="s">
        <v>120</v>
      </c>
      <c r="F1781" t="str">
        <f>VLOOKUP(G1781,PC!B:D,2,FALSE)</f>
        <v>COMIDA</v>
      </c>
      <c r="G1781" s="4" t="s">
        <v>18</v>
      </c>
      <c r="H1781" s="1">
        <v>312.69</v>
      </c>
    </row>
    <row r="1782" spans="2:10" x14ac:dyDescent="0.2">
      <c r="B1782" t="str">
        <f>VLOOKUP(G1782,PC!B:D,3,FALSE)</f>
        <v>CPV</v>
      </c>
      <c r="C1782" s="22">
        <v>2023</v>
      </c>
      <c r="D1782" t="s">
        <v>113</v>
      </c>
      <c r="E1782" t="s">
        <v>13</v>
      </c>
      <c r="F1782" t="str">
        <f>VLOOKUP(G1782,PC!B:D,2,FALSE)</f>
        <v>COMIDA</v>
      </c>
      <c r="G1782" s="4" t="s">
        <v>33</v>
      </c>
      <c r="H1782" s="1">
        <v>512.21</v>
      </c>
    </row>
    <row r="1783" spans="2:10" x14ac:dyDescent="0.2">
      <c r="B1783" t="str">
        <f>VLOOKUP(G1783,PC!B:D,3,FALSE)</f>
        <v>CPV</v>
      </c>
      <c r="C1783" s="22">
        <v>2023</v>
      </c>
      <c r="D1783" t="s">
        <v>113</v>
      </c>
      <c r="E1783" t="s">
        <v>14</v>
      </c>
      <c r="F1783" t="str">
        <f>VLOOKUP(G1783,PC!B:D,2,FALSE)</f>
        <v>BEBIDAS</v>
      </c>
      <c r="G1783" s="4" t="s">
        <v>25</v>
      </c>
      <c r="H1783" s="1">
        <v>654.72</v>
      </c>
    </row>
    <row r="1784" spans="2:10" x14ac:dyDescent="0.2">
      <c r="B1784" t="str">
        <f>VLOOKUP(G1784,PC!B:D,3,FALSE)</f>
        <v>CPV</v>
      </c>
      <c r="C1784" s="22">
        <v>2023</v>
      </c>
      <c r="D1784" t="s">
        <v>113</v>
      </c>
      <c r="E1784" t="s">
        <v>28</v>
      </c>
      <c r="F1784" t="str">
        <f>VLOOKUP(G1784,PC!B:D,2,FALSE)</f>
        <v>BEBIDAS</v>
      </c>
      <c r="G1784" s="4" t="s">
        <v>26</v>
      </c>
      <c r="H1784" s="1">
        <v>1422.91</v>
      </c>
    </row>
    <row r="1785" spans="2:10" x14ac:dyDescent="0.2">
      <c r="B1785" t="str">
        <f>VLOOKUP(G1785,PC!B:D,3,FALSE)</f>
        <v>CPV</v>
      </c>
      <c r="C1785" s="22">
        <v>2023</v>
      </c>
      <c r="D1785" t="s">
        <v>113</v>
      </c>
      <c r="E1785" t="s">
        <v>49</v>
      </c>
      <c r="F1785" t="str">
        <f>VLOOKUP(G1785,PC!B:D,2,FALSE)</f>
        <v>CIGARRO</v>
      </c>
      <c r="G1785" s="4" t="s">
        <v>52</v>
      </c>
      <c r="H1785" s="1">
        <v>5339.79</v>
      </c>
    </row>
    <row r="1786" spans="2:10" x14ac:dyDescent="0.2">
      <c r="B1786" t="str">
        <f>VLOOKUP(G1786,PC!B:D,3,FALSE)</f>
        <v>CPV</v>
      </c>
      <c r="C1786" s="22">
        <v>2023</v>
      </c>
      <c r="D1786" t="s">
        <v>113</v>
      </c>
      <c r="E1786" t="s">
        <v>27</v>
      </c>
      <c r="F1786" t="str">
        <f>VLOOKUP(G1786,PC!B:D,2,FALSE)</f>
        <v>COMIDA</v>
      </c>
      <c r="G1786" s="4" t="s">
        <v>12</v>
      </c>
      <c r="H1786" s="1">
        <v>185.03</v>
      </c>
    </row>
    <row r="1787" spans="2:10" x14ac:dyDescent="0.2">
      <c r="B1787" t="str">
        <f>VLOOKUP(G1787,PC!B:D,3,FALSE)</f>
        <v>CPV</v>
      </c>
      <c r="C1787" s="22">
        <v>2023</v>
      </c>
      <c r="D1787" t="s">
        <v>113</v>
      </c>
      <c r="E1787" t="s">
        <v>129</v>
      </c>
      <c r="F1787" t="str">
        <f>VLOOKUP(G1787,PC!B:D,2,FALSE)</f>
        <v>COMIDA</v>
      </c>
      <c r="G1787" s="4" t="s">
        <v>152</v>
      </c>
      <c r="H1787" s="1">
        <v>56</v>
      </c>
    </row>
    <row r="1788" spans="2:10" x14ac:dyDescent="0.2">
      <c r="B1788" t="str">
        <f>VLOOKUP(G1788,PC!B:D,3,FALSE)</f>
        <v>CPV</v>
      </c>
      <c r="C1788" s="22">
        <v>2023</v>
      </c>
      <c r="D1788" t="s">
        <v>113</v>
      </c>
      <c r="E1788" t="s">
        <v>129</v>
      </c>
      <c r="F1788" t="str">
        <f>VLOOKUP(G1788,PC!B:D,2,FALSE)</f>
        <v>SOBREMESA</v>
      </c>
      <c r="G1788" s="4" t="s">
        <v>7</v>
      </c>
      <c r="H1788" s="1">
        <v>30</v>
      </c>
    </row>
    <row r="1789" spans="2:10" x14ac:dyDescent="0.2">
      <c r="B1789" t="str">
        <f>VLOOKUP(G1789,PC!B:D,3,FALSE)</f>
        <v>CPV</v>
      </c>
      <c r="C1789" s="22">
        <v>2023</v>
      </c>
      <c r="D1789" t="s">
        <v>113</v>
      </c>
      <c r="E1789" t="s">
        <v>129</v>
      </c>
      <c r="F1789" t="str">
        <f>VLOOKUP(G1789,PC!B:D,2,FALSE)</f>
        <v>COMIDA</v>
      </c>
      <c r="G1789" s="4" t="s">
        <v>145</v>
      </c>
      <c r="H1789" s="1">
        <v>26.8</v>
      </c>
    </row>
    <row r="1790" spans="2:10" x14ac:dyDescent="0.2">
      <c r="B1790" t="str">
        <f>VLOOKUP(G1790,PC!B:D,3,FALSE)</f>
        <v>CPV</v>
      </c>
      <c r="C1790" s="22">
        <v>2023</v>
      </c>
      <c r="D1790" t="s">
        <v>113</v>
      </c>
      <c r="E1790" t="s">
        <v>129</v>
      </c>
      <c r="F1790" t="str">
        <f>VLOOKUP(G1790,PC!B:D,2,FALSE)</f>
        <v>COMIDA</v>
      </c>
      <c r="G1790" s="4" t="s">
        <v>152</v>
      </c>
      <c r="H1790" s="1">
        <v>56</v>
      </c>
    </row>
    <row r="1791" spans="2:10" x14ac:dyDescent="0.2">
      <c r="B1791" t="str">
        <f>VLOOKUP(G1791,PC!B:D,3,FALSE)</f>
        <v>CPV</v>
      </c>
      <c r="C1791" s="22">
        <v>2023</v>
      </c>
      <c r="D1791" t="s">
        <v>113</v>
      </c>
      <c r="E1791" t="s">
        <v>129</v>
      </c>
      <c r="F1791" t="str">
        <f>VLOOKUP(G1791,PC!B:D,2,FALSE)</f>
        <v>SOBREMESA</v>
      </c>
      <c r="G1791" s="4" t="s">
        <v>7</v>
      </c>
      <c r="H1791" s="1">
        <v>30</v>
      </c>
    </row>
    <row r="1792" spans="2:10" x14ac:dyDescent="0.2">
      <c r="B1792" t="str">
        <f>VLOOKUP(G1792,PC!B:D,3,FALSE)</f>
        <v>CPV</v>
      </c>
      <c r="C1792" s="22">
        <v>2023</v>
      </c>
      <c r="D1792" t="s">
        <v>113</v>
      </c>
      <c r="E1792" t="s">
        <v>129</v>
      </c>
      <c r="F1792" t="str">
        <f>VLOOKUP(G1792,PC!B:D,2,FALSE)</f>
        <v>COMIDA</v>
      </c>
      <c r="G1792" s="4" t="s">
        <v>152</v>
      </c>
      <c r="H1792" s="1">
        <v>42</v>
      </c>
    </row>
    <row r="1793" spans="2:9" x14ac:dyDescent="0.2">
      <c r="B1793" t="str">
        <f>VLOOKUP(G1793,PC!B:D,3,FALSE)</f>
        <v>CPV</v>
      </c>
      <c r="C1793" s="22">
        <v>2023</v>
      </c>
      <c r="D1793" t="s">
        <v>113</v>
      </c>
      <c r="E1793" t="s">
        <v>129</v>
      </c>
      <c r="F1793" t="str">
        <f>VLOOKUP(G1793,PC!B:D,2,FALSE)</f>
        <v>SOBREMESA</v>
      </c>
      <c r="G1793" s="4" t="s">
        <v>7</v>
      </c>
      <c r="H1793" s="1">
        <v>30</v>
      </c>
    </row>
    <row r="1794" spans="2:9" x14ac:dyDescent="0.2">
      <c r="B1794" t="str">
        <f>VLOOKUP(G1794,PC!B:D,3,FALSE)</f>
        <v>CPV</v>
      </c>
      <c r="C1794" s="22">
        <v>2023</v>
      </c>
      <c r="D1794" t="s">
        <v>113</v>
      </c>
      <c r="E1794" t="s">
        <v>129</v>
      </c>
      <c r="F1794" t="str">
        <f>VLOOKUP(G1794,PC!B:D,2,FALSE)</f>
        <v>BEBIDAS</v>
      </c>
      <c r="G1794" s="4" t="s">
        <v>46</v>
      </c>
      <c r="H1794" s="1">
        <v>132.5</v>
      </c>
    </row>
    <row r="1795" spans="2:9" x14ac:dyDescent="0.2">
      <c r="B1795" t="str">
        <f>VLOOKUP(G1795,PC!B:D,3,FALSE)</f>
        <v>DESPESA PESSOAL</v>
      </c>
      <c r="C1795" s="22">
        <v>2023</v>
      </c>
      <c r="D1795" t="s">
        <v>113</v>
      </c>
      <c r="F1795" t="str">
        <f>VLOOKUP(G1795,PC!B:D,2,FALSE)</f>
        <v>DESPESA PESSOAL</v>
      </c>
      <c r="G1795" s="4" t="s">
        <v>56</v>
      </c>
      <c r="H1795" s="1">
        <v>621.29999999999995</v>
      </c>
      <c r="I1795" s="7" t="s">
        <v>196</v>
      </c>
    </row>
    <row r="1796" spans="2:9" x14ac:dyDescent="0.2">
      <c r="B1796" t="str">
        <f>VLOOKUP(G1796,PC!B:D,3,FALSE)</f>
        <v>RECEITA</v>
      </c>
      <c r="C1796" s="22">
        <v>2023</v>
      </c>
      <c r="D1796" t="s">
        <v>113</v>
      </c>
      <c r="F1796" t="str">
        <f>VLOOKUP(G1796,PC!B:D,2,FALSE)</f>
        <v>RECEITA</v>
      </c>
      <c r="G1796" s="4" t="s">
        <v>54</v>
      </c>
      <c r="H1796" s="1">
        <v>72</v>
      </c>
    </row>
    <row r="1797" spans="2:9" x14ac:dyDescent="0.2">
      <c r="B1797" t="str">
        <f>VLOOKUP(G1797,PC!B:D,3,FALSE)</f>
        <v>CPV</v>
      </c>
      <c r="C1797" s="22">
        <v>2023</v>
      </c>
      <c r="D1797" t="s">
        <v>113</v>
      </c>
      <c r="F1797" t="str">
        <f>VLOOKUP(G1797,PC!B:D,2,FALSE)</f>
        <v>COMIDA</v>
      </c>
      <c r="G1797" s="4" t="s">
        <v>152</v>
      </c>
      <c r="H1797" s="1">
        <v>72</v>
      </c>
    </row>
    <row r="1798" spans="2:9" x14ac:dyDescent="0.2">
      <c r="B1798" t="str">
        <f>VLOOKUP(G1798,PC!B:D,3,FALSE)</f>
        <v>RECEITA</v>
      </c>
      <c r="C1798" s="22">
        <v>2023</v>
      </c>
      <c r="D1798" t="s">
        <v>113</v>
      </c>
      <c r="F1798" t="str">
        <f>VLOOKUP(G1798,PC!B:D,2,FALSE)</f>
        <v>RECEITA</v>
      </c>
      <c r="G1798" s="4" t="s">
        <v>54</v>
      </c>
      <c r="H1798" s="1">
        <v>1650</v>
      </c>
    </row>
    <row r="1799" spans="2:9" x14ac:dyDescent="0.2">
      <c r="B1799" t="str">
        <f>VLOOKUP(G1799,PC!B:D,3,FALSE)</f>
        <v>RECEITA</v>
      </c>
      <c r="C1799" s="22">
        <v>2023</v>
      </c>
      <c r="D1799" t="s">
        <v>113</v>
      </c>
      <c r="F1799" t="str">
        <f>VLOOKUP(G1799,PC!B:D,2,FALSE)</f>
        <v>RECEITA</v>
      </c>
      <c r="G1799" s="4" t="s">
        <v>54</v>
      </c>
      <c r="H1799" s="1">
        <f>350+600+10</f>
        <v>960</v>
      </c>
    </row>
    <row r="1800" spans="2:9" x14ac:dyDescent="0.2">
      <c r="B1800" t="str">
        <f>VLOOKUP(G1800,PC!B:D,3,FALSE)</f>
        <v>DESPESA PESSOAL</v>
      </c>
      <c r="C1800" s="22">
        <v>2023</v>
      </c>
      <c r="D1800" t="s">
        <v>113</v>
      </c>
      <c r="F1800" t="str">
        <f>VLOOKUP(G1800,PC!B:D,2,FALSE)</f>
        <v>DESPESA PESSOAL</v>
      </c>
      <c r="G1800" s="4" t="s">
        <v>56</v>
      </c>
      <c r="H1800" s="1">
        <v>350</v>
      </c>
      <c r="I1800" s="7" t="s">
        <v>197</v>
      </c>
    </row>
    <row r="1801" spans="2:9" x14ac:dyDescent="0.2">
      <c r="B1801" t="str">
        <f>VLOOKUP(G1801,PC!B:D,3,FALSE)</f>
        <v>DESPESA PESSOAL</v>
      </c>
      <c r="C1801" s="22">
        <v>2023</v>
      </c>
      <c r="D1801" t="s">
        <v>113</v>
      </c>
      <c r="F1801" t="str">
        <f>VLOOKUP(G1801,PC!B:D,2,FALSE)</f>
        <v>DESPESA PESSOAL</v>
      </c>
      <c r="G1801" s="4" t="s">
        <v>124</v>
      </c>
      <c r="H1801" s="1">
        <v>600</v>
      </c>
    </row>
    <row r="1802" spans="2:9" x14ac:dyDescent="0.2">
      <c r="B1802" t="str">
        <f>VLOOKUP(G1802,PC!B:D,3,FALSE)</f>
        <v>RECEITA</v>
      </c>
      <c r="C1802" s="22">
        <v>2023</v>
      </c>
      <c r="D1802" t="s">
        <v>113</v>
      </c>
      <c r="F1802" t="str">
        <f>VLOOKUP(G1802,PC!B:D,2,FALSE)</f>
        <v>RECEITA</v>
      </c>
      <c r="G1802" s="4" t="s">
        <v>54</v>
      </c>
      <c r="H1802" s="1">
        <f>120+40</f>
        <v>160</v>
      </c>
    </row>
    <row r="1803" spans="2:9" x14ac:dyDescent="0.2">
      <c r="B1803" t="str">
        <f>VLOOKUP(G1803,PC!B:D,3,FALSE)</f>
        <v>DESPESA PESSOAL</v>
      </c>
      <c r="C1803" s="22">
        <v>2023</v>
      </c>
      <c r="D1803" t="s">
        <v>113</v>
      </c>
      <c r="F1803" t="str">
        <f>VLOOKUP(G1803,PC!B:D,2,FALSE)</f>
        <v>DESPESA PESSOAL</v>
      </c>
      <c r="G1803" s="4" t="s">
        <v>56</v>
      </c>
      <c r="H1803" s="1">
        <v>40</v>
      </c>
      <c r="I1803" s="7" t="s">
        <v>198</v>
      </c>
    </row>
    <row r="1804" spans="2:9" x14ac:dyDescent="0.2">
      <c r="B1804" t="str">
        <f>VLOOKUP(G1804,PC!B:D,3,FALSE)</f>
        <v>CPV</v>
      </c>
      <c r="C1804" s="22">
        <v>2023</v>
      </c>
      <c r="D1804" t="s">
        <v>113</v>
      </c>
      <c r="F1804" t="str">
        <f>VLOOKUP(G1804,PC!B:D,2,FALSE)</f>
        <v>COMIDA</v>
      </c>
      <c r="G1804" s="4" t="s">
        <v>12</v>
      </c>
      <c r="H1804" s="1">
        <v>120</v>
      </c>
    </row>
    <row r="1805" spans="2:9" x14ac:dyDescent="0.2">
      <c r="B1805" t="str">
        <f>VLOOKUP(G1805,PC!B:D,3,FALSE)</f>
        <v>RECEITA</v>
      </c>
      <c r="C1805" s="22">
        <v>2023</v>
      </c>
      <c r="D1805" t="s">
        <v>113</v>
      </c>
      <c r="F1805" t="str">
        <f>VLOOKUP(G1805,PC!B:D,2,FALSE)</f>
        <v>RECEITA</v>
      </c>
      <c r="G1805" s="4" t="s">
        <v>54</v>
      </c>
      <c r="H1805" s="1">
        <v>1300</v>
      </c>
    </row>
    <row r="1806" spans="2:9" x14ac:dyDescent="0.2">
      <c r="B1806" t="str">
        <f>VLOOKUP(G1806,PC!B:D,3,FALSE)</f>
        <v>RECEITA</v>
      </c>
      <c r="C1806" s="22">
        <v>2023</v>
      </c>
      <c r="D1806" t="s">
        <v>113</v>
      </c>
      <c r="F1806" t="str">
        <f>VLOOKUP(G1806,PC!B:D,2,FALSE)</f>
        <v>RECEITA</v>
      </c>
      <c r="G1806" s="4" t="s">
        <v>54</v>
      </c>
      <c r="H1806" s="1">
        <v>620</v>
      </c>
    </row>
    <row r="1807" spans="2:9" x14ac:dyDescent="0.2">
      <c r="B1807" t="str">
        <f>VLOOKUP(G1807,PC!B:D,3,FALSE)</f>
        <v>RECEITA</v>
      </c>
      <c r="C1807" s="22">
        <v>2023</v>
      </c>
      <c r="D1807" t="s">
        <v>113</v>
      </c>
      <c r="F1807" t="str">
        <f>VLOOKUP(G1807,PC!B:D,2,FALSE)</f>
        <v>RECEITA</v>
      </c>
      <c r="G1807" s="4" t="s">
        <v>54</v>
      </c>
      <c r="H1807" s="1">
        <v>1000</v>
      </c>
    </row>
    <row r="1808" spans="2:9" x14ac:dyDescent="0.2">
      <c r="B1808" t="str">
        <f>VLOOKUP(G1808,PC!B:D,3,FALSE)</f>
        <v>RECEITA</v>
      </c>
      <c r="C1808" s="22">
        <v>2023</v>
      </c>
      <c r="D1808" t="s">
        <v>113</v>
      </c>
      <c r="F1808" t="str">
        <f>VLOOKUP(G1808,PC!B:D,2,FALSE)</f>
        <v>RECEITA</v>
      </c>
      <c r="G1808" s="4" t="s">
        <v>54</v>
      </c>
      <c r="H1808" s="1">
        <v>900</v>
      </c>
    </row>
    <row r="1809" spans="2:8" x14ac:dyDescent="0.2">
      <c r="B1809" t="str">
        <f>VLOOKUP(G1809,PC!B:D,3,FALSE)</f>
        <v>RECEITA</v>
      </c>
      <c r="C1809" s="22">
        <v>2023</v>
      </c>
      <c r="D1809" t="s">
        <v>113</v>
      </c>
      <c r="F1809" t="str">
        <f>VLOOKUP(G1809,PC!B:D,2,FALSE)</f>
        <v>RECEITA</v>
      </c>
      <c r="G1809" s="4" t="s">
        <v>136</v>
      </c>
      <c r="H1809" s="1">
        <v>21796.6</v>
      </c>
    </row>
    <row r="1810" spans="2:8" x14ac:dyDescent="0.2">
      <c r="B1810" t="str">
        <f>VLOOKUP(G1810,PC!B:D,3,FALSE)</f>
        <v>RECEITA</v>
      </c>
      <c r="C1810" s="22">
        <v>2023</v>
      </c>
      <c r="D1810" t="s">
        <v>113</v>
      </c>
      <c r="F1810" t="str">
        <f>VLOOKUP(G1810,PC!B:D,2,FALSE)</f>
        <v>RECEITA</v>
      </c>
      <c r="G1810" s="4" t="s">
        <v>137</v>
      </c>
      <c r="H1810" s="1">
        <v>1454.6</v>
      </c>
    </row>
    <row r="1811" spans="2:8" x14ac:dyDescent="0.2">
      <c r="B1811" t="str">
        <f>VLOOKUP(G1811,PC!B:D,3,FALSE)</f>
        <v>DESCONTO DE FATURAMENTO</v>
      </c>
      <c r="C1811" s="22">
        <v>2023</v>
      </c>
      <c r="D1811" t="s">
        <v>113</v>
      </c>
      <c r="F1811" t="str">
        <f>VLOOKUP(G1811,PC!B:D,2,FALSE)</f>
        <v>OUTROS DESCONTOS</v>
      </c>
      <c r="G1811" s="4" t="s">
        <v>63</v>
      </c>
      <c r="H1811" s="1">
        <f>0.009*H1809</f>
        <v>196.16939999999997</v>
      </c>
    </row>
    <row r="1812" spans="2:8" x14ac:dyDescent="0.2">
      <c r="B1812" t="str">
        <f>VLOOKUP(G1812,PC!B:D,3,FALSE)</f>
        <v>DESCONTO DE FATURAMENTO</v>
      </c>
      <c r="C1812" s="22">
        <v>2023</v>
      </c>
      <c r="D1812" t="s">
        <v>113</v>
      </c>
      <c r="F1812" t="str">
        <f>VLOOKUP(G1812,PC!B:D,2,FALSE)</f>
        <v>OUTROS DESCONTOS</v>
      </c>
      <c r="G1812" s="4" t="s">
        <v>63</v>
      </c>
      <c r="H1812" s="1">
        <f>0.02*H1811</f>
        <v>3.9233879999999997</v>
      </c>
    </row>
    <row r="1813" spans="2:8" x14ac:dyDescent="0.2">
      <c r="B1813" t="str">
        <f>VLOOKUP(G1813,PC!B:D,3,FALSE)</f>
        <v>RECEITA</v>
      </c>
      <c r="C1813" s="22">
        <v>2023</v>
      </c>
      <c r="D1813" t="s">
        <v>113</v>
      </c>
      <c r="F1813" t="str">
        <f>VLOOKUP(G1813,PC!B:D,2,FALSE)</f>
        <v>RECEITA</v>
      </c>
      <c r="G1813" s="4" t="s">
        <v>136</v>
      </c>
      <c r="H1813" s="1">
        <v>166.9</v>
      </c>
    </row>
    <row r="1814" spans="2:8" x14ac:dyDescent="0.2">
      <c r="B1814" t="str">
        <f>VLOOKUP(G1814,PC!B:D,3,FALSE)</f>
        <v>DESCONTO DE FATURAMENTO</v>
      </c>
      <c r="C1814" s="22">
        <v>2023</v>
      </c>
      <c r="D1814" t="s">
        <v>113</v>
      </c>
      <c r="F1814" t="str">
        <f>VLOOKUP(G1814,PC!B:D,2,FALSE)</f>
        <v>OUTROS DESCONTOS</v>
      </c>
      <c r="G1814" s="4" t="s">
        <v>63</v>
      </c>
      <c r="H1814" s="1">
        <f>H1813-164.81</f>
        <v>2.0900000000000034</v>
      </c>
    </row>
    <row r="1815" spans="2:8" x14ac:dyDescent="0.2">
      <c r="B1815" t="str">
        <f>VLOOKUP(G1815,PC!B:D,3,FALSE)</f>
        <v>RECEITA</v>
      </c>
      <c r="C1815" s="22">
        <v>2023</v>
      </c>
      <c r="D1815" t="s">
        <v>113</v>
      </c>
      <c r="F1815" t="str">
        <f>VLOOKUP(G1815,PC!B:D,2,FALSE)</f>
        <v>RECEITA</v>
      </c>
      <c r="G1815" s="4" t="s">
        <v>137</v>
      </c>
      <c r="H1815" s="1">
        <v>9173.9</v>
      </c>
    </row>
    <row r="1816" spans="2:8" x14ac:dyDescent="0.2">
      <c r="B1816" t="str">
        <f>VLOOKUP(G1816,PC!B:D,3,FALSE)</f>
        <v>DESCONTO DE FATURAMENTO</v>
      </c>
      <c r="C1816" s="22">
        <v>2023</v>
      </c>
      <c r="D1816" t="s">
        <v>113</v>
      </c>
      <c r="F1816" t="str">
        <f>VLOOKUP(G1816,PC!B:D,2,FALSE)</f>
        <v>OUTROS DESCONTOS</v>
      </c>
      <c r="G1816" s="4" t="s">
        <v>63</v>
      </c>
      <c r="H1816" s="1">
        <f>H1815-8981.77</f>
        <v>192.1299999999992</v>
      </c>
    </row>
    <row r="1817" spans="2:8" x14ac:dyDescent="0.2">
      <c r="B1817" t="str">
        <f>VLOOKUP(G1817,PC!B:D,3,FALSE)</f>
        <v>SERV.TERCEIROS</v>
      </c>
      <c r="C1817" s="22">
        <v>2023</v>
      </c>
      <c r="D1817" t="s">
        <v>113</v>
      </c>
      <c r="F1817" t="str">
        <f>VLOOKUP(G1817,PC!B:D,2,FALSE)</f>
        <v>SERV.TERCEIROS</v>
      </c>
      <c r="G1817" s="4" t="s">
        <v>60</v>
      </c>
      <c r="H1817" s="1">
        <v>380</v>
      </c>
    </row>
    <row r="1818" spans="2:8" x14ac:dyDescent="0.2">
      <c r="B1818" t="str">
        <f>VLOOKUP(G1818,PC!B:D,3,FALSE)</f>
        <v>RECEITA</v>
      </c>
      <c r="C1818" s="22">
        <v>2023</v>
      </c>
      <c r="D1818" t="s">
        <v>44</v>
      </c>
      <c r="F1818" t="str">
        <f>VLOOKUP(G1818,PC!B:D,2,FALSE)</f>
        <v>RECEITA</v>
      </c>
      <c r="G1818" s="4" t="s">
        <v>54</v>
      </c>
      <c r="H1818" s="1">
        <f>84+170+120+26.8+460</f>
        <v>860.8</v>
      </c>
    </row>
    <row r="1819" spans="2:8" x14ac:dyDescent="0.2">
      <c r="B1819" t="str">
        <f>VLOOKUP(G1819,PC!B:D,3,FALSE)</f>
        <v>RECEITA</v>
      </c>
      <c r="C1819" s="22">
        <v>2023</v>
      </c>
      <c r="D1819" t="s">
        <v>44</v>
      </c>
      <c r="F1819" t="str">
        <f>VLOOKUP(G1819,PC!B:D,2,FALSE)</f>
        <v>RECEITA</v>
      </c>
      <c r="G1819" s="4" t="s">
        <v>54</v>
      </c>
      <c r="H1819" s="1">
        <v>500</v>
      </c>
    </row>
    <row r="1820" spans="2:8" x14ac:dyDescent="0.2">
      <c r="B1820" t="str">
        <f>VLOOKUP(G1820,PC!B:D,3,FALSE)</f>
        <v>RECEITA</v>
      </c>
      <c r="C1820" s="22">
        <v>2023</v>
      </c>
      <c r="D1820" t="s">
        <v>44</v>
      </c>
      <c r="F1820" t="str">
        <f>VLOOKUP(G1820,PC!B:D,2,FALSE)</f>
        <v>RECEITA</v>
      </c>
      <c r="G1820" s="4" t="s">
        <v>54</v>
      </c>
      <c r="H1820" s="1">
        <v>2400</v>
      </c>
    </row>
    <row r="1821" spans="2:8" x14ac:dyDescent="0.2">
      <c r="B1821" t="str">
        <f>VLOOKUP(G1821,PC!B:D,3,FALSE)</f>
        <v>RECEITA</v>
      </c>
      <c r="C1821" s="22">
        <v>2023</v>
      </c>
      <c r="D1821" t="s">
        <v>44</v>
      </c>
      <c r="F1821" t="str">
        <f>VLOOKUP(G1821,PC!B:D,2,FALSE)</f>
        <v>RECEITA</v>
      </c>
      <c r="G1821" s="4" t="s">
        <v>54</v>
      </c>
      <c r="H1821" s="1">
        <f>209+56+129+272+128+62</f>
        <v>856</v>
      </c>
    </row>
    <row r="1822" spans="2:8" x14ac:dyDescent="0.2">
      <c r="B1822" t="str">
        <f>VLOOKUP(G1822,PC!B:D,3,FALSE)</f>
        <v>RECEITA</v>
      </c>
      <c r="C1822" s="22">
        <v>2023</v>
      </c>
      <c r="D1822" t="s">
        <v>44</v>
      </c>
      <c r="F1822" t="str">
        <f>VLOOKUP(G1822,PC!B:D,2,FALSE)</f>
        <v>RECEITA</v>
      </c>
      <c r="G1822" s="4" t="s">
        <v>54</v>
      </c>
      <c r="H1822" s="1">
        <v>1500</v>
      </c>
    </row>
    <row r="1823" spans="2:8" x14ac:dyDescent="0.2">
      <c r="B1823" t="str">
        <f>VLOOKUP(G1823,PC!B:D,3,FALSE)</f>
        <v>RECEITA</v>
      </c>
      <c r="C1823" s="22">
        <v>2023</v>
      </c>
      <c r="D1823" t="s">
        <v>44</v>
      </c>
      <c r="F1823" t="str">
        <f>VLOOKUP(G1823,PC!B:D,2,FALSE)</f>
        <v>RECEITA</v>
      </c>
      <c r="G1823" s="4" t="s">
        <v>54</v>
      </c>
      <c r="H1823" s="1">
        <v>1100</v>
      </c>
    </row>
    <row r="1824" spans="2:8" x14ac:dyDescent="0.2">
      <c r="B1824" t="str">
        <f>VLOOKUP(G1824,PC!B:D,3,FALSE)</f>
        <v>RECEITA</v>
      </c>
      <c r="C1824" s="22">
        <v>2023</v>
      </c>
      <c r="D1824" t="s">
        <v>44</v>
      </c>
      <c r="F1824" t="str">
        <f>VLOOKUP(G1824,PC!B:D,2,FALSE)</f>
        <v>RECEITA</v>
      </c>
      <c r="G1824" s="4" t="s">
        <v>54</v>
      </c>
      <c r="H1824" s="1">
        <f>32+35+131.5+65</f>
        <v>263.5</v>
      </c>
    </row>
    <row r="1825" spans="2:9" x14ac:dyDescent="0.2">
      <c r="B1825" t="str">
        <f>VLOOKUP(G1825,PC!B:D,3,FALSE)</f>
        <v>RECEITA</v>
      </c>
      <c r="C1825" s="22">
        <v>2023</v>
      </c>
      <c r="D1825" t="s">
        <v>44</v>
      </c>
      <c r="F1825" t="str">
        <f>VLOOKUP(G1825,PC!B:D,2,FALSE)</f>
        <v>RECEITA</v>
      </c>
      <c r="G1825" s="4" t="s">
        <v>54</v>
      </c>
      <c r="H1825" s="1">
        <v>2350</v>
      </c>
    </row>
    <row r="1826" spans="2:9" x14ac:dyDescent="0.2">
      <c r="B1826" t="str">
        <f>VLOOKUP(G1826,PC!B:D,3,FALSE)</f>
        <v>RECEITA</v>
      </c>
      <c r="C1826" s="22">
        <v>2023</v>
      </c>
      <c r="D1826" t="s">
        <v>44</v>
      </c>
      <c r="F1826" t="str">
        <f>VLOOKUP(G1826,PC!B:D,2,FALSE)</f>
        <v>RECEITA</v>
      </c>
      <c r="G1826" s="4" t="s">
        <v>54</v>
      </c>
      <c r="H1826" s="1">
        <v>2600</v>
      </c>
    </row>
    <row r="1827" spans="2:9" x14ac:dyDescent="0.2">
      <c r="B1827" t="str">
        <f>VLOOKUP(G1827,PC!B:D,3,FALSE)</f>
        <v>RECEITA</v>
      </c>
      <c r="C1827" s="22">
        <v>2023</v>
      </c>
      <c r="D1827" t="s">
        <v>44</v>
      </c>
      <c r="F1827" t="str">
        <f>VLOOKUP(G1827,PC!B:D,2,FALSE)</f>
        <v>RECEITA</v>
      </c>
      <c r="G1827" s="4" t="s">
        <v>54</v>
      </c>
      <c r="H1827" s="1">
        <f>198+100.66+30+184.8</f>
        <v>513.46</v>
      </c>
    </row>
    <row r="1828" spans="2:9" x14ac:dyDescent="0.2">
      <c r="B1828" t="str">
        <f>VLOOKUP(G1828,PC!B:D,3,FALSE)</f>
        <v>RECEITA</v>
      </c>
      <c r="C1828" s="22">
        <v>2023</v>
      </c>
      <c r="D1828" t="s">
        <v>44</v>
      </c>
      <c r="F1828" t="str">
        <f>VLOOKUP(G1828,PC!B:D,2,FALSE)</f>
        <v>RECEITA</v>
      </c>
      <c r="G1828" s="4" t="s">
        <v>54</v>
      </c>
      <c r="H1828" s="1">
        <v>500</v>
      </c>
    </row>
    <row r="1829" spans="2:9" x14ac:dyDescent="0.2">
      <c r="B1829" t="str">
        <f>VLOOKUP(G1829,PC!B:D,3,FALSE)</f>
        <v>RECEITA</v>
      </c>
      <c r="C1829" s="22">
        <v>2023</v>
      </c>
      <c r="D1829" t="s">
        <v>44</v>
      </c>
      <c r="F1829" t="str">
        <f>VLOOKUP(G1829,PC!B:D,2,FALSE)</f>
        <v>RECEITA</v>
      </c>
      <c r="G1829" s="4" t="s">
        <v>54</v>
      </c>
      <c r="H1829" s="1">
        <f>30.8+85.8</f>
        <v>116.6</v>
      </c>
    </row>
    <row r="1830" spans="2:9" x14ac:dyDescent="0.2">
      <c r="B1830" t="str">
        <f>VLOOKUP(G1830,PC!B:D,3,FALSE)</f>
        <v>RECEITA</v>
      </c>
      <c r="C1830" s="22">
        <v>2023</v>
      </c>
      <c r="D1830" t="s">
        <v>44</v>
      </c>
      <c r="F1830" t="str">
        <f>VLOOKUP(G1830,PC!B:D,2,FALSE)</f>
        <v>RECEITA</v>
      </c>
      <c r="G1830" s="4" t="s">
        <v>54</v>
      </c>
      <c r="H1830" s="1">
        <v>1000</v>
      </c>
    </row>
    <row r="1831" spans="2:9" x14ac:dyDescent="0.2">
      <c r="B1831" t="str">
        <f>VLOOKUP(G1831,PC!B:D,3,FALSE)</f>
        <v>RECEITA</v>
      </c>
      <c r="C1831" s="22">
        <v>2023</v>
      </c>
      <c r="D1831" t="s">
        <v>44</v>
      </c>
      <c r="F1831" t="str">
        <f>VLOOKUP(G1831,PC!B:D,2,FALSE)</f>
        <v>RECEITA</v>
      </c>
      <c r="G1831" s="4" t="s">
        <v>54</v>
      </c>
      <c r="H1831" s="1">
        <v>800</v>
      </c>
    </row>
    <row r="1832" spans="2:9" x14ac:dyDescent="0.2">
      <c r="B1832" t="str">
        <f>VLOOKUP(G1832,PC!B:D,3,FALSE)</f>
        <v>RECEITA</v>
      </c>
      <c r="C1832" s="22">
        <v>2023</v>
      </c>
      <c r="D1832" t="s">
        <v>44</v>
      </c>
      <c r="F1832" t="str">
        <f>VLOOKUP(G1832,PC!B:D,2,FALSE)</f>
        <v>RECEITA</v>
      </c>
      <c r="G1832" s="4" t="s">
        <v>54</v>
      </c>
      <c r="H1832" s="1">
        <v>600</v>
      </c>
    </row>
    <row r="1833" spans="2:9" x14ac:dyDescent="0.2">
      <c r="B1833" t="str">
        <f>VLOOKUP(G1833,PC!B:D,3,FALSE)</f>
        <v>RECEITA</v>
      </c>
      <c r="C1833" s="22">
        <v>2023</v>
      </c>
      <c r="D1833" t="s">
        <v>44</v>
      </c>
      <c r="F1833" t="str">
        <f>VLOOKUP(G1833,PC!B:D,2,FALSE)</f>
        <v>RECEITA</v>
      </c>
      <c r="G1833" s="4" t="s">
        <v>54</v>
      </c>
      <c r="H1833" s="1">
        <v>200</v>
      </c>
    </row>
    <row r="1834" spans="2:9" x14ac:dyDescent="0.2">
      <c r="B1834" t="str">
        <f>VLOOKUP(G1834,PC!B:D,3,FALSE)</f>
        <v>RECEITA</v>
      </c>
      <c r="C1834" s="22">
        <v>2023</v>
      </c>
      <c r="D1834" t="s">
        <v>44</v>
      </c>
      <c r="F1834" t="str">
        <f>VLOOKUP(G1834,PC!B:D,2,FALSE)</f>
        <v>RECEITA</v>
      </c>
      <c r="G1834" s="4" t="s">
        <v>54</v>
      </c>
      <c r="H1834" s="1">
        <f>189.5+83.6+300+30</f>
        <v>603.1</v>
      </c>
    </row>
    <row r="1835" spans="2:9" x14ac:dyDescent="0.2">
      <c r="B1835" t="str">
        <f>VLOOKUP(G1835,PC!B:D,3,FALSE)</f>
        <v>DESPESA PESSOAL</v>
      </c>
      <c r="C1835" s="22">
        <v>2023</v>
      </c>
      <c r="D1835" t="s">
        <v>44</v>
      </c>
      <c r="F1835" t="str">
        <f>VLOOKUP(G1835,PC!B:D,2,FALSE)</f>
        <v>DESPESA PESSOAL</v>
      </c>
      <c r="G1835" s="4" t="s">
        <v>56</v>
      </c>
      <c r="H1835" s="1">
        <v>300</v>
      </c>
      <c r="I1835" s="7" t="s">
        <v>150</v>
      </c>
    </row>
    <row r="1836" spans="2:9" x14ac:dyDescent="0.2">
      <c r="B1836" t="str">
        <f>VLOOKUP(G1836,PC!B:D,3,FALSE)</f>
        <v>DESPESA PESSOAL</v>
      </c>
      <c r="C1836" s="22">
        <v>2023</v>
      </c>
      <c r="D1836" t="s">
        <v>44</v>
      </c>
      <c r="F1836" t="str">
        <f>VLOOKUP(G1836,PC!B:D,2,FALSE)</f>
        <v>DESPESA PESSOAL</v>
      </c>
      <c r="G1836" s="4" t="s">
        <v>56</v>
      </c>
      <c r="H1836" s="1">
        <v>30</v>
      </c>
      <c r="I1836" s="7" t="s">
        <v>198</v>
      </c>
    </row>
    <row r="1837" spans="2:9" x14ac:dyDescent="0.2">
      <c r="B1837" t="str">
        <f>VLOOKUP(G1837,PC!B:D,3,FALSE)</f>
        <v>RECEITA</v>
      </c>
      <c r="C1837" s="22">
        <v>2023</v>
      </c>
      <c r="D1837" t="s">
        <v>44</v>
      </c>
      <c r="F1837" t="str">
        <f>VLOOKUP(G1837,PC!B:D,2,FALSE)</f>
        <v>RECEITA</v>
      </c>
      <c r="G1837" s="4" t="s">
        <v>54</v>
      </c>
      <c r="H1837" s="1">
        <v>1500</v>
      </c>
    </row>
    <row r="1838" spans="2:9" x14ac:dyDescent="0.2">
      <c r="B1838" t="str">
        <f>VLOOKUP(G1838,PC!B:D,3,FALSE)</f>
        <v>RECEITA</v>
      </c>
      <c r="C1838" s="22">
        <v>2023</v>
      </c>
      <c r="D1838" t="s">
        <v>44</v>
      </c>
      <c r="F1838" t="str">
        <f>VLOOKUP(G1838,PC!B:D,2,FALSE)</f>
        <v>RECEITA</v>
      </c>
      <c r="G1838" s="4" t="s">
        <v>54</v>
      </c>
      <c r="H1838" s="1">
        <v>1000</v>
      </c>
    </row>
    <row r="1839" spans="2:9" x14ac:dyDescent="0.2">
      <c r="B1839" t="str">
        <f>VLOOKUP(G1839,PC!B:D,3,FALSE)</f>
        <v>RECEITA</v>
      </c>
      <c r="C1839" s="22">
        <v>2023</v>
      </c>
      <c r="D1839" t="s">
        <v>44</v>
      </c>
      <c r="F1839" t="str">
        <f>VLOOKUP(G1839,PC!B:D,2,FALSE)</f>
        <v>RECEITA</v>
      </c>
      <c r="G1839" s="4" t="s">
        <v>54</v>
      </c>
      <c r="H1839" s="1">
        <v>800</v>
      </c>
    </row>
    <row r="1840" spans="2:9" x14ac:dyDescent="0.2">
      <c r="B1840" t="str">
        <f>VLOOKUP(G1840,PC!B:D,3,FALSE)</f>
        <v>RECEITA</v>
      </c>
      <c r="C1840" s="22">
        <v>2023</v>
      </c>
      <c r="D1840" t="s">
        <v>44</v>
      </c>
      <c r="F1840" t="str">
        <f>VLOOKUP(G1840,PC!B:D,2,FALSE)</f>
        <v>RECEITA</v>
      </c>
      <c r="G1840" s="4" t="s">
        <v>54</v>
      </c>
      <c r="H1840" s="1">
        <v>1000</v>
      </c>
      <c r="I1840" s="46">
        <v>44352</v>
      </c>
    </row>
    <row r="1841" spans="2:8" x14ac:dyDescent="0.2">
      <c r="B1841" t="str">
        <f>VLOOKUP(G1841,PC!B:D,3,FALSE)</f>
        <v>CPV</v>
      </c>
      <c r="C1841" s="22">
        <v>2023</v>
      </c>
      <c r="D1841" t="s">
        <v>44</v>
      </c>
      <c r="E1841" t="s">
        <v>28</v>
      </c>
      <c r="F1841" t="str">
        <f>VLOOKUP(G1841,PC!B:D,2,FALSE)</f>
        <v>BEBIDAS</v>
      </c>
      <c r="G1841" s="4" t="s">
        <v>26</v>
      </c>
      <c r="H1841" s="1">
        <v>856.16</v>
      </c>
    </row>
    <row r="1842" spans="2:8" x14ac:dyDescent="0.2">
      <c r="B1842" t="str">
        <f>VLOOKUP(G1842,PC!B:D,3,FALSE)</f>
        <v>CPV</v>
      </c>
      <c r="C1842" s="22">
        <v>2023</v>
      </c>
      <c r="D1842" t="s">
        <v>44</v>
      </c>
      <c r="E1842" t="s">
        <v>28</v>
      </c>
      <c r="F1842" t="str">
        <f>VLOOKUP(G1842,PC!B:D,2,FALSE)</f>
        <v>BEBIDAS</v>
      </c>
      <c r="G1842" s="4" t="s">
        <v>26</v>
      </c>
      <c r="H1842" s="1">
        <v>5006.8999999999996</v>
      </c>
    </row>
    <row r="1843" spans="2:8" x14ac:dyDescent="0.2">
      <c r="B1843" t="str">
        <f>VLOOKUP(G1843,PC!B:D,3,FALSE)</f>
        <v>CPV</v>
      </c>
      <c r="C1843" s="22">
        <v>2023</v>
      </c>
      <c r="D1843" t="s">
        <v>44</v>
      </c>
      <c r="E1843" t="s">
        <v>28</v>
      </c>
      <c r="F1843" t="str">
        <f>VLOOKUP(G1843,PC!B:D,2,FALSE)</f>
        <v>BEBIDAS</v>
      </c>
      <c r="G1843" s="4" t="s">
        <v>26</v>
      </c>
      <c r="H1843" s="1">
        <v>65.92</v>
      </c>
    </row>
    <row r="1844" spans="2:8" x14ac:dyDescent="0.2">
      <c r="B1844" t="str">
        <f>VLOOKUP(G1844,PC!B:D,3,FALSE)</f>
        <v>CPV</v>
      </c>
      <c r="C1844" s="22">
        <v>2023</v>
      </c>
      <c r="D1844" t="s">
        <v>44</v>
      </c>
      <c r="E1844" t="s">
        <v>24</v>
      </c>
      <c r="F1844" t="str">
        <f>VLOOKUP(G1844,PC!B:D,2,FALSE)</f>
        <v>COMIDA</v>
      </c>
      <c r="G1844" s="4" t="s">
        <v>33</v>
      </c>
      <c r="H1844" s="1">
        <v>210.77</v>
      </c>
    </row>
    <row r="1845" spans="2:8" x14ac:dyDescent="0.2">
      <c r="B1845" t="str">
        <f>VLOOKUP(G1845,PC!B:D,3,FALSE)</f>
        <v>CPV</v>
      </c>
      <c r="C1845" s="22">
        <v>2023</v>
      </c>
      <c r="D1845" t="s">
        <v>44</v>
      </c>
      <c r="E1845" t="s">
        <v>14</v>
      </c>
      <c r="F1845" t="str">
        <f>VLOOKUP(G1845,PC!B:D,2,FALSE)</f>
        <v>BEBIDAS</v>
      </c>
      <c r="G1845" s="4" t="s">
        <v>25</v>
      </c>
      <c r="H1845" s="1">
        <v>412.79</v>
      </c>
    </row>
    <row r="1846" spans="2:8" x14ac:dyDescent="0.2">
      <c r="B1846" t="str">
        <f>VLOOKUP(G1846,PC!B:D,3,FALSE)</f>
        <v>CPV</v>
      </c>
      <c r="C1846" s="22">
        <v>2023</v>
      </c>
      <c r="D1846" t="s">
        <v>44</v>
      </c>
      <c r="E1846" t="s">
        <v>20</v>
      </c>
      <c r="F1846" t="str">
        <f>VLOOKUP(G1846,PC!B:D,2,FALSE)</f>
        <v>COMIDA</v>
      </c>
      <c r="G1846" s="4" t="s">
        <v>29</v>
      </c>
      <c r="H1846" s="1">
        <v>85.8</v>
      </c>
    </row>
    <row r="1847" spans="2:8" x14ac:dyDescent="0.2">
      <c r="B1847" t="str">
        <f>VLOOKUP(G1847,PC!B:D,3,FALSE)</f>
        <v>CPV</v>
      </c>
      <c r="C1847" s="22">
        <v>2023</v>
      </c>
      <c r="D1847" t="s">
        <v>44</v>
      </c>
      <c r="E1847" t="s">
        <v>21</v>
      </c>
      <c r="F1847" t="str">
        <f>VLOOKUP(G1847,PC!B:D,2,FALSE)</f>
        <v>SOBREMESA</v>
      </c>
      <c r="G1847" s="4" t="s">
        <v>23</v>
      </c>
      <c r="H1847" s="1">
        <v>136.74</v>
      </c>
    </row>
    <row r="1848" spans="2:8" x14ac:dyDescent="0.2">
      <c r="B1848" t="str">
        <f>VLOOKUP(G1848,PC!B:D,3,FALSE)</f>
        <v>CPV</v>
      </c>
      <c r="C1848" s="22">
        <v>2023</v>
      </c>
      <c r="D1848" t="s">
        <v>44</v>
      </c>
      <c r="E1848" t="s">
        <v>28</v>
      </c>
      <c r="F1848" t="str">
        <f>VLOOKUP(G1848,PC!B:D,2,FALSE)</f>
        <v>BEBIDAS</v>
      </c>
      <c r="G1848" s="4" t="s">
        <v>26</v>
      </c>
      <c r="H1848" s="1">
        <v>1566.7</v>
      </c>
    </row>
    <row r="1849" spans="2:8" x14ac:dyDescent="0.2">
      <c r="B1849" t="str">
        <f>VLOOKUP(G1849,PC!B:D,3,FALSE)</f>
        <v>CPV</v>
      </c>
      <c r="C1849" s="22">
        <v>2023</v>
      </c>
      <c r="D1849" t="s">
        <v>44</v>
      </c>
      <c r="E1849" t="s">
        <v>28</v>
      </c>
      <c r="F1849" t="str">
        <f>VLOOKUP(G1849,PC!B:D,2,FALSE)</f>
        <v>BEBIDAS</v>
      </c>
      <c r="G1849" s="4" t="s">
        <v>26</v>
      </c>
      <c r="H1849" s="1">
        <v>33.92</v>
      </c>
    </row>
    <row r="1850" spans="2:8" x14ac:dyDescent="0.2">
      <c r="B1850" t="str">
        <f>VLOOKUP(G1850,PC!B:D,3,FALSE)</f>
        <v>CPV</v>
      </c>
      <c r="C1850" s="22">
        <v>2023</v>
      </c>
      <c r="D1850" t="s">
        <v>44</v>
      </c>
      <c r="E1850" t="s">
        <v>156</v>
      </c>
      <c r="F1850" t="str">
        <f>VLOOKUP(G1850,PC!B:D,2,FALSE)</f>
        <v>BEBIDAS</v>
      </c>
      <c r="G1850" s="4" t="s">
        <v>26</v>
      </c>
      <c r="H1850" s="1">
        <v>83.6</v>
      </c>
    </row>
    <row r="1851" spans="2:8" x14ac:dyDescent="0.2">
      <c r="B1851" t="str">
        <f>VLOOKUP(G1851,PC!B:D,3,FALSE)</f>
        <v>CPV</v>
      </c>
      <c r="C1851" s="22">
        <v>2023</v>
      </c>
      <c r="D1851" t="s">
        <v>44</v>
      </c>
      <c r="E1851" t="s">
        <v>40</v>
      </c>
      <c r="F1851" t="str">
        <f>VLOOKUP(G1851,PC!B:D,2,FALSE)</f>
        <v>BEBIDAS</v>
      </c>
      <c r="G1851" s="4" t="s">
        <v>26</v>
      </c>
      <c r="H1851" s="1">
        <v>189.5</v>
      </c>
    </row>
    <row r="1852" spans="2:8" x14ac:dyDescent="0.2">
      <c r="B1852" t="str">
        <f>VLOOKUP(G1852,PC!B:D,3,FALSE)</f>
        <v>RECEITA</v>
      </c>
      <c r="C1852" s="22">
        <v>2023</v>
      </c>
      <c r="D1852" t="s">
        <v>44</v>
      </c>
      <c r="F1852" t="str">
        <f>VLOOKUP(G1852,PC!B:D,2,FALSE)</f>
        <v>RECEITA</v>
      </c>
      <c r="G1852" s="4" t="s">
        <v>54</v>
      </c>
      <c r="H1852" s="1">
        <v>550</v>
      </c>
    </row>
    <row r="1853" spans="2:8" x14ac:dyDescent="0.2">
      <c r="B1853" t="str">
        <f>VLOOKUP(G1853,PC!B:D,3,FALSE)</f>
        <v>DESPESA PESSOAL</v>
      </c>
      <c r="C1853" s="22">
        <v>2023</v>
      </c>
      <c r="D1853" t="s">
        <v>44</v>
      </c>
      <c r="F1853" t="str">
        <f>VLOOKUP(G1853,PC!B:D,2,FALSE)</f>
        <v>DESPESA PESSOAL</v>
      </c>
      <c r="G1853" s="4" t="s">
        <v>124</v>
      </c>
      <c r="H1853" s="1">
        <v>550</v>
      </c>
    </row>
    <row r="1854" spans="2:8" x14ac:dyDescent="0.2">
      <c r="B1854" t="str">
        <f>VLOOKUP(G1854,PC!B:D,3,FALSE)</f>
        <v>CPV</v>
      </c>
      <c r="C1854" s="22">
        <v>2023</v>
      </c>
      <c r="D1854" t="s">
        <v>44</v>
      </c>
      <c r="E1854" t="s">
        <v>14</v>
      </c>
      <c r="F1854" t="str">
        <f>VLOOKUP(G1854,PC!B:D,2,FALSE)</f>
        <v>BEBIDAS</v>
      </c>
      <c r="G1854" s="4" t="s">
        <v>25</v>
      </c>
      <c r="H1854" s="1">
        <v>864.56</v>
      </c>
    </row>
    <row r="1855" spans="2:8" x14ac:dyDescent="0.2">
      <c r="B1855" t="str">
        <f>VLOOKUP(G1855,PC!B:D,3,FALSE)</f>
        <v>CPV</v>
      </c>
      <c r="C1855" s="22">
        <v>2023</v>
      </c>
      <c r="D1855" t="s">
        <v>44</v>
      </c>
      <c r="E1855" t="s">
        <v>14</v>
      </c>
      <c r="F1855" t="str">
        <f>VLOOKUP(G1855,PC!B:D,2,FALSE)</f>
        <v>BEBIDAS</v>
      </c>
      <c r="G1855" s="4" t="s">
        <v>41</v>
      </c>
      <c r="H1855" s="1">
        <v>93.75</v>
      </c>
    </row>
    <row r="1856" spans="2:8" x14ac:dyDescent="0.2">
      <c r="B1856" t="str">
        <f>VLOOKUP(G1856,PC!B:D,3,FALSE)</f>
        <v>CPV</v>
      </c>
      <c r="C1856" s="22">
        <v>2023</v>
      </c>
      <c r="D1856" t="s">
        <v>44</v>
      </c>
      <c r="E1856" t="s">
        <v>14</v>
      </c>
      <c r="F1856" t="str">
        <f>VLOOKUP(G1856,PC!B:D,2,FALSE)</f>
        <v>BEBIDAS</v>
      </c>
      <c r="G1856" s="4" t="s">
        <v>46</v>
      </c>
      <c r="H1856" s="1">
        <v>22.2</v>
      </c>
    </row>
    <row r="1857" spans="2:8" x14ac:dyDescent="0.2">
      <c r="B1857" t="str">
        <f>VLOOKUP(G1857,PC!B:D,3,FALSE)</f>
        <v>CPV</v>
      </c>
      <c r="C1857" s="22">
        <v>2023</v>
      </c>
      <c r="D1857" t="s">
        <v>44</v>
      </c>
      <c r="E1857" t="s">
        <v>14</v>
      </c>
      <c r="F1857" t="str">
        <f>VLOOKUP(G1857,PC!B:D,2,FALSE)</f>
        <v>BEBIDAS</v>
      </c>
      <c r="G1857" s="4" t="s">
        <v>25</v>
      </c>
      <c r="H1857" s="1">
        <v>65.36</v>
      </c>
    </row>
    <row r="1858" spans="2:8" x14ac:dyDescent="0.2">
      <c r="B1858" t="str">
        <f>VLOOKUP(G1858,PC!B:D,3,FALSE)</f>
        <v>CPV</v>
      </c>
      <c r="C1858" s="22">
        <v>2023</v>
      </c>
      <c r="D1858" t="s">
        <v>44</v>
      </c>
      <c r="E1858" t="s">
        <v>14</v>
      </c>
      <c r="F1858" t="str">
        <f>VLOOKUP(G1858,PC!B:D,2,FALSE)</f>
        <v>BEBIDAS</v>
      </c>
      <c r="G1858" s="4" t="s">
        <v>25</v>
      </c>
      <c r="H1858" s="1">
        <v>104.59</v>
      </c>
    </row>
    <row r="1859" spans="2:8" x14ac:dyDescent="0.2">
      <c r="B1859" t="str">
        <f>VLOOKUP(G1859,PC!B:D,3,FALSE)</f>
        <v>CPV</v>
      </c>
      <c r="C1859" s="22">
        <v>2023</v>
      </c>
      <c r="D1859" t="s">
        <v>44</v>
      </c>
      <c r="E1859" t="s">
        <v>159</v>
      </c>
      <c r="F1859" t="str">
        <f>VLOOKUP(G1859,PC!B:D,2,FALSE)</f>
        <v>COMIDA</v>
      </c>
      <c r="G1859" s="4" t="s">
        <v>145</v>
      </c>
      <c r="H1859" s="1">
        <v>116.96</v>
      </c>
    </row>
    <row r="1860" spans="2:8" x14ac:dyDescent="0.2">
      <c r="B1860" t="str">
        <f>VLOOKUP(G1860,PC!B:D,3,FALSE)</f>
        <v>CPV</v>
      </c>
      <c r="C1860" s="22">
        <v>2023</v>
      </c>
      <c r="D1860" t="s">
        <v>44</v>
      </c>
      <c r="E1860" t="s">
        <v>21</v>
      </c>
      <c r="F1860" t="str">
        <f>VLOOKUP(G1860,PC!B:D,2,FALSE)</f>
        <v>COMIDA</v>
      </c>
      <c r="G1860" s="4" t="s">
        <v>18</v>
      </c>
      <c r="H1860" s="1">
        <v>135.96</v>
      </c>
    </row>
    <row r="1861" spans="2:8" x14ac:dyDescent="0.2">
      <c r="B1861" t="str">
        <f>VLOOKUP(G1861,PC!B:D,3,FALSE)</f>
        <v>CPV</v>
      </c>
      <c r="C1861" s="22">
        <v>2023</v>
      </c>
      <c r="D1861" t="s">
        <v>44</v>
      </c>
      <c r="E1861" t="s">
        <v>100</v>
      </c>
      <c r="F1861" t="str">
        <f>VLOOKUP(G1861,PC!B:D,2,FALSE)</f>
        <v>COMIDA</v>
      </c>
      <c r="G1861" s="4" t="s">
        <v>18</v>
      </c>
      <c r="H1861" s="1">
        <v>184.06</v>
      </c>
    </row>
    <row r="1862" spans="2:8" x14ac:dyDescent="0.2">
      <c r="B1862" t="str">
        <f>VLOOKUP(G1862,PC!B:D,3,FALSE)</f>
        <v>CPV</v>
      </c>
      <c r="C1862" s="22">
        <v>2023</v>
      </c>
      <c r="D1862" t="s">
        <v>44</v>
      </c>
      <c r="E1862" t="s">
        <v>16</v>
      </c>
      <c r="F1862" t="str">
        <f>VLOOKUP(G1862,PC!B:D,2,FALSE)</f>
        <v>COMIDA</v>
      </c>
      <c r="G1862" s="4" t="s">
        <v>12</v>
      </c>
      <c r="H1862" s="1">
        <v>329.54</v>
      </c>
    </row>
    <row r="1863" spans="2:8" x14ac:dyDescent="0.2">
      <c r="B1863" t="str">
        <f>VLOOKUP(G1863,PC!B:D,3,FALSE)</f>
        <v>CPV</v>
      </c>
      <c r="C1863" s="22">
        <v>2023</v>
      </c>
      <c r="D1863" t="s">
        <v>44</v>
      </c>
      <c r="E1863" t="s">
        <v>35</v>
      </c>
      <c r="F1863" t="str">
        <f>VLOOKUP(G1863,PC!B:D,2,FALSE)</f>
        <v>OUTROS</v>
      </c>
      <c r="G1863" s="4" t="s">
        <v>37</v>
      </c>
      <c r="H1863" s="1">
        <v>781.66</v>
      </c>
    </row>
    <row r="1864" spans="2:8" x14ac:dyDescent="0.2">
      <c r="B1864" t="str">
        <f>VLOOKUP(G1864,PC!B:D,3,FALSE)</f>
        <v>CPV</v>
      </c>
      <c r="C1864" s="22">
        <v>2023</v>
      </c>
      <c r="D1864" t="s">
        <v>44</v>
      </c>
      <c r="E1864" t="s">
        <v>49</v>
      </c>
      <c r="F1864" t="str">
        <f>VLOOKUP(G1864,PC!B:D,2,FALSE)</f>
        <v>CIGARRO</v>
      </c>
      <c r="G1864" s="4" t="s">
        <v>52</v>
      </c>
      <c r="H1864" s="1">
        <v>4578.29</v>
      </c>
    </row>
    <row r="1865" spans="2:8" x14ac:dyDescent="0.2">
      <c r="B1865" t="str">
        <f>VLOOKUP(G1865,PC!B:D,3,FALSE)</f>
        <v>RECEITA</v>
      </c>
      <c r="C1865" s="22">
        <v>2023</v>
      </c>
      <c r="D1865" t="s">
        <v>44</v>
      </c>
      <c r="F1865" t="str">
        <f>VLOOKUP(G1865,PC!B:D,2,FALSE)</f>
        <v>RECEITA</v>
      </c>
      <c r="G1865" s="4" t="s">
        <v>83</v>
      </c>
      <c r="H1865" s="1">
        <v>44.89</v>
      </c>
    </row>
    <row r="1866" spans="2:8" x14ac:dyDescent="0.2">
      <c r="B1866" t="str">
        <f>VLOOKUP(G1866,PC!B:D,3,FALSE)</f>
        <v>CPV</v>
      </c>
      <c r="C1866" s="22">
        <v>2023</v>
      </c>
      <c r="D1866" t="s">
        <v>44</v>
      </c>
      <c r="E1866" t="s">
        <v>156</v>
      </c>
      <c r="F1866" t="str">
        <f>VLOOKUP(G1866,PC!B:D,2,FALSE)</f>
        <v>BEBIDAS</v>
      </c>
      <c r="G1866" s="4" t="s">
        <v>26</v>
      </c>
      <c r="H1866" s="1">
        <v>224.45</v>
      </c>
    </row>
    <row r="1867" spans="2:8" x14ac:dyDescent="0.2">
      <c r="B1867" t="str">
        <f>VLOOKUP(G1867,PC!B:D,3,FALSE)</f>
        <v>CPV</v>
      </c>
      <c r="C1867" s="22">
        <v>2023</v>
      </c>
      <c r="D1867" t="s">
        <v>44</v>
      </c>
      <c r="E1867" t="s">
        <v>14</v>
      </c>
      <c r="F1867" t="str">
        <f>VLOOKUP(G1867,PC!B:D,2,FALSE)</f>
        <v>BEBIDAS</v>
      </c>
      <c r="G1867" s="4" t="s">
        <v>25</v>
      </c>
      <c r="H1867" s="1">
        <v>482.39</v>
      </c>
    </row>
    <row r="1868" spans="2:8" x14ac:dyDescent="0.2">
      <c r="B1868" t="str">
        <f>VLOOKUP(G1868,PC!B:D,3,FALSE)</f>
        <v>CPV</v>
      </c>
      <c r="C1868" s="22">
        <v>2023</v>
      </c>
      <c r="D1868" t="s">
        <v>44</v>
      </c>
      <c r="E1868" t="s">
        <v>159</v>
      </c>
      <c r="F1868" t="str">
        <f>VLOOKUP(G1868,PC!B:D,2,FALSE)</f>
        <v>COMIDA</v>
      </c>
      <c r="G1868" s="4" t="s">
        <v>34</v>
      </c>
      <c r="H1868" s="1">
        <v>143</v>
      </c>
    </row>
    <row r="1869" spans="2:8" x14ac:dyDescent="0.2">
      <c r="B1869" t="str">
        <f>VLOOKUP(G1869,PC!B:D,3,FALSE)</f>
        <v>CPV</v>
      </c>
      <c r="C1869" s="22">
        <v>2023</v>
      </c>
      <c r="D1869" t="s">
        <v>44</v>
      </c>
      <c r="E1869" t="s">
        <v>16</v>
      </c>
      <c r="F1869" t="str">
        <f>VLOOKUP(G1869,PC!B:D,2,FALSE)</f>
        <v>COMIDA</v>
      </c>
      <c r="G1869" s="4" t="s">
        <v>12</v>
      </c>
      <c r="H1869" s="1">
        <v>383.04</v>
      </c>
    </row>
    <row r="1870" spans="2:8" x14ac:dyDescent="0.2">
      <c r="B1870" t="str">
        <f>VLOOKUP(G1870,PC!B:D,3,FALSE)</f>
        <v>CPV</v>
      </c>
      <c r="C1870" s="22">
        <v>2023</v>
      </c>
      <c r="D1870" t="s">
        <v>44</v>
      </c>
      <c r="E1870" t="s">
        <v>159</v>
      </c>
      <c r="F1870" t="str">
        <f>VLOOKUP(G1870,PC!B:D,2,FALSE)</f>
        <v>COMIDA</v>
      </c>
      <c r="G1870" s="4" t="s">
        <v>18</v>
      </c>
      <c r="H1870" s="1">
        <v>57.4</v>
      </c>
    </row>
    <row r="1871" spans="2:8" x14ac:dyDescent="0.2">
      <c r="B1871" t="str">
        <f>VLOOKUP(G1871,PC!B:D,3,FALSE)</f>
        <v>CPV</v>
      </c>
      <c r="C1871" s="22">
        <v>2023</v>
      </c>
      <c r="D1871" t="s">
        <v>44</v>
      </c>
      <c r="E1871" t="s">
        <v>28</v>
      </c>
      <c r="F1871" t="str">
        <f>VLOOKUP(G1871,PC!B:D,2,FALSE)</f>
        <v>BEBIDAS</v>
      </c>
      <c r="G1871" s="4" t="s">
        <v>26</v>
      </c>
      <c r="H1871" s="1">
        <v>1162.58</v>
      </c>
    </row>
    <row r="1872" spans="2:8" x14ac:dyDescent="0.2">
      <c r="B1872" t="str">
        <f>VLOOKUP(G1872,PC!B:D,3,FALSE)</f>
        <v>CPV</v>
      </c>
      <c r="C1872" s="22">
        <v>2023</v>
      </c>
      <c r="D1872" t="s">
        <v>44</v>
      </c>
      <c r="E1872" t="s">
        <v>24</v>
      </c>
      <c r="F1872" t="str">
        <f>VLOOKUP(G1872,PC!B:D,2,FALSE)</f>
        <v>COMIDA</v>
      </c>
      <c r="G1872" s="4" t="s">
        <v>33</v>
      </c>
      <c r="H1872" s="1">
        <v>553.82000000000005</v>
      </c>
    </row>
    <row r="1873" spans="2:8" x14ac:dyDescent="0.2">
      <c r="B1873" t="str">
        <f>VLOOKUP(G1873,PC!B:D,3,FALSE)</f>
        <v>CPV</v>
      </c>
      <c r="C1873" s="22">
        <v>2023</v>
      </c>
      <c r="D1873" t="s">
        <v>44</v>
      </c>
      <c r="E1873" t="s">
        <v>13</v>
      </c>
      <c r="F1873" t="str">
        <f>VLOOKUP(G1873,PC!B:D,2,FALSE)</f>
        <v>COMIDA</v>
      </c>
      <c r="G1873" s="4" t="s">
        <v>33</v>
      </c>
      <c r="H1873" s="1">
        <v>260.70999999999998</v>
      </c>
    </row>
    <row r="1874" spans="2:8" x14ac:dyDescent="0.2">
      <c r="B1874" t="str">
        <f>VLOOKUP(G1874,PC!B:D,3,FALSE)</f>
        <v>CPV</v>
      </c>
      <c r="C1874" s="22">
        <v>2023</v>
      </c>
      <c r="D1874" t="s">
        <v>44</v>
      </c>
      <c r="E1874" t="s">
        <v>78</v>
      </c>
      <c r="F1874" t="str">
        <f>VLOOKUP(G1874,PC!B:D,2,FALSE)</f>
        <v>CIGARRO</v>
      </c>
      <c r="G1874" s="4" t="s">
        <v>82</v>
      </c>
      <c r="H1874" s="1">
        <v>434.11</v>
      </c>
    </row>
    <row r="1875" spans="2:8" x14ac:dyDescent="0.2">
      <c r="B1875" t="str">
        <f>VLOOKUP(G1875,PC!B:D,3,FALSE)</f>
        <v>CPV</v>
      </c>
      <c r="C1875" s="22">
        <v>2023</v>
      </c>
      <c r="D1875" t="s">
        <v>44</v>
      </c>
      <c r="E1875" t="s">
        <v>159</v>
      </c>
      <c r="F1875" t="str">
        <f>VLOOKUP(G1875,PC!B:D,2,FALSE)</f>
        <v>COMIDA</v>
      </c>
      <c r="G1875" s="4" t="s">
        <v>145</v>
      </c>
      <c r="H1875" s="1">
        <v>379</v>
      </c>
    </row>
    <row r="1876" spans="2:8" x14ac:dyDescent="0.2">
      <c r="B1876" t="str">
        <f>VLOOKUP(G1876,PC!B:D,3,FALSE)</f>
        <v>CPV</v>
      </c>
      <c r="C1876" s="22">
        <v>2023</v>
      </c>
      <c r="D1876" t="s">
        <v>44</v>
      </c>
      <c r="E1876" t="s">
        <v>28</v>
      </c>
      <c r="F1876" t="str">
        <f>VLOOKUP(G1876,PC!B:D,2,FALSE)</f>
        <v>BEBIDAS</v>
      </c>
      <c r="G1876" s="4" t="s">
        <v>25</v>
      </c>
      <c r="H1876" s="1">
        <v>400</v>
      </c>
    </row>
    <row r="1877" spans="2:8" x14ac:dyDescent="0.2">
      <c r="B1877" t="str">
        <f>VLOOKUP(G1877,PC!B:D,3,FALSE)</f>
        <v>CPV</v>
      </c>
      <c r="C1877" s="22">
        <v>2023</v>
      </c>
      <c r="D1877" t="s">
        <v>44</v>
      </c>
      <c r="E1877" t="s">
        <v>28</v>
      </c>
      <c r="F1877" t="str">
        <f>VLOOKUP(G1877,PC!B:D,2,FALSE)</f>
        <v>BEBIDAS</v>
      </c>
      <c r="G1877" s="4" t="s">
        <v>26</v>
      </c>
      <c r="H1877" s="1">
        <f>3999.28-H1876</f>
        <v>3599.28</v>
      </c>
    </row>
    <row r="1878" spans="2:8" x14ac:dyDescent="0.2">
      <c r="B1878" t="str">
        <f>VLOOKUP(G1878,PC!B:D,3,FALSE)</f>
        <v>CPV</v>
      </c>
      <c r="C1878" s="22">
        <v>2023</v>
      </c>
      <c r="D1878" t="s">
        <v>44</v>
      </c>
      <c r="E1878" t="s">
        <v>5</v>
      </c>
      <c r="F1878" t="str">
        <f>VLOOKUP(G1878,PC!B:D,2,FALSE)</f>
        <v>COMIDA</v>
      </c>
      <c r="G1878" s="4" t="s">
        <v>18</v>
      </c>
      <c r="H1878" s="1">
        <v>162.55000000000001</v>
      </c>
    </row>
    <row r="1879" spans="2:8" x14ac:dyDescent="0.2">
      <c r="B1879" t="str">
        <f>VLOOKUP(G1879,PC!B:D,3,FALSE)</f>
        <v>CPV</v>
      </c>
      <c r="C1879" s="22">
        <v>2023</v>
      </c>
      <c r="D1879" t="s">
        <v>44</v>
      </c>
      <c r="E1879" t="s">
        <v>10</v>
      </c>
      <c r="F1879" t="str">
        <f>VLOOKUP(G1879,PC!B:D,2,FALSE)</f>
        <v>COMIDA</v>
      </c>
      <c r="G1879" s="4" t="s">
        <v>33</v>
      </c>
      <c r="H1879" s="1">
        <v>352.3</v>
      </c>
    </row>
    <row r="1880" spans="2:8" x14ac:dyDescent="0.2">
      <c r="B1880" t="str">
        <f>VLOOKUP(G1880,PC!B:D,3,FALSE)</f>
        <v>CPV</v>
      </c>
      <c r="C1880" s="22">
        <v>2023</v>
      </c>
      <c r="D1880" t="s">
        <v>44</v>
      </c>
      <c r="E1880" t="s">
        <v>129</v>
      </c>
      <c r="F1880" t="str">
        <f>VLOOKUP(G1880,PC!B:D,2,FALSE)</f>
        <v>BEBIDAS</v>
      </c>
      <c r="G1880" s="4" t="s">
        <v>48</v>
      </c>
      <c r="H1880" s="1">
        <v>201</v>
      </c>
    </row>
    <row r="1881" spans="2:8" x14ac:dyDescent="0.2">
      <c r="B1881" t="str">
        <f>VLOOKUP(G1881,PC!B:D,3,FALSE)</f>
        <v>CPV</v>
      </c>
      <c r="C1881" s="22">
        <v>2023</v>
      </c>
      <c r="D1881" t="s">
        <v>44</v>
      </c>
      <c r="E1881" t="s">
        <v>164</v>
      </c>
      <c r="F1881" t="str">
        <f>VLOOKUP(G1881,PC!B:D,2,FALSE)</f>
        <v>COMIDA</v>
      </c>
      <c r="G1881" s="4" t="s">
        <v>33</v>
      </c>
      <c r="H1881" s="1">
        <v>161.47999999999999</v>
      </c>
    </row>
    <row r="1882" spans="2:8" x14ac:dyDescent="0.2">
      <c r="B1882" t="str">
        <f>VLOOKUP(G1882,PC!B:D,3,FALSE)</f>
        <v>CPV</v>
      </c>
      <c r="C1882" s="22">
        <v>2023</v>
      </c>
      <c r="D1882" t="s">
        <v>44</v>
      </c>
      <c r="E1882" t="s">
        <v>6</v>
      </c>
      <c r="F1882" t="str">
        <f>VLOOKUP(G1882,PC!B:D,2,FALSE)</f>
        <v>COMIDA</v>
      </c>
      <c r="G1882" s="4" t="s">
        <v>145</v>
      </c>
      <c r="H1882" s="1">
        <v>49.2</v>
      </c>
    </row>
    <row r="1883" spans="2:8" x14ac:dyDescent="0.2">
      <c r="B1883" t="str">
        <f>VLOOKUP(G1883,PC!B:D,3,FALSE)</f>
        <v>CPV</v>
      </c>
      <c r="C1883" s="22">
        <v>2023</v>
      </c>
      <c r="D1883" t="s">
        <v>44</v>
      </c>
      <c r="E1883" t="s">
        <v>35</v>
      </c>
      <c r="F1883" t="str">
        <f>VLOOKUP(G1883,PC!B:D,2,FALSE)</f>
        <v>BEBIDAS</v>
      </c>
      <c r="G1883" s="4" t="s">
        <v>39</v>
      </c>
      <c r="H1883" s="1">
        <f>183+183</f>
        <v>366</v>
      </c>
    </row>
    <row r="1884" spans="2:8" x14ac:dyDescent="0.2">
      <c r="B1884" t="str">
        <f>VLOOKUP(G1884,PC!B:D,3,FALSE)</f>
        <v>CPV</v>
      </c>
      <c r="C1884" s="22">
        <v>2023</v>
      </c>
      <c r="D1884" t="s">
        <v>44</v>
      </c>
      <c r="E1884" t="s">
        <v>35</v>
      </c>
      <c r="F1884" t="str">
        <f>VLOOKUP(G1884,PC!B:D,2,FALSE)</f>
        <v>HIGIENE</v>
      </c>
      <c r="G1884" s="4" t="s">
        <v>36</v>
      </c>
      <c r="H1884" s="1">
        <f>256.98+39.98+101.97</f>
        <v>398.93000000000006</v>
      </c>
    </row>
    <row r="1885" spans="2:8" x14ac:dyDescent="0.2">
      <c r="B1885" t="str">
        <f>VLOOKUP(G1885,PC!B:D,3,FALSE)</f>
        <v>CPV</v>
      </c>
      <c r="C1885" s="22">
        <v>2023</v>
      </c>
      <c r="D1885" t="s">
        <v>44</v>
      </c>
      <c r="E1885" t="s">
        <v>35</v>
      </c>
      <c r="F1885" t="str">
        <f>VLOOKUP(G1885,PC!B:D,2,FALSE)</f>
        <v>OUTROS</v>
      </c>
      <c r="G1885" s="4" t="s">
        <v>37</v>
      </c>
      <c r="H1885" s="1">
        <f>1544.75-H1884-H1883</f>
        <v>779.81999999999994</v>
      </c>
    </row>
    <row r="1886" spans="2:8" x14ac:dyDescent="0.2">
      <c r="B1886" t="str">
        <f>VLOOKUP(G1886,PC!B:D,3,FALSE)</f>
        <v>CPV</v>
      </c>
      <c r="C1886" s="22">
        <v>2023</v>
      </c>
      <c r="D1886" t="s">
        <v>44</v>
      </c>
      <c r="E1886" t="s">
        <v>20</v>
      </c>
      <c r="F1886" t="str">
        <f>VLOOKUP(G1886,PC!B:D,2,FALSE)</f>
        <v>COMIDA</v>
      </c>
      <c r="G1886" s="4" t="s">
        <v>29</v>
      </c>
      <c r="H1886" s="1">
        <v>90.9</v>
      </c>
    </row>
    <row r="1887" spans="2:8" x14ac:dyDescent="0.2">
      <c r="B1887" t="str">
        <f>VLOOKUP(G1887,PC!B:D,3,FALSE)</f>
        <v>CPV</v>
      </c>
      <c r="C1887" s="22">
        <v>2023</v>
      </c>
      <c r="D1887" t="s">
        <v>44</v>
      </c>
      <c r="E1887" t="s">
        <v>45</v>
      </c>
      <c r="F1887" t="str">
        <f>VLOOKUP(G1887,PC!B:D,2,FALSE)</f>
        <v>COMIDA</v>
      </c>
      <c r="G1887" s="4" t="s">
        <v>38</v>
      </c>
      <c r="H1887" s="1">
        <v>486.37</v>
      </c>
    </row>
    <row r="1888" spans="2:8" x14ac:dyDescent="0.2">
      <c r="B1888" t="str">
        <f>VLOOKUP(G1888,PC!B:D,3,FALSE)</f>
        <v>CPV</v>
      </c>
      <c r="C1888" s="22">
        <v>2023</v>
      </c>
      <c r="D1888" t="s">
        <v>44</v>
      </c>
      <c r="E1888" t="s">
        <v>28</v>
      </c>
      <c r="F1888" t="str">
        <f>VLOOKUP(G1888,PC!B:D,2,FALSE)</f>
        <v>BEBIDAS</v>
      </c>
      <c r="G1888" s="4" t="s">
        <v>26</v>
      </c>
      <c r="H1888" s="1">
        <v>709.15</v>
      </c>
    </row>
    <row r="1889" spans="2:8" x14ac:dyDescent="0.2">
      <c r="B1889" t="str">
        <f>VLOOKUP(G1889,PC!B:D,3,FALSE)</f>
        <v>CPV</v>
      </c>
      <c r="C1889" s="22">
        <v>2023</v>
      </c>
      <c r="D1889" t="s">
        <v>44</v>
      </c>
      <c r="E1889" t="s">
        <v>49</v>
      </c>
      <c r="F1889" t="str">
        <f>VLOOKUP(G1889,PC!B:D,2,FALSE)</f>
        <v>CIGARRO</v>
      </c>
      <c r="G1889" s="4" t="s">
        <v>52</v>
      </c>
      <c r="H1889" s="1">
        <v>6835.95</v>
      </c>
    </row>
    <row r="1890" spans="2:8" x14ac:dyDescent="0.2">
      <c r="B1890" t="str">
        <f>VLOOKUP(G1890,PC!B:D,3,FALSE)</f>
        <v>CPV</v>
      </c>
      <c r="C1890" s="22">
        <v>2023</v>
      </c>
      <c r="D1890" t="s">
        <v>44</v>
      </c>
      <c r="E1890" t="s">
        <v>28</v>
      </c>
      <c r="F1890" t="str">
        <f>VLOOKUP(G1890,PC!B:D,2,FALSE)</f>
        <v>BEBIDAS</v>
      </c>
      <c r="G1890" s="4" t="s">
        <v>26</v>
      </c>
      <c r="H1890" s="1">
        <v>2226.52</v>
      </c>
    </row>
    <row r="1891" spans="2:8" x14ac:dyDescent="0.2">
      <c r="B1891" t="str">
        <f>VLOOKUP(G1891,PC!B:D,3,FALSE)</f>
        <v>CPV</v>
      </c>
      <c r="C1891" s="22">
        <v>2023</v>
      </c>
      <c r="D1891" t="s">
        <v>44</v>
      </c>
      <c r="E1891" t="s">
        <v>28</v>
      </c>
      <c r="F1891" t="str">
        <f>VLOOKUP(G1891,PC!B:D,2,FALSE)</f>
        <v>BEBIDAS</v>
      </c>
      <c r="G1891" s="4" t="s">
        <v>26</v>
      </c>
      <c r="H1891" s="1">
        <v>642.33000000000004</v>
      </c>
    </row>
    <row r="1892" spans="2:8" x14ac:dyDescent="0.2">
      <c r="B1892" t="str">
        <f>VLOOKUP(G1892,PC!B:D,3,FALSE)</f>
        <v>CPV</v>
      </c>
      <c r="C1892" s="22">
        <v>2023</v>
      </c>
      <c r="D1892" t="s">
        <v>44</v>
      </c>
      <c r="E1892" t="s">
        <v>45</v>
      </c>
      <c r="F1892" t="str">
        <f>VLOOKUP(G1892,PC!B:D,2,FALSE)</f>
        <v>HIGIENE</v>
      </c>
      <c r="G1892" s="4" t="s">
        <v>36</v>
      </c>
      <c r="H1892" s="1">
        <f>27.84</f>
        <v>27.84</v>
      </c>
    </row>
    <row r="1893" spans="2:8" x14ac:dyDescent="0.2">
      <c r="B1893" t="str">
        <f>VLOOKUP(G1893,PC!B:D,3,FALSE)</f>
        <v>CPV</v>
      </c>
      <c r="C1893" s="22">
        <v>2023</v>
      </c>
      <c r="D1893" t="s">
        <v>44</v>
      </c>
      <c r="E1893" t="s">
        <v>45</v>
      </c>
      <c r="F1893" t="str">
        <f>VLOOKUP(G1893,PC!B:D,2,FALSE)</f>
        <v>LIMPEZA</v>
      </c>
      <c r="G1893" s="4" t="s">
        <v>43</v>
      </c>
      <c r="H1893" s="1">
        <f>40.99+163.97</f>
        <v>204.96</v>
      </c>
    </row>
    <row r="1894" spans="2:8" x14ac:dyDescent="0.2">
      <c r="B1894" t="str">
        <f>VLOOKUP(G1894,PC!B:D,3,FALSE)</f>
        <v>CPV</v>
      </c>
      <c r="C1894" s="22">
        <v>2023</v>
      </c>
      <c r="D1894" t="s">
        <v>44</v>
      </c>
      <c r="E1894" t="s">
        <v>45</v>
      </c>
      <c r="F1894" t="str">
        <f>VLOOKUP(G1894,PC!B:D,2,FALSE)</f>
        <v>OUTROS</v>
      </c>
      <c r="G1894" s="4" t="s">
        <v>37</v>
      </c>
      <c r="H1894" s="1">
        <f>853.73-H1893-H1892</f>
        <v>620.92999999999995</v>
      </c>
    </row>
    <row r="1895" spans="2:8" x14ac:dyDescent="0.2">
      <c r="B1895" t="str">
        <f>VLOOKUP(G1895,PC!B:D,3,FALSE)</f>
        <v>CPV</v>
      </c>
      <c r="C1895" s="22">
        <v>2023</v>
      </c>
      <c r="D1895" t="s">
        <v>44</v>
      </c>
      <c r="E1895" t="s">
        <v>40</v>
      </c>
      <c r="F1895" t="str">
        <f>VLOOKUP(G1895,PC!B:D,2,FALSE)</f>
        <v>BEBIDAS</v>
      </c>
      <c r="G1895" s="4" t="s">
        <v>26</v>
      </c>
      <c r="H1895" s="1">
        <v>135.72999999999999</v>
      </c>
    </row>
    <row r="1896" spans="2:8" x14ac:dyDescent="0.2">
      <c r="B1896" t="str">
        <f>VLOOKUP(G1896,PC!B:D,3,FALSE)</f>
        <v>CPV</v>
      </c>
      <c r="C1896" s="22">
        <v>2023</v>
      </c>
      <c r="D1896" t="s">
        <v>44</v>
      </c>
      <c r="E1896" t="s">
        <v>20</v>
      </c>
      <c r="F1896" t="str">
        <f>VLOOKUP(G1896,PC!B:D,2,FALSE)</f>
        <v>COMIDA</v>
      </c>
      <c r="G1896" s="4" t="s">
        <v>29</v>
      </c>
      <c r="H1896" s="1">
        <v>253.3</v>
      </c>
    </row>
    <row r="1897" spans="2:8" x14ac:dyDescent="0.2">
      <c r="B1897" t="str">
        <f>VLOOKUP(G1897,PC!B:D,3,FALSE)</f>
        <v>CPV</v>
      </c>
      <c r="C1897" s="22">
        <v>2023</v>
      </c>
      <c r="D1897" t="s">
        <v>44</v>
      </c>
      <c r="E1897" t="s">
        <v>28</v>
      </c>
      <c r="F1897" t="str">
        <f>VLOOKUP(G1897,PC!B:D,2,FALSE)</f>
        <v>BEBIDAS</v>
      </c>
      <c r="G1897" s="4" t="s">
        <v>26</v>
      </c>
      <c r="H1897" s="1">
        <v>605.32000000000005</v>
      </c>
    </row>
    <row r="1898" spans="2:8" x14ac:dyDescent="0.2">
      <c r="B1898" t="str">
        <f>VLOOKUP(G1898,PC!B:D,3,FALSE)</f>
        <v>CPV</v>
      </c>
      <c r="C1898" s="22">
        <v>2023</v>
      </c>
      <c r="D1898" t="s">
        <v>44</v>
      </c>
      <c r="E1898" t="s">
        <v>6</v>
      </c>
      <c r="F1898" t="str">
        <f>VLOOKUP(G1898,PC!B:D,2,FALSE)</f>
        <v>COMIDA</v>
      </c>
      <c r="G1898" s="4" t="s">
        <v>145</v>
      </c>
      <c r="H1898" s="1">
        <v>49.2</v>
      </c>
    </row>
    <row r="1899" spans="2:8" x14ac:dyDescent="0.2">
      <c r="B1899" t="str">
        <f>VLOOKUP(G1899,PC!B:D,3,FALSE)</f>
        <v>CPV</v>
      </c>
      <c r="C1899" s="22">
        <v>2023</v>
      </c>
      <c r="D1899" t="s">
        <v>44</v>
      </c>
      <c r="E1899" t="s">
        <v>100</v>
      </c>
      <c r="F1899" t="str">
        <f>VLOOKUP(G1899,PC!B:D,2,FALSE)</f>
        <v>COMIDA</v>
      </c>
      <c r="G1899" s="4" t="s">
        <v>18</v>
      </c>
      <c r="H1899" s="1">
        <v>345.03</v>
      </c>
    </row>
    <row r="1900" spans="2:8" x14ac:dyDescent="0.2">
      <c r="B1900" t="str">
        <f>VLOOKUP(G1900,PC!B:D,3,FALSE)</f>
        <v>CPV</v>
      </c>
      <c r="C1900" s="22">
        <v>2023</v>
      </c>
      <c r="D1900" t="s">
        <v>44</v>
      </c>
      <c r="E1900" t="s">
        <v>14</v>
      </c>
      <c r="F1900" t="str">
        <f>VLOOKUP(G1900,PC!B:D,2,FALSE)</f>
        <v>BEBIDAS</v>
      </c>
      <c r="G1900" s="4" t="s">
        <v>26</v>
      </c>
      <c r="H1900" s="1">
        <v>618.96</v>
      </c>
    </row>
    <row r="1901" spans="2:8" x14ac:dyDescent="0.2">
      <c r="B1901" t="str">
        <f>VLOOKUP(G1901,PC!B:D,3,FALSE)</f>
        <v>CPV</v>
      </c>
      <c r="C1901" s="22">
        <v>2023</v>
      </c>
      <c r="D1901" t="s">
        <v>44</v>
      </c>
      <c r="E1901" t="s">
        <v>14</v>
      </c>
      <c r="F1901" t="str">
        <f>VLOOKUP(G1901,PC!B:D,2,FALSE)</f>
        <v>BEBIDAS</v>
      </c>
      <c r="G1901" s="4" t="s">
        <v>41</v>
      </c>
      <c r="H1901" s="1">
        <f>71.92+42.26</f>
        <v>114.18</v>
      </c>
    </row>
    <row r="1902" spans="2:8" x14ac:dyDescent="0.2">
      <c r="B1902" t="str">
        <f>VLOOKUP(G1902,PC!B:D,3,FALSE)</f>
        <v>CPV</v>
      </c>
      <c r="C1902" s="22">
        <v>2023</v>
      </c>
      <c r="D1902" t="s">
        <v>44</v>
      </c>
      <c r="E1902" t="s">
        <v>14</v>
      </c>
      <c r="F1902" t="str">
        <f>VLOOKUP(G1902,PC!B:D,2,FALSE)</f>
        <v>BEBIDAS</v>
      </c>
      <c r="G1902" s="4" t="s">
        <v>25</v>
      </c>
      <c r="H1902" s="1">
        <v>330.22</v>
      </c>
    </row>
    <row r="1903" spans="2:8" x14ac:dyDescent="0.2">
      <c r="B1903" t="str">
        <f>VLOOKUP(G1903,PC!B:D,3,FALSE)</f>
        <v>CPV</v>
      </c>
      <c r="C1903" s="22">
        <v>2023</v>
      </c>
      <c r="D1903" t="s">
        <v>44</v>
      </c>
      <c r="E1903" t="s">
        <v>24</v>
      </c>
      <c r="F1903" t="str">
        <f>VLOOKUP(G1903,PC!B:D,2,FALSE)</f>
        <v>COMIDA</v>
      </c>
      <c r="G1903" s="4" t="s">
        <v>33</v>
      </c>
      <c r="H1903" s="1">
        <v>459.7</v>
      </c>
    </row>
    <row r="1904" spans="2:8" x14ac:dyDescent="0.2">
      <c r="B1904" t="str">
        <f>VLOOKUP(G1904,PC!B:D,3,FALSE)</f>
        <v>CPV</v>
      </c>
      <c r="C1904" s="22">
        <v>2023</v>
      </c>
      <c r="D1904" t="s">
        <v>44</v>
      </c>
      <c r="E1904" t="s">
        <v>45</v>
      </c>
      <c r="F1904" t="str">
        <f>VLOOKUP(G1904,PC!B:D,2,FALSE)</f>
        <v>HIGIENE</v>
      </c>
      <c r="G1904" s="4" t="s">
        <v>36</v>
      </c>
      <c r="H1904" s="1">
        <f>147.8+36.48+36.48+26.28+36.48+34.14</f>
        <v>317.65999999999997</v>
      </c>
    </row>
    <row r="1905" spans="2:8" x14ac:dyDescent="0.2">
      <c r="B1905" t="str">
        <f>VLOOKUP(G1905,PC!B:D,3,FALSE)</f>
        <v>CPV</v>
      </c>
      <c r="C1905" s="22">
        <v>2023</v>
      </c>
      <c r="D1905" t="s">
        <v>44</v>
      </c>
      <c r="E1905" t="s">
        <v>45</v>
      </c>
      <c r="F1905" t="str">
        <f>VLOOKUP(G1905,PC!B:D,2,FALSE)</f>
        <v>OUTROS</v>
      </c>
      <c r="G1905" s="4" t="s">
        <v>37</v>
      </c>
      <c r="H1905" s="1">
        <f>561.96-H1904</f>
        <v>244.30000000000007</v>
      </c>
    </row>
    <row r="1906" spans="2:8" x14ac:dyDescent="0.2">
      <c r="B1906" t="str">
        <f>VLOOKUP(G1906,PC!B:D,3,FALSE)</f>
        <v>CPV</v>
      </c>
      <c r="C1906" s="22">
        <v>2023</v>
      </c>
      <c r="D1906" t="s">
        <v>44</v>
      </c>
      <c r="E1906" t="s">
        <v>30</v>
      </c>
      <c r="F1906" t="str">
        <f>VLOOKUP(G1906,PC!B:D,2,FALSE)</f>
        <v>SOBREMESA</v>
      </c>
      <c r="G1906" s="4" t="s">
        <v>23</v>
      </c>
      <c r="H1906" s="1">
        <v>404.95</v>
      </c>
    </row>
    <row r="1907" spans="2:8" x14ac:dyDescent="0.2">
      <c r="B1907" t="str">
        <f>VLOOKUP(G1907,PC!B:D,3,FALSE)</f>
        <v>CPV</v>
      </c>
      <c r="C1907" s="22">
        <v>2023</v>
      </c>
      <c r="D1907" t="s">
        <v>44</v>
      </c>
      <c r="E1907" t="s">
        <v>96</v>
      </c>
      <c r="F1907" t="str">
        <f>VLOOKUP(G1907,PC!B:D,2,FALSE)</f>
        <v>OUTROS</v>
      </c>
      <c r="G1907" s="4" t="s">
        <v>37</v>
      </c>
      <c r="H1907" s="1">
        <v>200</v>
      </c>
    </row>
    <row r="1908" spans="2:8" x14ac:dyDescent="0.2">
      <c r="B1908" t="str">
        <f>VLOOKUP(G1908,PC!B:D,3,FALSE)</f>
        <v>CPV</v>
      </c>
      <c r="C1908" s="22">
        <v>2023</v>
      </c>
      <c r="D1908" t="s">
        <v>44</v>
      </c>
      <c r="E1908" t="s">
        <v>96</v>
      </c>
      <c r="F1908" t="str">
        <f>VLOOKUP(G1908,PC!B:D,2,FALSE)</f>
        <v>SOBREMESA</v>
      </c>
      <c r="G1908" s="4" t="s">
        <v>8</v>
      </c>
      <c r="H1908" s="1">
        <v>276.45999999999998</v>
      </c>
    </row>
    <row r="1909" spans="2:8" x14ac:dyDescent="0.2">
      <c r="B1909" t="str">
        <f>VLOOKUP(G1909,PC!B:D,3,FALSE)</f>
        <v>CPV</v>
      </c>
      <c r="C1909" s="22">
        <v>2023</v>
      </c>
      <c r="D1909" t="s">
        <v>44</v>
      </c>
      <c r="E1909" t="s">
        <v>101</v>
      </c>
      <c r="F1909" t="str">
        <f>VLOOKUP(G1909,PC!B:D,2,FALSE)</f>
        <v>COMIDA</v>
      </c>
      <c r="G1909" s="4" t="s">
        <v>34</v>
      </c>
      <c r="H1909" s="1">
        <v>221</v>
      </c>
    </row>
    <row r="1910" spans="2:8" x14ac:dyDescent="0.2">
      <c r="B1910" t="str">
        <f>VLOOKUP(G1910,PC!B:D,3,FALSE)</f>
        <v>CPV</v>
      </c>
      <c r="C1910" s="22">
        <v>2023</v>
      </c>
      <c r="D1910" t="s">
        <v>44</v>
      </c>
      <c r="E1910" t="s">
        <v>27</v>
      </c>
      <c r="F1910" t="str">
        <f>VLOOKUP(G1910,PC!B:D,2,FALSE)</f>
        <v>COMIDA</v>
      </c>
      <c r="G1910" s="4" t="s">
        <v>12</v>
      </c>
      <c r="H1910" s="1">
        <v>212.9</v>
      </c>
    </row>
    <row r="1911" spans="2:8" x14ac:dyDescent="0.2">
      <c r="B1911" t="str">
        <f>VLOOKUP(G1911,PC!B:D,3,FALSE)</f>
        <v>CPV</v>
      </c>
      <c r="C1911" s="22">
        <v>2023</v>
      </c>
      <c r="D1911" t="s">
        <v>44</v>
      </c>
      <c r="E1911" t="s">
        <v>28</v>
      </c>
      <c r="F1911" t="str">
        <f>VLOOKUP(G1911,PC!B:D,2,FALSE)</f>
        <v>BEBIDAS</v>
      </c>
      <c r="G1911" s="4" t="s">
        <v>26</v>
      </c>
      <c r="H1911" s="1">
        <v>1427.46</v>
      </c>
    </row>
    <row r="1912" spans="2:8" x14ac:dyDescent="0.2">
      <c r="B1912" t="str">
        <f>VLOOKUP(G1912,PC!B:D,3,FALSE)</f>
        <v>CPV</v>
      </c>
      <c r="C1912" s="22">
        <v>2023</v>
      </c>
      <c r="D1912" t="s">
        <v>44</v>
      </c>
      <c r="E1912" t="s">
        <v>159</v>
      </c>
      <c r="F1912" t="str">
        <f>VLOOKUP(G1912,PC!B:D,2,FALSE)</f>
        <v>COMIDA</v>
      </c>
      <c r="G1912" s="4" t="s">
        <v>145</v>
      </c>
      <c r="H1912" s="1">
        <v>292.39999999999998</v>
      </c>
    </row>
    <row r="1913" spans="2:8" x14ac:dyDescent="0.2">
      <c r="B1913" t="str">
        <f>VLOOKUP(G1913,PC!B:D,3,FALSE)</f>
        <v>CPV</v>
      </c>
      <c r="C1913" s="22">
        <v>2023</v>
      </c>
      <c r="D1913" t="s">
        <v>44</v>
      </c>
      <c r="E1913" t="s">
        <v>159</v>
      </c>
      <c r="F1913" t="str">
        <f>VLOOKUP(G1913,PC!B:D,2,FALSE)</f>
        <v>SOBREMESA</v>
      </c>
      <c r="G1913" s="4" t="s">
        <v>8</v>
      </c>
      <c r="H1913" s="1">
        <v>191.98</v>
      </c>
    </row>
    <row r="1914" spans="2:8" x14ac:dyDescent="0.2">
      <c r="B1914" t="str">
        <f>VLOOKUP(G1914,PC!B:D,3,FALSE)</f>
        <v>CPV</v>
      </c>
      <c r="C1914" s="22">
        <v>2023</v>
      </c>
      <c r="D1914" t="s">
        <v>44</v>
      </c>
      <c r="E1914" t="s">
        <v>14</v>
      </c>
      <c r="F1914" t="str">
        <f>VLOOKUP(G1914,PC!B:D,2,FALSE)</f>
        <v>BEBIDAS</v>
      </c>
      <c r="G1914" s="4" t="s">
        <v>25</v>
      </c>
      <c r="H1914" s="1">
        <v>320.29000000000002</v>
      </c>
    </row>
    <row r="1915" spans="2:8" x14ac:dyDescent="0.2">
      <c r="B1915" t="str">
        <f>VLOOKUP(G1915,PC!B:D,3,FALSE)</f>
        <v>CPV</v>
      </c>
      <c r="C1915" s="22">
        <v>2023</v>
      </c>
      <c r="D1915" t="s">
        <v>44</v>
      </c>
      <c r="E1915" t="s">
        <v>77</v>
      </c>
      <c r="F1915" t="str">
        <f>VLOOKUP(G1915,PC!B:D,2,FALSE)</f>
        <v>OUTROS</v>
      </c>
      <c r="G1915" s="4" t="s">
        <v>37</v>
      </c>
      <c r="H1915" s="1">
        <v>342.81</v>
      </c>
    </row>
    <row r="1916" spans="2:8" x14ac:dyDescent="0.2">
      <c r="B1916" t="str">
        <f>VLOOKUP(G1916,PC!B:D,3,FALSE)</f>
        <v>CPV</v>
      </c>
      <c r="C1916" s="22">
        <v>2023</v>
      </c>
      <c r="D1916" t="s">
        <v>44</v>
      </c>
      <c r="E1916" t="s">
        <v>89</v>
      </c>
      <c r="F1916" t="str">
        <f>VLOOKUP(G1916,PC!B:D,2,FALSE)</f>
        <v>OUTROS</v>
      </c>
      <c r="G1916" s="4" t="s">
        <v>37</v>
      </c>
      <c r="H1916" s="1">
        <v>302.95</v>
      </c>
    </row>
    <row r="1917" spans="2:8" x14ac:dyDescent="0.2">
      <c r="B1917" t="str">
        <f>VLOOKUP(G1917,PC!B:D,3,FALSE)</f>
        <v>SERV. PUBLICOS</v>
      </c>
      <c r="C1917" s="22">
        <v>2023</v>
      </c>
      <c r="D1917" t="s">
        <v>113</v>
      </c>
      <c r="F1917" t="str">
        <f>VLOOKUP(G1917,PC!B:D,2,FALSE)</f>
        <v>SERV. PUBLICOS</v>
      </c>
      <c r="G1917" s="4" t="s">
        <v>91</v>
      </c>
      <c r="H1917" s="1">
        <f>83.14+1336.6</f>
        <v>1419.74</v>
      </c>
    </row>
    <row r="1918" spans="2:8" x14ac:dyDescent="0.2">
      <c r="B1918" t="str">
        <f>VLOOKUP(G1918,PC!B:D,3,FALSE)</f>
        <v>DESPESA OPERACIONAL</v>
      </c>
      <c r="C1918" s="22">
        <v>2023</v>
      </c>
      <c r="D1918" t="s">
        <v>113</v>
      </c>
      <c r="F1918" t="str">
        <f>VLOOKUP(G1918,PC!B:D,2,FALSE)</f>
        <v>DESPESA OPERACIONAL</v>
      </c>
      <c r="G1918" s="4" t="s">
        <v>73</v>
      </c>
      <c r="H1918" s="1">
        <f>1520.53+1377.82+1056.22+1787.39</f>
        <v>5741.96</v>
      </c>
    </row>
    <row r="1919" spans="2:8" x14ac:dyDescent="0.2">
      <c r="B1919" t="str">
        <f>VLOOKUP(G1919,PC!B:D,3,FALSE)</f>
        <v>RECEITA</v>
      </c>
      <c r="C1919" s="22">
        <v>2023</v>
      </c>
      <c r="D1919" t="s">
        <v>113</v>
      </c>
      <c r="F1919" t="str">
        <f>VLOOKUP(G1919,PC!B:D,2,FALSE)</f>
        <v>RECEITA</v>
      </c>
      <c r="G1919" s="4" t="s">
        <v>64</v>
      </c>
      <c r="H1919" s="1">
        <f>41.11+24.28+31.68+34.97</f>
        <v>132.04</v>
      </c>
    </row>
    <row r="1920" spans="2:8" x14ac:dyDescent="0.2">
      <c r="B1920" t="str">
        <f>VLOOKUP(G1920,PC!B:D,3,FALSE)</f>
        <v>DESPESA PESSOAL</v>
      </c>
      <c r="C1920" s="22">
        <v>2023</v>
      </c>
      <c r="D1920" t="s">
        <v>113</v>
      </c>
      <c r="F1920" t="str">
        <f>VLOOKUP(G1920,PC!B:D,2,FALSE)</f>
        <v>DESPESA PESSOAL</v>
      </c>
      <c r="G1920" s="4" t="s">
        <v>68</v>
      </c>
      <c r="H1920" s="1">
        <v>632.47</v>
      </c>
    </row>
    <row r="1921" spans="2:8" x14ac:dyDescent="0.2">
      <c r="B1921" t="str">
        <f>VLOOKUP(G1921,PC!B:D,3,FALSE)</f>
        <v>DESCONTO DE FATURAMENTO</v>
      </c>
      <c r="C1921" s="22">
        <v>2023</v>
      </c>
      <c r="D1921" t="s">
        <v>113</v>
      </c>
      <c r="F1921" t="str">
        <f>VLOOKUP(G1921,PC!B:D,2,FALSE)</f>
        <v>IMPOSTO</v>
      </c>
      <c r="G1921" s="4" t="s">
        <v>158</v>
      </c>
      <c r="H1921" s="1">
        <v>479.15</v>
      </c>
    </row>
    <row r="1922" spans="2:8" x14ac:dyDescent="0.2">
      <c r="B1922" t="str">
        <f>VLOOKUP(G1922,PC!B:D,3,FALSE)</f>
        <v>DESPESA FINANCEIRA</v>
      </c>
      <c r="C1922" s="22">
        <v>2023</v>
      </c>
      <c r="D1922" t="s">
        <v>113</v>
      </c>
      <c r="F1922" t="str">
        <f>VLOOKUP(G1922,PC!B:D,2,FALSE)</f>
        <v>DESPESA FINANCEIRA</v>
      </c>
      <c r="G1922" s="4" t="s">
        <v>90</v>
      </c>
      <c r="H1922" s="1">
        <v>625.95000000000005</v>
      </c>
    </row>
    <row r="1923" spans="2:8" x14ac:dyDescent="0.2">
      <c r="B1923" t="str">
        <f>VLOOKUP(G1923,PC!B:D,3,FALSE)</f>
        <v>DESCONTO DE FATURAMENTO</v>
      </c>
      <c r="C1923" s="22">
        <v>2023</v>
      </c>
      <c r="D1923" t="s">
        <v>113</v>
      </c>
      <c r="F1923" t="str">
        <f>VLOOKUP(G1923,PC!B:D,2,FALSE)</f>
        <v>IMPOSTO</v>
      </c>
      <c r="G1923" s="4" t="s">
        <v>88</v>
      </c>
      <c r="H1923" s="1">
        <v>4397.8100000000004</v>
      </c>
    </row>
    <row r="1924" spans="2:8" x14ac:dyDescent="0.2">
      <c r="B1924" t="str">
        <f>VLOOKUP(G1924,PC!B:D,3,FALSE)</f>
        <v>CPV</v>
      </c>
      <c r="C1924" s="22">
        <v>2023</v>
      </c>
      <c r="D1924" t="s">
        <v>44</v>
      </c>
      <c r="E1924" t="s">
        <v>129</v>
      </c>
      <c r="F1924" t="str">
        <f>VLOOKUP(G1924,PC!B:D,2,FALSE)</f>
        <v>CIGARRO</v>
      </c>
      <c r="G1924" s="4" t="s">
        <v>53</v>
      </c>
      <c r="H1924" s="1">
        <v>280</v>
      </c>
    </row>
    <row r="1925" spans="2:8" x14ac:dyDescent="0.2">
      <c r="B1925" t="str">
        <f>VLOOKUP(G1925,PC!B:D,3,FALSE)</f>
        <v>CPV</v>
      </c>
      <c r="C1925" s="22">
        <v>2023</v>
      </c>
      <c r="D1925" t="s">
        <v>44</v>
      </c>
      <c r="E1925" t="s">
        <v>129</v>
      </c>
      <c r="F1925" t="str">
        <f>VLOOKUP(G1925,PC!B:D,2,FALSE)</f>
        <v>COMIDA</v>
      </c>
      <c r="G1925" s="4" t="s">
        <v>18</v>
      </c>
      <c r="H1925" s="1">
        <v>32</v>
      </c>
    </row>
    <row r="1926" spans="2:8" x14ac:dyDescent="0.2">
      <c r="B1926" t="str">
        <f>VLOOKUP(G1926,PC!B:D,3,FALSE)</f>
        <v>CPV</v>
      </c>
      <c r="C1926" s="22">
        <v>2023</v>
      </c>
      <c r="D1926" t="s">
        <v>44</v>
      </c>
      <c r="E1926" t="s">
        <v>129</v>
      </c>
      <c r="F1926" t="str">
        <f>VLOOKUP(G1926,PC!B:D,2,FALSE)</f>
        <v>COMIDA</v>
      </c>
      <c r="G1926" s="4" t="s">
        <v>12</v>
      </c>
      <c r="H1926" s="1">
        <v>500</v>
      </c>
    </row>
    <row r="1927" spans="2:8" x14ac:dyDescent="0.2">
      <c r="B1927" t="str">
        <f>VLOOKUP(G1927,PC!B:D,3,FALSE)</f>
        <v>CPV</v>
      </c>
      <c r="C1927" s="22">
        <v>2023</v>
      </c>
      <c r="D1927" t="s">
        <v>44</v>
      </c>
      <c r="E1927" t="s">
        <v>129</v>
      </c>
      <c r="F1927" t="str">
        <f>VLOOKUP(G1927,PC!B:D,2,FALSE)</f>
        <v>SOBREMESA</v>
      </c>
      <c r="G1927" s="4" t="s">
        <v>7</v>
      </c>
      <c r="H1927" s="1">
        <v>170</v>
      </c>
    </row>
    <row r="1928" spans="2:8" x14ac:dyDescent="0.2">
      <c r="B1928" t="str">
        <f>VLOOKUP(G1928,PC!B:D,3,FALSE)</f>
        <v>CPV</v>
      </c>
      <c r="C1928" s="22">
        <v>2023</v>
      </c>
      <c r="D1928" t="s">
        <v>44</v>
      </c>
      <c r="E1928" t="s">
        <v>129</v>
      </c>
      <c r="F1928" t="str">
        <f>VLOOKUP(G1928,PC!B:D,2,FALSE)</f>
        <v>COMIDA</v>
      </c>
      <c r="G1928" s="4" t="s">
        <v>12</v>
      </c>
      <c r="H1928" s="1">
        <v>56</v>
      </c>
    </row>
    <row r="1929" spans="2:8" x14ac:dyDescent="0.2">
      <c r="B1929" t="str">
        <f>VLOOKUP(G1929,PC!B:D,3,FALSE)</f>
        <v>DESPESA OPERACIONAL</v>
      </c>
      <c r="C1929" s="22">
        <v>2023</v>
      </c>
      <c r="D1929" t="s">
        <v>44</v>
      </c>
      <c r="F1929" t="str">
        <f>VLOOKUP(G1929,PC!B:D,2,FALSE)</f>
        <v>DESPESA OPERACIONAL</v>
      </c>
      <c r="G1929" s="4" t="s">
        <v>70</v>
      </c>
      <c r="H1929" s="1">
        <v>118</v>
      </c>
    </row>
    <row r="1930" spans="2:8" x14ac:dyDescent="0.2">
      <c r="B1930" t="str">
        <f>VLOOKUP(G1930,PC!B:D,3,FALSE)</f>
        <v>CPV</v>
      </c>
      <c r="C1930" s="22">
        <v>2023</v>
      </c>
      <c r="D1930" t="s">
        <v>44</v>
      </c>
      <c r="E1930" t="s">
        <v>129</v>
      </c>
      <c r="F1930" t="str">
        <f>VLOOKUP(G1930,PC!B:D,2,FALSE)</f>
        <v>SOBREMESA</v>
      </c>
      <c r="G1930" s="4" t="s">
        <v>7</v>
      </c>
      <c r="H1930" s="1">
        <v>82</v>
      </c>
    </row>
    <row r="1931" spans="2:8" x14ac:dyDescent="0.2">
      <c r="B1931" t="str">
        <f>VLOOKUP(G1931,PC!B:D,3,FALSE)</f>
        <v>CPV</v>
      </c>
      <c r="C1931" s="22">
        <v>2023</v>
      </c>
      <c r="D1931" t="s">
        <v>44</v>
      </c>
      <c r="E1931" t="s">
        <v>129</v>
      </c>
      <c r="F1931" t="str">
        <f>VLOOKUP(G1931,PC!B:D,2,FALSE)</f>
        <v>BEBIDAS</v>
      </c>
      <c r="G1931" s="4" t="s">
        <v>39</v>
      </c>
      <c r="H1931" s="1">
        <v>105</v>
      </c>
    </row>
    <row r="1932" spans="2:8" x14ac:dyDescent="0.2">
      <c r="B1932" t="str">
        <f>VLOOKUP(G1932,PC!B:D,3,FALSE)</f>
        <v>CPV</v>
      </c>
      <c r="C1932" s="22">
        <v>2023</v>
      </c>
      <c r="D1932" t="s">
        <v>44</v>
      </c>
      <c r="E1932" t="s">
        <v>129</v>
      </c>
      <c r="F1932" t="str">
        <f>VLOOKUP(G1932,PC!B:D,2,FALSE)</f>
        <v>COMIDA</v>
      </c>
      <c r="G1932" s="4" t="s">
        <v>22</v>
      </c>
      <c r="H1932" s="1">
        <v>44</v>
      </c>
    </row>
    <row r="1933" spans="2:8" x14ac:dyDescent="0.2">
      <c r="B1933" t="str">
        <f>VLOOKUP(G1933,PC!B:D,3,FALSE)</f>
        <v>CPV</v>
      </c>
      <c r="C1933" s="22">
        <v>2023</v>
      </c>
      <c r="D1933" t="s">
        <v>44</v>
      </c>
      <c r="E1933" t="s">
        <v>129</v>
      </c>
      <c r="F1933" t="str">
        <f>VLOOKUP(G1933,PC!B:D,2,FALSE)</f>
        <v>CIGARRO</v>
      </c>
      <c r="G1933" s="4" t="s">
        <v>57</v>
      </c>
      <c r="H1933" s="1">
        <v>80</v>
      </c>
    </row>
    <row r="1934" spans="2:8" x14ac:dyDescent="0.2">
      <c r="B1934" t="str">
        <f>VLOOKUP(G1934,PC!B:D,3,FALSE)</f>
        <v>CPV</v>
      </c>
      <c r="C1934" s="22">
        <v>2023</v>
      </c>
      <c r="D1934" t="s">
        <v>44</v>
      </c>
      <c r="E1934" t="s">
        <v>129</v>
      </c>
      <c r="F1934" t="str">
        <f>VLOOKUP(G1934,PC!B:D,2,FALSE)</f>
        <v>COMIDA</v>
      </c>
      <c r="G1934" s="4" t="s">
        <v>12</v>
      </c>
      <c r="H1934" s="1">
        <v>60</v>
      </c>
    </row>
    <row r="1935" spans="2:8" x14ac:dyDescent="0.2">
      <c r="B1935" t="str">
        <f>VLOOKUP(G1935,PC!B:D,3,FALSE)</f>
        <v>CPV</v>
      </c>
      <c r="C1935" s="22">
        <v>2023</v>
      </c>
      <c r="D1935" t="s">
        <v>44</v>
      </c>
      <c r="E1935" t="s">
        <v>129</v>
      </c>
      <c r="F1935" t="str">
        <f>VLOOKUP(G1935,PC!B:D,2,FALSE)</f>
        <v>BEBIDAS</v>
      </c>
      <c r="G1935" s="4" t="s">
        <v>48</v>
      </c>
      <c r="H1935" s="1">
        <v>339</v>
      </c>
    </row>
    <row r="1936" spans="2:8" x14ac:dyDescent="0.2">
      <c r="B1936" t="str">
        <f>VLOOKUP(G1936,PC!B:D,3,FALSE)</f>
        <v>CPV</v>
      </c>
      <c r="C1936" s="22">
        <v>2023</v>
      </c>
      <c r="D1936" t="s">
        <v>44</v>
      </c>
      <c r="E1936" t="s">
        <v>89</v>
      </c>
      <c r="F1936" t="str">
        <f>VLOOKUP(G1936,PC!B:D,2,FALSE)</f>
        <v>OUTROS</v>
      </c>
      <c r="G1936" s="4" t="s">
        <v>37</v>
      </c>
      <c r="H1936" s="1">
        <v>387.77</v>
      </c>
    </row>
    <row r="1937" spans="2:9" x14ac:dyDescent="0.2">
      <c r="B1937" t="str">
        <f>VLOOKUP(G1937,PC!B:D,3,FALSE)</f>
        <v>CPV</v>
      </c>
      <c r="C1937" s="22">
        <v>2023</v>
      </c>
      <c r="D1937" t="s">
        <v>44</v>
      </c>
      <c r="E1937" t="s">
        <v>77</v>
      </c>
      <c r="F1937" t="str">
        <f>VLOOKUP(G1937,PC!B:D,2,FALSE)</f>
        <v>OUTROS</v>
      </c>
      <c r="G1937" s="4" t="s">
        <v>37</v>
      </c>
      <c r="H1937" s="1">
        <v>603.53</v>
      </c>
    </row>
    <row r="1938" spans="2:9" x14ac:dyDescent="0.2">
      <c r="B1938" t="str">
        <f>VLOOKUP(G1938,PC!B:D,3,FALSE)</f>
        <v>CPV</v>
      </c>
      <c r="C1938" s="22">
        <v>2023</v>
      </c>
      <c r="D1938" t="s">
        <v>44</v>
      </c>
      <c r="E1938" t="s">
        <v>129</v>
      </c>
      <c r="F1938" t="str">
        <f>VLOOKUP(G1938,PC!B:D,2,FALSE)</f>
        <v>OUTROS</v>
      </c>
      <c r="G1938" s="4" t="s">
        <v>37</v>
      </c>
      <c r="H1938" s="1">
        <v>168</v>
      </c>
      <c r="I1938" s="7" t="s">
        <v>199</v>
      </c>
    </row>
    <row r="1939" spans="2:9" x14ac:dyDescent="0.2">
      <c r="B1939" t="str">
        <f>VLOOKUP(G1939,PC!B:D,3,FALSE)</f>
        <v>CPV</v>
      </c>
      <c r="C1939" s="22">
        <v>2023</v>
      </c>
      <c r="D1939" t="s">
        <v>44</v>
      </c>
      <c r="E1939" t="s">
        <v>129</v>
      </c>
      <c r="F1939" t="str">
        <f>VLOOKUP(G1939,PC!B:D,2,FALSE)</f>
        <v>COMIDA</v>
      </c>
      <c r="G1939" s="4" t="s">
        <v>12</v>
      </c>
      <c r="H1939" s="1">
        <v>51.3</v>
      </c>
    </row>
    <row r="1940" spans="2:9" x14ac:dyDescent="0.2">
      <c r="B1940" t="str">
        <f>VLOOKUP(G1940,PC!B:D,3,FALSE)</f>
        <v>CPV</v>
      </c>
      <c r="C1940" s="22">
        <v>2023</v>
      </c>
      <c r="D1940" t="s">
        <v>44</v>
      </c>
      <c r="E1940" t="s">
        <v>129</v>
      </c>
      <c r="F1940" t="str">
        <f>VLOOKUP(G1940,PC!B:D,2,FALSE)</f>
        <v>BEBIDAS</v>
      </c>
      <c r="G1940" s="4" t="s">
        <v>39</v>
      </c>
      <c r="H1940" s="1">
        <v>147.44999999999999</v>
      </c>
    </row>
    <row r="1941" spans="2:9" x14ac:dyDescent="0.2">
      <c r="B1941" t="str">
        <f>VLOOKUP(G1941,PC!B:D,3,FALSE)</f>
        <v>CPV</v>
      </c>
      <c r="C1941" s="22">
        <v>2023</v>
      </c>
      <c r="D1941" t="s">
        <v>44</v>
      </c>
      <c r="E1941" t="s">
        <v>129</v>
      </c>
      <c r="F1941" t="str">
        <f>VLOOKUP(G1941,PC!B:D,2,FALSE)</f>
        <v>COMIDA</v>
      </c>
      <c r="G1941" s="4" t="s">
        <v>18</v>
      </c>
      <c r="H1941" s="1">
        <v>24</v>
      </c>
    </row>
    <row r="1942" spans="2:9" x14ac:dyDescent="0.2">
      <c r="B1942" t="str">
        <f>VLOOKUP(G1942,PC!B:D,3,FALSE)</f>
        <v>CPV</v>
      </c>
      <c r="C1942" s="22">
        <v>2023</v>
      </c>
      <c r="D1942" t="s">
        <v>44</v>
      </c>
      <c r="E1942" t="s">
        <v>129</v>
      </c>
      <c r="F1942" t="str">
        <f>VLOOKUP(G1942,PC!B:D,2,FALSE)</f>
        <v>COMIDA</v>
      </c>
      <c r="G1942" s="4" t="s">
        <v>12</v>
      </c>
      <c r="H1942" s="1">
        <v>82</v>
      </c>
    </row>
    <row r="1943" spans="2:9" x14ac:dyDescent="0.2">
      <c r="B1943" t="str">
        <f>VLOOKUP(G1943,PC!B:D,3,FALSE)</f>
        <v>CPV</v>
      </c>
      <c r="C1943" s="22">
        <v>2023</v>
      </c>
      <c r="D1943" t="s">
        <v>44</v>
      </c>
      <c r="E1943" t="s">
        <v>129</v>
      </c>
      <c r="F1943" t="str">
        <f>VLOOKUP(G1943,PC!B:D,2,FALSE)</f>
        <v>COMIDA</v>
      </c>
      <c r="G1943" s="4" t="s">
        <v>146</v>
      </c>
      <c r="H1943" s="1">
        <v>65</v>
      </c>
    </row>
    <row r="1944" spans="2:9" x14ac:dyDescent="0.2">
      <c r="B1944" t="str">
        <f>VLOOKUP(G1944,PC!B:D,3,FALSE)</f>
        <v>CPV</v>
      </c>
      <c r="C1944" s="22">
        <v>2023</v>
      </c>
      <c r="D1944" t="s">
        <v>44</v>
      </c>
      <c r="E1944" t="s">
        <v>129</v>
      </c>
      <c r="F1944" t="str">
        <f>VLOOKUP(G1944,PC!B:D,2,FALSE)</f>
        <v>COMIDA</v>
      </c>
      <c r="G1944" s="4" t="s">
        <v>155</v>
      </c>
      <c r="H1944" s="1">
        <v>365</v>
      </c>
    </row>
    <row r="1945" spans="2:9" x14ac:dyDescent="0.2">
      <c r="B1945" t="str">
        <f>VLOOKUP(G1945,PC!B:D,3,FALSE)</f>
        <v>CPV</v>
      </c>
      <c r="C1945" s="22">
        <v>2023</v>
      </c>
      <c r="D1945" t="s">
        <v>44</v>
      </c>
      <c r="E1945" t="s">
        <v>129</v>
      </c>
      <c r="F1945" t="str">
        <f>VLOOKUP(G1945,PC!B:D,2,FALSE)</f>
        <v>COMIDA</v>
      </c>
      <c r="G1945" s="4" t="s">
        <v>12</v>
      </c>
      <c r="H1945" s="1">
        <v>500</v>
      </c>
    </row>
    <row r="1946" spans="2:9" x14ac:dyDescent="0.2">
      <c r="B1946" t="str">
        <f>VLOOKUP(G1946,PC!B:D,3,FALSE)</f>
        <v>DESPESA OPERACIONAL</v>
      </c>
      <c r="C1946" s="22">
        <v>2023</v>
      </c>
      <c r="D1946" t="s">
        <v>44</v>
      </c>
      <c r="F1946" t="str">
        <f>VLOOKUP(G1946,PC!B:D,2,FALSE)</f>
        <v>DESPESA OPERACIONAL</v>
      </c>
      <c r="G1946" s="4" t="s">
        <v>70</v>
      </c>
      <c r="H1946" s="1">
        <v>92</v>
      </c>
    </row>
    <row r="1947" spans="2:9" x14ac:dyDescent="0.2">
      <c r="B1947" t="str">
        <f>VLOOKUP(G1947,PC!B:D,3,FALSE)</f>
        <v>CPV</v>
      </c>
      <c r="C1947" s="22">
        <v>2023</v>
      </c>
      <c r="D1947" t="s">
        <v>44</v>
      </c>
      <c r="E1947" t="s">
        <v>129</v>
      </c>
      <c r="F1947" t="str">
        <f>VLOOKUP(G1947,PC!B:D,2,FALSE)</f>
        <v>SOBREMESA</v>
      </c>
      <c r="G1947" s="4" t="s">
        <v>7</v>
      </c>
      <c r="H1947" s="1">
        <v>112</v>
      </c>
    </row>
    <row r="1948" spans="2:9" x14ac:dyDescent="0.2">
      <c r="B1948" t="str">
        <f>VLOOKUP(G1948,PC!B:D,3,FALSE)</f>
        <v>CPV</v>
      </c>
      <c r="C1948" s="22">
        <v>2023</v>
      </c>
      <c r="D1948" t="s">
        <v>44</v>
      </c>
      <c r="E1948" t="s">
        <v>129</v>
      </c>
      <c r="F1948" t="str">
        <f>VLOOKUP(G1948,PC!B:D,2,FALSE)</f>
        <v>OUTROS</v>
      </c>
      <c r="G1948" s="4" t="s">
        <v>37</v>
      </c>
      <c r="H1948" s="1">
        <v>80</v>
      </c>
    </row>
    <row r="1949" spans="2:9" x14ac:dyDescent="0.2">
      <c r="B1949" t="str">
        <f>VLOOKUP(G1949,PC!B:D,3,FALSE)</f>
        <v>CPV</v>
      </c>
      <c r="C1949" s="22">
        <v>2023</v>
      </c>
      <c r="D1949" t="s">
        <v>44</v>
      </c>
      <c r="E1949" t="s">
        <v>129</v>
      </c>
      <c r="F1949" t="str">
        <f>VLOOKUP(G1949,PC!B:D,2,FALSE)</f>
        <v>BEBIDAS</v>
      </c>
      <c r="G1949" s="4" t="s">
        <v>48</v>
      </c>
      <c r="H1949" s="1">
        <v>80</v>
      </c>
    </row>
    <row r="1950" spans="2:9" x14ac:dyDescent="0.2">
      <c r="B1950" t="str">
        <f>VLOOKUP(G1950,PC!B:D,3,FALSE)</f>
        <v>CPV</v>
      </c>
      <c r="C1950" s="22">
        <v>2023</v>
      </c>
      <c r="D1950" t="s">
        <v>44</v>
      </c>
      <c r="E1950" t="s">
        <v>129</v>
      </c>
      <c r="F1950" t="str">
        <f>VLOOKUP(G1950,PC!B:D,2,FALSE)</f>
        <v>COMIDA</v>
      </c>
      <c r="G1950" s="4" t="s">
        <v>12</v>
      </c>
      <c r="H1950" s="1">
        <v>39</v>
      </c>
    </row>
    <row r="1951" spans="2:9" x14ac:dyDescent="0.2">
      <c r="B1951" t="str">
        <f>VLOOKUP(G1951,PC!B:D,3,FALSE)</f>
        <v>CPV</v>
      </c>
      <c r="C1951" s="22">
        <v>2023</v>
      </c>
      <c r="D1951" t="s">
        <v>44</v>
      </c>
      <c r="E1951" t="s">
        <v>129</v>
      </c>
      <c r="F1951" t="str">
        <f>VLOOKUP(G1951,PC!B:D,2,FALSE)</f>
        <v>CIGARRO</v>
      </c>
      <c r="G1951" s="4" t="s">
        <v>57</v>
      </c>
      <c r="H1951" s="1">
        <v>1149</v>
      </c>
    </row>
    <row r="1952" spans="2:9" x14ac:dyDescent="0.2">
      <c r="B1952" t="str">
        <f>VLOOKUP(G1952,PC!B:D,3,FALSE)</f>
        <v>CPV</v>
      </c>
      <c r="C1952" s="22">
        <v>2023</v>
      </c>
      <c r="D1952" t="s">
        <v>44</v>
      </c>
      <c r="E1952" t="s">
        <v>129</v>
      </c>
      <c r="F1952" t="str">
        <f>VLOOKUP(G1952,PC!B:D,2,FALSE)</f>
        <v>COMIDA</v>
      </c>
      <c r="G1952" s="4" t="s">
        <v>12</v>
      </c>
      <c r="H1952" s="1">
        <v>26</v>
      </c>
    </row>
    <row r="1953" spans="2:8" x14ac:dyDescent="0.2">
      <c r="B1953" t="str">
        <f>VLOOKUP(G1953,PC!B:D,3,FALSE)</f>
        <v>CPV</v>
      </c>
      <c r="C1953" s="22">
        <v>2023</v>
      </c>
      <c r="D1953" t="s">
        <v>44</v>
      </c>
      <c r="E1953" t="s">
        <v>129</v>
      </c>
      <c r="F1953" t="str">
        <f>VLOOKUP(G1953,PC!B:D,2,FALSE)</f>
        <v>SOBREMESA</v>
      </c>
      <c r="G1953" s="4" t="s">
        <v>7</v>
      </c>
      <c r="H1953" s="1">
        <v>46</v>
      </c>
    </row>
    <row r="1954" spans="2:8" x14ac:dyDescent="0.2">
      <c r="B1954" t="str">
        <f>VLOOKUP(G1954,PC!B:D,3,FALSE)</f>
        <v>CPV</v>
      </c>
      <c r="C1954" s="22">
        <v>2023</v>
      </c>
      <c r="D1954" t="s">
        <v>44</v>
      </c>
      <c r="E1954" t="s">
        <v>129</v>
      </c>
      <c r="F1954" t="str">
        <f>VLOOKUP(G1954,PC!B:D,2,FALSE)</f>
        <v>SOBREMESA</v>
      </c>
      <c r="G1954" s="4" t="s">
        <v>7</v>
      </c>
      <c r="H1954" s="1">
        <v>238</v>
      </c>
    </row>
    <row r="1955" spans="2:8" x14ac:dyDescent="0.2">
      <c r="B1955" t="str">
        <f>VLOOKUP(G1955,PC!B:D,3,FALSE)</f>
        <v>CPV</v>
      </c>
      <c r="C1955" s="22">
        <v>2023</v>
      </c>
      <c r="D1955" t="s">
        <v>44</v>
      </c>
      <c r="E1955" t="s">
        <v>14</v>
      </c>
      <c r="F1955" t="str">
        <f>VLOOKUP(G1955,PC!B:D,2,FALSE)</f>
        <v>BEBIDAS</v>
      </c>
      <c r="G1955" s="4" t="s">
        <v>25</v>
      </c>
      <c r="H1955" s="1">
        <v>381.68</v>
      </c>
    </row>
    <row r="1956" spans="2:8" x14ac:dyDescent="0.2">
      <c r="B1956" t="str">
        <f>VLOOKUP(G1956,PC!B:D,3,FALSE)</f>
        <v>CPV</v>
      </c>
      <c r="C1956" s="22">
        <v>2023</v>
      </c>
      <c r="D1956" t="s">
        <v>44</v>
      </c>
      <c r="E1956" t="s">
        <v>156</v>
      </c>
      <c r="F1956" t="str">
        <f>VLOOKUP(G1956,PC!B:D,2,FALSE)</f>
        <v>BEBIDAS</v>
      </c>
      <c r="G1956" s="4" t="s">
        <v>26</v>
      </c>
      <c r="H1956" s="1">
        <v>254.2</v>
      </c>
    </row>
    <row r="1957" spans="2:8" x14ac:dyDescent="0.2">
      <c r="B1957" t="str">
        <f>VLOOKUP(G1957,PC!B:D,3,FALSE)</f>
        <v>CPV</v>
      </c>
      <c r="C1957" s="22">
        <v>2023</v>
      </c>
      <c r="D1957" t="s">
        <v>44</v>
      </c>
      <c r="E1957" t="s">
        <v>20</v>
      </c>
      <c r="F1957" t="str">
        <f>VLOOKUP(G1957,PC!B:D,2,FALSE)</f>
        <v>COMIDA</v>
      </c>
      <c r="G1957" s="4" t="s">
        <v>29</v>
      </c>
      <c r="H1957" s="1">
        <v>95.76</v>
      </c>
    </row>
    <row r="1958" spans="2:8" x14ac:dyDescent="0.2">
      <c r="B1958" t="str">
        <f>VLOOKUP(G1958,PC!B:D,3,FALSE)</f>
        <v>CPV</v>
      </c>
      <c r="C1958" s="22">
        <v>2023</v>
      </c>
      <c r="D1958" t="s">
        <v>44</v>
      </c>
      <c r="E1958" t="s">
        <v>129</v>
      </c>
      <c r="F1958" t="str">
        <f>VLOOKUP(G1958,PC!B:D,2,FALSE)</f>
        <v>COMIDA</v>
      </c>
      <c r="G1958" s="4" t="s">
        <v>18</v>
      </c>
      <c r="H1958" s="1">
        <v>84.75</v>
      </c>
    </row>
    <row r="1959" spans="2:8" x14ac:dyDescent="0.2">
      <c r="B1959" t="str">
        <f>VLOOKUP(G1959,PC!B:D,3,FALSE)</f>
        <v>CPV</v>
      </c>
      <c r="C1959" s="22">
        <v>2023</v>
      </c>
      <c r="D1959" t="s">
        <v>44</v>
      </c>
      <c r="E1959" t="s">
        <v>129</v>
      </c>
      <c r="F1959" t="str">
        <f>VLOOKUP(G1959,PC!B:D,2,FALSE)</f>
        <v>BEBIDAS</v>
      </c>
      <c r="G1959" s="4" t="s">
        <v>48</v>
      </c>
      <c r="H1959" s="1">
        <v>277.2</v>
      </c>
    </row>
    <row r="1960" spans="2:8" x14ac:dyDescent="0.2">
      <c r="B1960" t="str">
        <f>VLOOKUP(G1960,PC!B:D,3,FALSE)</f>
        <v>CPV</v>
      </c>
      <c r="C1960" s="22">
        <v>2023</v>
      </c>
      <c r="D1960" t="s">
        <v>44</v>
      </c>
      <c r="E1960" t="s">
        <v>129</v>
      </c>
      <c r="F1960" t="str">
        <f>VLOOKUP(G1960,PC!B:D,2,FALSE)</f>
        <v>BEBIDAS</v>
      </c>
      <c r="G1960" s="4" t="s">
        <v>39</v>
      </c>
      <c r="H1960" s="1">
        <v>105</v>
      </c>
    </row>
    <row r="1961" spans="2:8" x14ac:dyDescent="0.2">
      <c r="B1961" t="str">
        <f>VLOOKUP(G1961,PC!B:D,3,FALSE)</f>
        <v>CPV</v>
      </c>
      <c r="C1961" s="22">
        <v>2023</v>
      </c>
      <c r="D1961" t="s">
        <v>44</v>
      </c>
      <c r="E1961" t="s">
        <v>129</v>
      </c>
      <c r="F1961" t="str">
        <f>VLOOKUP(G1961,PC!B:D,2,FALSE)</f>
        <v>COMIDA</v>
      </c>
      <c r="G1961" s="4" t="s">
        <v>33</v>
      </c>
      <c r="H1961" s="1">
        <v>48</v>
      </c>
    </row>
    <row r="1962" spans="2:8" x14ac:dyDescent="0.2">
      <c r="B1962" t="str">
        <f>VLOOKUP(G1962,PC!B:D,3,FALSE)</f>
        <v>CPV</v>
      </c>
      <c r="C1962" s="22">
        <v>2023</v>
      </c>
      <c r="D1962" t="s">
        <v>44</v>
      </c>
      <c r="E1962" t="s">
        <v>129</v>
      </c>
      <c r="F1962" t="str">
        <f>VLOOKUP(G1962,PC!B:D,2,FALSE)</f>
        <v>OUTROS</v>
      </c>
      <c r="G1962" s="4" t="s">
        <v>37</v>
      </c>
      <c r="H1962" s="1">
        <v>305.95</v>
      </c>
    </row>
    <row r="1963" spans="2:8" x14ac:dyDescent="0.2">
      <c r="B1963" t="str">
        <f>VLOOKUP(G1963,PC!B:D,3,FALSE)</f>
        <v>CPV</v>
      </c>
      <c r="C1963" s="22">
        <v>2023</v>
      </c>
      <c r="D1963" t="s">
        <v>44</v>
      </c>
      <c r="E1963" t="s">
        <v>28</v>
      </c>
      <c r="F1963" t="str">
        <f>VLOOKUP(G1963,PC!B:D,2,FALSE)</f>
        <v>BEBIDAS</v>
      </c>
      <c r="G1963" s="4" t="s">
        <v>26</v>
      </c>
      <c r="H1963" s="1">
        <v>834.27</v>
      </c>
    </row>
    <row r="1964" spans="2:8" x14ac:dyDescent="0.2">
      <c r="B1964" t="str">
        <f>VLOOKUP(G1964,PC!B:D,3,FALSE)</f>
        <v>CPV</v>
      </c>
      <c r="C1964" s="22">
        <v>2023</v>
      </c>
      <c r="D1964" t="s">
        <v>44</v>
      </c>
      <c r="E1964" t="s">
        <v>78</v>
      </c>
      <c r="F1964" t="str">
        <f>VLOOKUP(G1964,PC!B:D,2,FALSE)</f>
        <v>CIGARRO</v>
      </c>
      <c r="G1964" s="4" t="s">
        <v>82</v>
      </c>
      <c r="H1964" s="1">
        <v>271</v>
      </c>
    </row>
    <row r="1965" spans="2:8" x14ac:dyDescent="0.2">
      <c r="B1965" t="str">
        <f>VLOOKUP(G1965,PC!B:D,3,FALSE)</f>
        <v>CPV</v>
      </c>
      <c r="C1965" s="22">
        <v>2023</v>
      </c>
      <c r="D1965" t="s">
        <v>44</v>
      </c>
      <c r="E1965" t="s">
        <v>28</v>
      </c>
      <c r="F1965" t="str">
        <f>VLOOKUP(G1965,PC!B:D,2,FALSE)</f>
        <v>BEBIDAS</v>
      </c>
      <c r="G1965" s="4" t="s">
        <v>26</v>
      </c>
      <c r="H1965" s="1">
        <v>131.84</v>
      </c>
    </row>
    <row r="1966" spans="2:8" x14ac:dyDescent="0.2">
      <c r="B1966" t="str">
        <f>VLOOKUP(G1966,PC!B:D,3,FALSE)</f>
        <v>CPV</v>
      </c>
      <c r="C1966" s="22">
        <v>2023</v>
      </c>
      <c r="D1966" t="s">
        <v>44</v>
      </c>
      <c r="E1966" t="s">
        <v>16</v>
      </c>
      <c r="F1966" t="str">
        <f>VLOOKUP(G1966,PC!B:D,2,FALSE)</f>
        <v>COMIDA</v>
      </c>
      <c r="G1966" s="4" t="s">
        <v>33</v>
      </c>
      <c r="H1966" s="1">
        <v>876.02</v>
      </c>
    </row>
    <row r="1967" spans="2:8" x14ac:dyDescent="0.2">
      <c r="B1967" t="str">
        <f>VLOOKUP(G1967,PC!B:D,3,FALSE)</f>
        <v>CPV</v>
      </c>
      <c r="C1967" s="22">
        <v>2023</v>
      </c>
      <c r="D1967" t="s">
        <v>44</v>
      </c>
      <c r="E1967" t="s">
        <v>35</v>
      </c>
      <c r="F1967" t="str">
        <f>VLOOKUP(G1967,PC!B:D,2,FALSE)</f>
        <v>OUTROS</v>
      </c>
      <c r="G1967" s="4" t="s">
        <v>37</v>
      </c>
      <c r="H1967" s="1">
        <v>980.15</v>
      </c>
    </row>
    <row r="1968" spans="2:8" x14ac:dyDescent="0.2">
      <c r="B1968" t="str">
        <f>VLOOKUP(G1968,PC!B:D,3,FALSE)</f>
        <v>RECEITA</v>
      </c>
      <c r="C1968" s="22">
        <v>2023</v>
      </c>
      <c r="D1968" t="s">
        <v>44</v>
      </c>
      <c r="F1968" t="str">
        <f>VLOOKUP(G1968,PC!B:D,2,FALSE)</f>
        <v>RECEITA</v>
      </c>
      <c r="G1968" s="4" t="s">
        <v>83</v>
      </c>
      <c r="H1968" s="1">
        <v>13.28</v>
      </c>
    </row>
    <row r="1969" spans="2:8" x14ac:dyDescent="0.2">
      <c r="B1969" t="str">
        <f>VLOOKUP(G1969,PC!B:D,3,FALSE)</f>
        <v>RECEITA</v>
      </c>
      <c r="C1969" s="22">
        <v>2023</v>
      </c>
      <c r="D1969" t="s">
        <v>44</v>
      </c>
      <c r="F1969" t="str">
        <f>VLOOKUP(G1969,PC!B:D,2,FALSE)</f>
        <v>RECEITA</v>
      </c>
      <c r="G1969" s="4" t="s">
        <v>83</v>
      </c>
      <c r="H1969" s="1">
        <v>211.72</v>
      </c>
    </row>
    <row r="1970" spans="2:8" x14ac:dyDescent="0.2">
      <c r="B1970" t="str">
        <f>VLOOKUP(G1970,PC!B:D,3,FALSE)</f>
        <v>CPV</v>
      </c>
      <c r="C1970" s="22">
        <v>2023</v>
      </c>
      <c r="D1970" t="s">
        <v>44</v>
      </c>
      <c r="E1970" t="s">
        <v>28</v>
      </c>
      <c r="F1970" t="str">
        <f>VLOOKUP(G1970,PC!B:D,2,FALSE)</f>
        <v>BEBIDAS</v>
      </c>
      <c r="G1970" s="4" t="s">
        <v>26</v>
      </c>
      <c r="H1970" s="1">
        <v>4619.58</v>
      </c>
    </row>
    <row r="1971" spans="2:8" x14ac:dyDescent="0.2">
      <c r="B1971" t="str">
        <f>VLOOKUP(G1971,PC!B:D,3,FALSE)</f>
        <v>CPV</v>
      </c>
      <c r="C1971" s="22">
        <v>2023</v>
      </c>
      <c r="D1971" t="s">
        <v>44</v>
      </c>
      <c r="E1971" t="s">
        <v>14</v>
      </c>
      <c r="F1971" t="str">
        <f>VLOOKUP(G1971,PC!B:D,2,FALSE)</f>
        <v>BEBIDAS</v>
      </c>
      <c r="G1971" s="4" t="s">
        <v>25</v>
      </c>
      <c r="H1971" s="1">
        <v>607.29</v>
      </c>
    </row>
    <row r="1972" spans="2:8" x14ac:dyDescent="0.2">
      <c r="B1972" t="str">
        <f>VLOOKUP(G1972,PC!B:D,3,FALSE)</f>
        <v>CPV</v>
      </c>
      <c r="C1972" s="22">
        <v>2023</v>
      </c>
      <c r="D1972" t="s">
        <v>44</v>
      </c>
      <c r="E1972" t="s">
        <v>14</v>
      </c>
      <c r="F1972" t="str">
        <f>VLOOKUP(G1972,PC!B:D,2,FALSE)</f>
        <v>BEBIDAS</v>
      </c>
      <c r="G1972" s="4" t="s">
        <v>26</v>
      </c>
      <c r="H1972" s="1">
        <v>983.18</v>
      </c>
    </row>
    <row r="1973" spans="2:8" x14ac:dyDescent="0.2">
      <c r="B1973" t="str">
        <f>VLOOKUP(G1973,PC!B:D,3,FALSE)</f>
        <v>CPV</v>
      </c>
      <c r="C1973" s="22">
        <v>2023</v>
      </c>
      <c r="D1973" t="s">
        <v>44</v>
      </c>
      <c r="E1973" t="s">
        <v>14</v>
      </c>
      <c r="F1973" t="str">
        <f>VLOOKUP(G1973,PC!B:D,2,FALSE)</f>
        <v>BEBIDAS</v>
      </c>
      <c r="G1973" s="4" t="s">
        <v>25</v>
      </c>
      <c r="H1973" s="1">
        <f>2707.12-H1972</f>
        <v>1723.94</v>
      </c>
    </row>
    <row r="1974" spans="2:8" x14ac:dyDescent="0.2">
      <c r="B1974" t="str">
        <f>VLOOKUP(G1974,PC!B:D,3,FALSE)</f>
        <v>CPV</v>
      </c>
      <c r="C1974" s="22">
        <v>2023</v>
      </c>
      <c r="D1974" t="s">
        <v>44</v>
      </c>
      <c r="E1974" t="s">
        <v>14</v>
      </c>
      <c r="F1974" t="str">
        <f>VLOOKUP(G1974,PC!B:D,2,FALSE)</f>
        <v>BEBIDAS</v>
      </c>
      <c r="G1974" s="4" t="s">
        <v>25</v>
      </c>
      <c r="H1974" s="1">
        <v>22.2</v>
      </c>
    </row>
    <row r="1975" spans="2:8" x14ac:dyDescent="0.2">
      <c r="B1975" t="str">
        <f>VLOOKUP(G1975,PC!B:D,3,FALSE)</f>
        <v>CPV</v>
      </c>
      <c r="C1975" s="22">
        <v>2023</v>
      </c>
      <c r="D1975" t="s">
        <v>44</v>
      </c>
      <c r="E1975" t="s">
        <v>14</v>
      </c>
      <c r="F1975" t="str">
        <f>VLOOKUP(G1975,PC!B:D,2,FALSE)</f>
        <v>BEBIDAS</v>
      </c>
      <c r="G1975" s="4" t="s">
        <v>46</v>
      </c>
      <c r="H1975" s="1">
        <v>31.97</v>
      </c>
    </row>
    <row r="1976" spans="2:8" x14ac:dyDescent="0.2">
      <c r="B1976" t="str">
        <f>VLOOKUP(G1976,PC!B:D,3,FALSE)</f>
        <v>CPV</v>
      </c>
      <c r="C1976" s="22">
        <v>2023</v>
      </c>
      <c r="D1976" t="s">
        <v>44</v>
      </c>
      <c r="E1976" t="s">
        <v>156</v>
      </c>
      <c r="F1976" t="str">
        <f>VLOOKUP(G1976,PC!B:D,2,FALSE)</f>
        <v>BEBIDAS</v>
      </c>
      <c r="G1976" s="4" t="s">
        <v>48</v>
      </c>
      <c r="H1976" s="1">
        <v>48.65</v>
      </c>
    </row>
    <row r="1977" spans="2:8" x14ac:dyDescent="0.2">
      <c r="B1977" t="str">
        <f>VLOOKUP(G1977,PC!B:D,3,FALSE)</f>
        <v>CPV</v>
      </c>
      <c r="C1977" s="22">
        <v>2023</v>
      </c>
      <c r="D1977" t="s">
        <v>44</v>
      </c>
      <c r="E1977" t="s">
        <v>163</v>
      </c>
      <c r="F1977" t="str">
        <f>VLOOKUP(G1977,PC!B:D,2,FALSE)</f>
        <v>OUTROS</v>
      </c>
      <c r="G1977" s="4" t="s">
        <v>37</v>
      </c>
      <c r="H1977" s="1">
        <v>797.99</v>
      </c>
    </row>
    <row r="1978" spans="2:8" x14ac:dyDescent="0.2">
      <c r="B1978" t="str">
        <f>VLOOKUP(G1978,PC!B:D,3,FALSE)</f>
        <v>CPV</v>
      </c>
      <c r="C1978" s="22">
        <v>2023</v>
      </c>
      <c r="D1978" t="s">
        <v>44</v>
      </c>
      <c r="E1978" t="s">
        <v>21</v>
      </c>
      <c r="F1978" t="str">
        <f>VLOOKUP(G1978,PC!B:D,2,FALSE)</f>
        <v>SOBREMESA</v>
      </c>
      <c r="G1978" s="4" t="s">
        <v>23</v>
      </c>
      <c r="H1978" s="1">
        <v>159.15</v>
      </c>
    </row>
    <row r="1979" spans="2:8" x14ac:dyDescent="0.2">
      <c r="B1979" t="str">
        <f>VLOOKUP(G1979,PC!B:D,3,FALSE)</f>
        <v>CPV</v>
      </c>
      <c r="C1979" s="22">
        <v>2023</v>
      </c>
      <c r="D1979" t="s">
        <v>44</v>
      </c>
      <c r="E1979" t="s">
        <v>45</v>
      </c>
      <c r="F1979" t="str">
        <f>VLOOKUP(G1979,PC!B:D,2,FALSE)</f>
        <v>OUTROS</v>
      </c>
      <c r="G1979" s="4" t="s">
        <v>37</v>
      </c>
      <c r="H1979" s="1">
        <v>523.91999999999996</v>
      </c>
    </row>
    <row r="1980" spans="2:8" x14ac:dyDescent="0.2">
      <c r="B1980" t="str">
        <f>VLOOKUP(G1980,PC!B:D,3,FALSE)</f>
        <v>CPV</v>
      </c>
      <c r="C1980" s="22">
        <v>2023</v>
      </c>
      <c r="D1980" t="s">
        <v>44</v>
      </c>
      <c r="E1980" t="s">
        <v>120</v>
      </c>
      <c r="F1980" t="str">
        <f>VLOOKUP(G1980,PC!B:D,2,FALSE)</f>
        <v>COMIDA</v>
      </c>
      <c r="G1980" s="4" t="s">
        <v>18</v>
      </c>
      <c r="H1980" s="1">
        <v>414.04</v>
      </c>
    </row>
    <row r="1981" spans="2:8" x14ac:dyDescent="0.2">
      <c r="B1981" t="str">
        <f>VLOOKUP(G1981,PC!B:D,3,FALSE)</f>
        <v>CPV</v>
      </c>
      <c r="C1981" s="22">
        <v>2023</v>
      </c>
      <c r="D1981" t="s">
        <v>44</v>
      </c>
      <c r="E1981" t="s">
        <v>28</v>
      </c>
      <c r="F1981" t="str">
        <f>VLOOKUP(G1981,PC!B:D,2,FALSE)</f>
        <v>BEBIDAS</v>
      </c>
      <c r="G1981" s="4" t="s">
        <v>26</v>
      </c>
      <c r="H1981" s="1">
        <v>1187.18</v>
      </c>
    </row>
    <row r="1982" spans="2:8" x14ac:dyDescent="0.2">
      <c r="B1982" t="str">
        <f>VLOOKUP(G1982,PC!B:D,3,FALSE)</f>
        <v>CPV</v>
      </c>
      <c r="C1982" s="22">
        <v>2023</v>
      </c>
      <c r="D1982" t="s">
        <v>44</v>
      </c>
      <c r="E1982" t="s">
        <v>21</v>
      </c>
      <c r="F1982" t="str">
        <f>VLOOKUP(G1982,PC!B:D,2,FALSE)</f>
        <v>SOBREMESA</v>
      </c>
      <c r="G1982" s="4" t="s">
        <v>23</v>
      </c>
      <c r="H1982" s="1">
        <v>248.48</v>
      </c>
    </row>
    <row r="1983" spans="2:8" x14ac:dyDescent="0.2">
      <c r="B1983" t="str">
        <f>VLOOKUP(G1983,PC!B:D,3,FALSE)</f>
        <v>CPV</v>
      </c>
      <c r="C1983" s="22">
        <v>2023</v>
      </c>
      <c r="D1983" t="s">
        <v>44</v>
      </c>
      <c r="E1983" t="s">
        <v>49</v>
      </c>
      <c r="F1983" t="str">
        <f>VLOOKUP(G1983,PC!B:D,2,FALSE)</f>
        <v>CIGARRO</v>
      </c>
      <c r="G1983" s="4" t="s">
        <v>52</v>
      </c>
      <c r="H1983" s="1">
        <v>7043.73</v>
      </c>
    </row>
    <row r="1984" spans="2:8" x14ac:dyDescent="0.2">
      <c r="B1984" t="str">
        <f>VLOOKUP(G1984,PC!B:D,3,FALSE)</f>
        <v>CPV</v>
      </c>
      <c r="C1984" s="22">
        <v>2023</v>
      </c>
      <c r="D1984" t="s">
        <v>44</v>
      </c>
      <c r="E1984" t="s">
        <v>160</v>
      </c>
      <c r="F1984" t="str">
        <f>VLOOKUP(G1984,PC!B:D,2,FALSE)</f>
        <v>LIMPEZA</v>
      </c>
      <c r="G1984" s="4" t="s">
        <v>43</v>
      </c>
      <c r="H1984" s="1">
        <v>235.11</v>
      </c>
    </row>
    <row r="1985" spans="2:8" x14ac:dyDescent="0.2">
      <c r="B1985" t="str">
        <f>VLOOKUP(G1985,PC!B:D,3,FALSE)</f>
        <v>CPV</v>
      </c>
      <c r="C1985" s="22">
        <v>2023</v>
      </c>
      <c r="D1985" t="s">
        <v>44</v>
      </c>
      <c r="E1985" t="s">
        <v>24</v>
      </c>
      <c r="F1985" t="str">
        <f>VLOOKUP(G1985,PC!B:D,2,FALSE)</f>
        <v>COMIDA</v>
      </c>
      <c r="G1985" s="4" t="s">
        <v>33</v>
      </c>
      <c r="H1985" s="1">
        <v>918.45</v>
      </c>
    </row>
    <row r="1986" spans="2:8" x14ac:dyDescent="0.2">
      <c r="B1986" t="str">
        <f>VLOOKUP(G1986,PC!B:D,3,FALSE)</f>
        <v>CPV</v>
      </c>
      <c r="C1986" s="22">
        <v>2023</v>
      </c>
      <c r="D1986" t="s">
        <v>44</v>
      </c>
      <c r="E1986" t="s">
        <v>5</v>
      </c>
      <c r="F1986" t="str">
        <f>VLOOKUP(G1986,PC!B:D,2,FALSE)</f>
        <v>COMIDA</v>
      </c>
      <c r="G1986" s="4" t="s">
        <v>18</v>
      </c>
      <c r="H1986" s="1">
        <v>146.09</v>
      </c>
    </row>
    <row r="1987" spans="2:8" x14ac:dyDescent="0.2">
      <c r="B1987" t="str">
        <f>VLOOKUP(G1987,PC!B:D,3,FALSE)</f>
        <v>CPV</v>
      </c>
      <c r="C1987" s="22">
        <v>2023</v>
      </c>
      <c r="D1987" t="s">
        <v>44</v>
      </c>
      <c r="E1987" t="s">
        <v>129</v>
      </c>
      <c r="F1987" t="str">
        <f>VLOOKUP(G1987,PC!B:D,2,FALSE)</f>
        <v>CIGARRO</v>
      </c>
      <c r="G1987" s="4" t="s">
        <v>57</v>
      </c>
      <c r="H1987" s="1">
        <v>1065</v>
      </c>
    </row>
    <row r="1988" spans="2:8" x14ac:dyDescent="0.2">
      <c r="B1988" t="str">
        <f>VLOOKUP(G1988,PC!B:D,3,FALSE)</f>
        <v>CPV</v>
      </c>
      <c r="C1988" s="22">
        <v>2023</v>
      </c>
      <c r="D1988" t="s">
        <v>44</v>
      </c>
      <c r="E1988" t="s">
        <v>129</v>
      </c>
      <c r="F1988" t="str">
        <f>VLOOKUP(G1988,PC!B:D,2,FALSE)</f>
        <v>SOBREMESA</v>
      </c>
      <c r="G1988" s="4" t="s">
        <v>7</v>
      </c>
      <c r="H1988" s="1">
        <v>46</v>
      </c>
    </row>
    <row r="1989" spans="2:8" x14ac:dyDescent="0.2">
      <c r="B1989" t="str">
        <f>VLOOKUP(G1989,PC!B:D,3,FALSE)</f>
        <v>CPV</v>
      </c>
      <c r="C1989" s="22">
        <v>2023</v>
      </c>
      <c r="D1989" t="s">
        <v>44</v>
      </c>
      <c r="E1989" t="s">
        <v>129</v>
      </c>
      <c r="F1989" t="str">
        <f>VLOOKUP(G1989,PC!B:D,2,FALSE)</f>
        <v>BEBIDAS</v>
      </c>
      <c r="G1989" s="4" t="s">
        <v>39</v>
      </c>
      <c r="H1989" s="1">
        <v>230</v>
      </c>
    </row>
    <row r="1990" spans="2:8" x14ac:dyDescent="0.2">
      <c r="B1990" t="str">
        <f>VLOOKUP(G1990,PC!B:D,3,FALSE)</f>
        <v>CPV</v>
      </c>
      <c r="C1990" s="22">
        <v>2023</v>
      </c>
      <c r="D1990" t="s">
        <v>44</v>
      </c>
      <c r="E1990" t="s">
        <v>129</v>
      </c>
      <c r="F1990" t="str">
        <f>VLOOKUP(G1990,PC!B:D,2,FALSE)</f>
        <v>BEBIDAS</v>
      </c>
      <c r="G1990" s="4" t="s">
        <v>46</v>
      </c>
      <c r="H1990" s="1">
        <v>179</v>
      </c>
    </row>
    <row r="1991" spans="2:8" x14ac:dyDescent="0.2">
      <c r="B1991" t="str">
        <f>VLOOKUP(G1991,PC!B:D,3,FALSE)</f>
        <v>CPV</v>
      </c>
      <c r="C1991" s="22">
        <v>2023</v>
      </c>
      <c r="D1991" t="s">
        <v>44</v>
      </c>
      <c r="E1991" t="s">
        <v>129</v>
      </c>
      <c r="F1991" t="str">
        <f>VLOOKUP(G1991,PC!B:D,2,FALSE)</f>
        <v>OUTROS</v>
      </c>
      <c r="G1991" s="4" t="s">
        <v>58</v>
      </c>
      <c r="H1991" s="1">
        <v>150</v>
      </c>
    </row>
    <row r="1992" spans="2:8" x14ac:dyDescent="0.2">
      <c r="B1992" t="str">
        <f>VLOOKUP(G1992,PC!B:D,3,FALSE)</f>
        <v>CPV</v>
      </c>
      <c r="C1992" s="22">
        <v>2023</v>
      </c>
      <c r="D1992" t="s">
        <v>44</v>
      </c>
      <c r="E1992" t="s">
        <v>129</v>
      </c>
      <c r="F1992" t="str">
        <f>VLOOKUP(G1992,PC!B:D,2,FALSE)</f>
        <v>SOBREMESA</v>
      </c>
      <c r="G1992" s="4" t="s">
        <v>7</v>
      </c>
      <c r="H1992" s="1">
        <v>238</v>
      </c>
    </row>
    <row r="1993" spans="2:8" x14ac:dyDescent="0.2">
      <c r="B1993" t="str">
        <f>VLOOKUP(G1993,PC!B:D,3,FALSE)</f>
        <v>CPV</v>
      </c>
      <c r="C1993" s="22">
        <v>2023</v>
      </c>
      <c r="D1993" t="s">
        <v>44</v>
      </c>
      <c r="E1993" t="s">
        <v>129</v>
      </c>
      <c r="F1993" t="str">
        <f>VLOOKUP(G1993,PC!B:D,2,FALSE)</f>
        <v>CIGARRO</v>
      </c>
      <c r="G1993" s="4" t="s">
        <v>53</v>
      </c>
      <c r="H1993" s="1">
        <v>1200</v>
      </c>
    </row>
    <row r="1994" spans="2:8" x14ac:dyDescent="0.2">
      <c r="B1994" t="str">
        <f>VLOOKUP(G1994,PC!B:D,3,FALSE)</f>
        <v>CPV</v>
      </c>
      <c r="C1994" s="22">
        <v>2023</v>
      </c>
      <c r="D1994" t="s">
        <v>44</v>
      </c>
      <c r="E1994" t="s">
        <v>129</v>
      </c>
      <c r="F1994" t="str">
        <f>VLOOKUP(G1994,PC!B:D,2,FALSE)</f>
        <v>CIGARRO</v>
      </c>
      <c r="G1994" s="4" t="s">
        <v>53</v>
      </c>
      <c r="H1994" s="1">
        <v>280</v>
      </c>
    </row>
    <row r="1995" spans="2:8" x14ac:dyDescent="0.2">
      <c r="B1995" t="str">
        <f>VLOOKUP(G1995,PC!B:D,3,FALSE)</f>
        <v>CPV</v>
      </c>
      <c r="C1995" s="22">
        <v>2023</v>
      </c>
      <c r="D1995" t="s">
        <v>44</v>
      </c>
      <c r="E1995" t="s">
        <v>129</v>
      </c>
      <c r="F1995" t="str">
        <f>VLOOKUP(G1995,PC!B:D,2,FALSE)</f>
        <v>CIGARRO</v>
      </c>
      <c r="G1995" s="4" t="s">
        <v>131</v>
      </c>
      <c r="H1995" s="1">
        <v>120</v>
      </c>
    </row>
    <row r="1996" spans="2:8" x14ac:dyDescent="0.2">
      <c r="B1996" t="str">
        <f>VLOOKUP(G1996,PC!B:D,3,FALSE)</f>
        <v>CPV</v>
      </c>
      <c r="C1996" s="22">
        <v>2023</v>
      </c>
      <c r="D1996" t="s">
        <v>44</v>
      </c>
      <c r="E1996" t="s">
        <v>129</v>
      </c>
      <c r="F1996" t="str">
        <f>VLOOKUP(G1996,PC!B:D,2,FALSE)</f>
        <v>COMIDA</v>
      </c>
      <c r="G1996" s="4" t="s">
        <v>12</v>
      </c>
      <c r="H1996" s="1">
        <v>147</v>
      </c>
    </row>
    <row r="1997" spans="2:8" x14ac:dyDescent="0.2">
      <c r="B1997" t="str">
        <f>VLOOKUP(G1997,PC!B:D,3,FALSE)</f>
        <v>CPV</v>
      </c>
      <c r="C1997" s="22">
        <v>2023</v>
      </c>
      <c r="D1997" t="s">
        <v>44</v>
      </c>
      <c r="E1997" t="s">
        <v>129</v>
      </c>
      <c r="F1997" t="str">
        <f>VLOOKUP(G1997,PC!B:D,2,FALSE)</f>
        <v>COMIDA</v>
      </c>
      <c r="G1997" s="4" t="s">
        <v>33</v>
      </c>
      <c r="H1997" s="1">
        <v>156.30000000000001</v>
      </c>
    </row>
    <row r="1998" spans="2:8" x14ac:dyDescent="0.2">
      <c r="B1998" t="str">
        <f>VLOOKUP(G1998,PC!B:D,3,FALSE)</f>
        <v>CPV</v>
      </c>
      <c r="C1998" s="22">
        <v>2023</v>
      </c>
      <c r="D1998" t="s">
        <v>44</v>
      </c>
      <c r="E1998" t="s">
        <v>129</v>
      </c>
      <c r="F1998" t="str">
        <f>VLOOKUP(G1998,PC!B:D,2,FALSE)</f>
        <v>COMIDA</v>
      </c>
      <c r="G1998" s="4" t="s">
        <v>12</v>
      </c>
      <c r="H1998" s="1">
        <v>228</v>
      </c>
    </row>
    <row r="1999" spans="2:8" x14ac:dyDescent="0.2">
      <c r="B1999" t="str">
        <f>VLOOKUP(G1999,PC!B:D,3,FALSE)</f>
        <v>CPV</v>
      </c>
      <c r="C1999" s="22">
        <v>2023</v>
      </c>
      <c r="D1999" t="s">
        <v>44</v>
      </c>
      <c r="E1999" t="s">
        <v>129</v>
      </c>
      <c r="F1999" t="str">
        <f>VLOOKUP(G1999,PC!B:D,2,FALSE)</f>
        <v>COMIDA</v>
      </c>
      <c r="G1999" s="4" t="s">
        <v>145</v>
      </c>
      <c r="H1999" s="1">
        <v>71.2</v>
      </c>
    </row>
    <row r="2000" spans="2:8" x14ac:dyDescent="0.2">
      <c r="B2000" t="str">
        <f>VLOOKUP(G2000,PC!B:D,3,FALSE)</f>
        <v>CPV</v>
      </c>
      <c r="C2000" s="22">
        <v>2023</v>
      </c>
      <c r="D2000" t="s">
        <v>44</v>
      </c>
      <c r="E2000" t="s">
        <v>129</v>
      </c>
      <c r="F2000" t="str">
        <f>VLOOKUP(G2000,PC!B:D,2,FALSE)</f>
        <v>COMIDA</v>
      </c>
      <c r="G2000" s="4" t="s">
        <v>155</v>
      </c>
      <c r="H2000" s="1">
        <v>404</v>
      </c>
    </row>
    <row r="2001" spans="2:8" x14ac:dyDescent="0.2">
      <c r="B2001" t="str">
        <f>VLOOKUP(G2001,PC!B:D,3,FALSE)</f>
        <v>DESPESA OPERACIONAL</v>
      </c>
      <c r="C2001" s="22">
        <v>2023</v>
      </c>
      <c r="D2001" t="s">
        <v>44</v>
      </c>
      <c r="F2001" t="str">
        <f>VLOOKUP(G2001,PC!B:D,2,FALSE)</f>
        <v>DESPESA OPERACIONAL</v>
      </c>
      <c r="G2001" s="4" t="s">
        <v>73</v>
      </c>
      <c r="H2001" s="1">
        <v>1424.26</v>
      </c>
    </row>
    <row r="2002" spans="2:8" x14ac:dyDescent="0.2">
      <c r="B2002" t="str">
        <f>VLOOKUP(G2002,PC!B:D,3,FALSE)</f>
        <v>RECEITA</v>
      </c>
      <c r="C2002" s="22">
        <v>2023</v>
      </c>
      <c r="D2002" t="s">
        <v>44</v>
      </c>
      <c r="F2002" t="str">
        <f>VLOOKUP(G2002,PC!B:D,2,FALSE)</f>
        <v>RECEITA</v>
      </c>
      <c r="G2002" s="4" t="s">
        <v>64</v>
      </c>
      <c r="H2002" s="1">
        <v>31.14</v>
      </c>
    </row>
    <row r="2003" spans="2:8" x14ac:dyDescent="0.2">
      <c r="B2003" t="str">
        <f>VLOOKUP(G2003,PC!B:D,3,FALSE)</f>
        <v>CPV</v>
      </c>
      <c r="C2003" s="22">
        <v>2023</v>
      </c>
      <c r="D2003" t="s">
        <v>44</v>
      </c>
      <c r="E2003" t="s">
        <v>77</v>
      </c>
      <c r="F2003" t="str">
        <f>VLOOKUP(G2003,PC!B:D,2,FALSE)</f>
        <v>OUTROS</v>
      </c>
      <c r="G2003" s="4" t="s">
        <v>37</v>
      </c>
      <c r="H2003" s="1">
        <v>619.41999999999996</v>
      </c>
    </row>
    <row r="2004" spans="2:8" x14ac:dyDescent="0.2">
      <c r="B2004" t="str">
        <f>VLOOKUP(G2004,PC!B:D,3,FALSE)</f>
        <v>CPV</v>
      </c>
      <c r="C2004" s="22">
        <v>2023</v>
      </c>
      <c r="D2004" t="s">
        <v>44</v>
      </c>
      <c r="E2004" t="s">
        <v>89</v>
      </c>
      <c r="F2004" t="str">
        <f>VLOOKUP(G2004,PC!B:D,2,FALSE)</f>
        <v>OUTROS</v>
      </c>
      <c r="G2004" s="4" t="s">
        <v>37</v>
      </c>
      <c r="H2004" s="1">
        <v>241.43</v>
      </c>
    </row>
    <row r="2005" spans="2:8" x14ac:dyDescent="0.2">
      <c r="B2005" t="str">
        <f>VLOOKUP(G2005,PC!B:D,3,FALSE)</f>
        <v>CPV</v>
      </c>
      <c r="C2005" s="22">
        <v>2023</v>
      </c>
      <c r="D2005" t="s">
        <v>44</v>
      </c>
      <c r="E2005" t="s">
        <v>129</v>
      </c>
      <c r="F2005" t="str">
        <f>VLOOKUP(G2005,PC!B:D,2,FALSE)</f>
        <v>COMIDA</v>
      </c>
      <c r="G2005" s="4" t="s">
        <v>145</v>
      </c>
      <c r="H2005" s="1">
        <v>58</v>
      </c>
    </row>
    <row r="2006" spans="2:8" x14ac:dyDescent="0.2">
      <c r="B2006" t="str">
        <f>VLOOKUP(G2006,PC!B:D,3,FALSE)</f>
        <v>CPV</v>
      </c>
      <c r="C2006" s="22">
        <v>2023</v>
      </c>
      <c r="D2006" t="s">
        <v>44</v>
      </c>
      <c r="E2006" t="s">
        <v>129</v>
      </c>
      <c r="F2006" t="str">
        <f>VLOOKUP(G2006,PC!B:D,2,FALSE)</f>
        <v>OUTROS</v>
      </c>
      <c r="G2006" s="6" t="s">
        <v>37</v>
      </c>
      <c r="H2006" s="1">
        <v>245.44</v>
      </c>
    </row>
    <row r="2007" spans="2:8" x14ac:dyDescent="0.2">
      <c r="B2007" t="str">
        <f>VLOOKUP(G2007,PC!B:D,3,FALSE)</f>
        <v>CPV</v>
      </c>
      <c r="C2007" s="22">
        <v>2023</v>
      </c>
      <c r="D2007" t="s">
        <v>44</v>
      </c>
      <c r="E2007" t="s">
        <v>129</v>
      </c>
      <c r="F2007" t="str">
        <f>VLOOKUP(G2007,PC!B:D,2,FALSE)</f>
        <v>BEBIDAS</v>
      </c>
      <c r="G2007" s="4" t="s">
        <v>48</v>
      </c>
      <c r="H2007" s="1">
        <v>184.8</v>
      </c>
    </row>
    <row r="2008" spans="2:8" x14ac:dyDescent="0.2">
      <c r="B2008" t="str">
        <f>VLOOKUP(G2008,PC!B:D,3,FALSE)</f>
        <v>CPV</v>
      </c>
      <c r="C2008" s="22">
        <v>2023</v>
      </c>
      <c r="D2008" t="s">
        <v>44</v>
      </c>
      <c r="E2008" t="s">
        <v>129</v>
      </c>
      <c r="F2008" t="str">
        <f>VLOOKUP(G2008,PC!B:D,2,FALSE)</f>
        <v>SOBREMESA</v>
      </c>
      <c r="G2008" s="4" t="s">
        <v>75</v>
      </c>
      <c r="H2008" s="1">
        <v>824.61</v>
      </c>
    </row>
    <row r="2009" spans="2:8" x14ac:dyDescent="0.2">
      <c r="B2009" t="str">
        <f>VLOOKUP(G2009,PC!B:D,3,FALSE)</f>
        <v>CPV</v>
      </c>
      <c r="C2009" s="22">
        <v>2023</v>
      </c>
      <c r="D2009" t="s">
        <v>44</v>
      </c>
      <c r="E2009" t="s">
        <v>129</v>
      </c>
      <c r="F2009" t="str">
        <f>VLOOKUP(G2009,PC!B:D,2,FALSE)</f>
        <v>COMIDA</v>
      </c>
      <c r="G2009" s="4" t="s">
        <v>155</v>
      </c>
      <c r="H2009" s="1">
        <v>474</v>
      </c>
    </row>
    <row r="2010" spans="2:8" x14ac:dyDescent="0.2">
      <c r="B2010" t="str">
        <f>VLOOKUP(G2010,PC!B:D,3,FALSE)</f>
        <v>CPV</v>
      </c>
      <c r="C2010" s="22">
        <v>2023</v>
      </c>
      <c r="D2010" t="s">
        <v>44</v>
      </c>
      <c r="E2010" t="s">
        <v>129</v>
      </c>
      <c r="F2010" t="str">
        <f>VLOOKUP(G2010,PC!B:D,2,FALSE)</f>
        <v>COMIDA</v>
      </c>
      <c r="G2010" s="4" t="s">
        <v>22</v>
      </c>
      <c r="H2010" s="1">
        <v>24</v>
      </c>
    </row>
    <row r="2011" spans="2:8" x14ac:dyDescent="0.2">
      <c r="B2011" t="str">
        <f>VLOOKUP(G2011,PC!B:D,3,FALSE)</f>
        <v>CPV</v>
      </c>
      <c r="C2011" s="22">
        <v>2023</v>
      </c>
      <c r="D2011" t="s">
        <v>44</v>
      </c>
      <c r="E2011" t="s">
        <v>129</v>
      </c>
      <c r="F2011" t="str">
        <f>VLOOKUP(G2011,PC!B:D,2,FALSE)</f>
        <v>COMIDA</v>
      </c>
      <c r="G2011" s="4" t="s">
        <v>145</v>
      </c>
      <c r="H2011" s="1">
        <v>49</v>
      </c>
    </row>
    <row r="2012" spans="2:8" x14ac:dyDescent="0.2">
      <c r="B2012" t="str">
        <f>VLOOKUP(G2012,PC!B:D,3,FALSE)</f>
        <v>CPV</v>
      </c>
      <c r="C2012" s="22">
        <v>2023</v>
      </c>
      <c r="D2012" t="s">
        <v>44</v>
      </c>
      <c r="E2012" t="s">
        <v>16</v>
      </c>
      <c r="F2012" t="str">
        <f>VLOOKUP(G2012,PC!B:D,2,FALSE)</f>
        <v>COMIDA</v>
      </c>
      <c r="G2012" s="4" t="s">
        <v>12</v>
      </c>
      <c r="H2012" s="1">
        <v>207.7</v>
      </c>
    </row>
    <row r="2013" spans="2:8" x14ac:dyDescent="0.2">
      <c r="B2013" t="str">
        <f>VLOOKUP(G2013,PC!B:D,3,FALSE)</f>
        <v>CPV</v>
      </c>
      <c r="C2013" s="22">
        <v>2023</v>
      </c>
      <c r="D2013" t="s">
        <v>44</v>
      </c>
      <c r="E2013" t="s">
        <v>129</v>
      </c>
      <c r="F2013" t="str">
        <f>VLOOKUP(G2013,PC!B:D,2,FALSE)</f>
        <v>CIGARRO</v>
      </c>
      <c r="G2013" s="4" t="s">
        <v>57</v>
      </c>
      <c r="H2013" s="1">
        <v>1370</v>
      </c>
    </row>
    <row r="2014" spans="2:8" x14ac:dyDescent="0.2">
      <c r="B2014" t="str">
        <f>VLOOKUP(G2014,PC!B:D,3,FALSE)</f>
        <v>CPV</v>
      </c>
      <c r="C2014" s="22">
        <v>2023</v>
      </c>
      <c r="D2014" t="s">
        <v>44</v>
      </c>
      <c r="E2014" t="s">
        <v>129</v>
      </c>
      <c r="F2014" t="str">
        <f>VLOOKUP(G2014,PC!B:D,2,FALSE)</f>
        <v>BEBIDAS</v>
      </c>
      <c r="G2014" s="4" t="s">
        <v>48</v>
      </c>
      <c r="H2014" s="1">
        <v>144</v>
      </c>
    </row>
    <row r="2015" spans="2:8" x14ac:dyDescent="0.2">
      <c r="B2015" t="str">
        <f>VLOOKUP(G2015,PC!B:D,3,FALSE)</f>
        <v>CPV</v>
      </c>
      <c r="C2015" s="22">
        <v>2023</v>
      </c>
      <c r="D2015" t="s">
        <v>44</v>
      </c>
      <c r="E2015" t="s">
        <v>129</v>
      </c>
      <c r="F2015" t="str">
        <f>VLOOKUP(G2015,PC!B:D,2,FALSE)</f>
        <v>SOBREMESA</v>
      </c>
      <c r="G2015" s="4" t="s">
        <v>7</v>
      </c>
      <c r="H2015" s="1">
        <v>209</v>
      </c>
    </row>
    <row r="2016" spans="2:8" x14ac:dyDescent="0.2">
      <c r="B2016" t="str">
        <f>VLOOKUP(G2016,PC!B:D,3,FALSE)</f>
        <v>CPV</v>
      </c>
      <c r="C2016" s="22">
        <v>2023</v>
      </c>
      <c r="D2016" t="s">
        <v>44</v>
      </c>
      <c r="E2016" t="s">
        <v>129</v>
      </c>
      <c r="F2016" t="str">
        <f>VLOOKUP(G2016,PC!B:D,2,FALSE)</f>
        <v>COMIDA</v>
      </c>
      <c r="G2016" s="4" t="s">
        <v>155</v>
      </c>
      <c r="H2016" s="1">
        <v>460</v>
      </c>
    </row>
    <row r="2017" spans="2:8" x14ac:dyDescent="0.2">
      <c r="B2017" t="str">
        <f>VLOOKUP(G2017,PC!B:D,3,FALSE)</f>
        <v>SERV. PUBLICOS</v>
      </c>
      <c r="C2017" s="22">
        <v>2023</v>
      </c>
      <c r="D2017" t="s">
        <v>44</v>
      </c>
      <c r="F2017" t="str">
        <f>VLOOKUP(G2017,PC!B:D,2,FALSE)</f>
        <v>SERV. PUBLICOS</v>
      </c>
      <c r="G2017" s="4" t="s">
        <v>104</v>
      </c>
      <c r="H2017" s="1">
        <v>250</v>
      </c>
    </row>
    <row r="2018" spans="2:8" x14ac:dyDescent="0.2">
      <c r="B2018" t="str">
        <f>VLOOKUP(G2018,PC!B:D,3,FALSE)</f>
        <v>SERV. PUBLICOS</v>
      </c>
      <c r="C2018" s="22">
        <v>2023</v>
      </c>
      <c r="D2018" t="s">
        <v>44</v>
      </c>
      <c r="F2018" t="str">
        <f>VLOOKUP(G2018,PC!B:D,2,FALSE)</f>
        <v>SERV. PUBLICOS</v>
      </c>
      <c r="G2018" s="4" t="s">
        <v>91</v>
      </c>
      <c r="H2018" s="1">
        <v>1500</v>
      </c>
    </row>
    <row r="2019" spans="2:8" x14ac:dyDescent="0.2">
      <c r="B2019" t="str">
        <f>VLOOKUP(G2019,PC!B:D,3,FALSE)</f>
        <v>CPV</v>
      </c>
      <c r="C2019" s="22">
        <v>2023</v>
      </c>
      <c r="D2019" t="s">
        <v>44</v>
      </c>
      <c r="E2019" t="s">
        <v>89</v>
      </c>
      <c r="F2019" t="str">
        <f>VLOOKUP(G2019,PC!B:D,2,FALSE)</f>
        <v>OUTROS</v>
      </c>
      <c r="G2019" s="4" t="s">
        <v>37</v>
      </c>
      <c r="H2019" s="1">
        <v>576.78</v>
      </c>
    </row>
    <row r="2020" spans="2:8" x14ac:dyDescent="0.2">
      <c r="B2020" t="str">
        <f>VLOOKUP(G2020,PC!B:D,3,FALSE)</f>
        <v>CPV</v>
      </c>
      <c r="C2020" s="22">
        <v>2023</v>
      </c>
      <c r="D2020" t="s">
        <v>44</v>
      </c>
      <c r="E2020" t="s">
        <v>77</v>
      </c>
      <c r="F2020" t="str">
        <f>VLOOKUP(G2020,PC!B:D,2,FALSE)</f>
        <v>OUTROS</v>
      </c>
      <c r="G2020" s="4" t="s">
        <v>37</v>
      </c>
      <c r="H2020" s="1">
        <v>844.13</v>
      </c>
    </row>
    <row r="2021" spans="2:8" x14ac:dyDescent="0.2">
      <c r="B2021" t="str">
        <f>VLOOKUP(G2021,PC!B:D,3,FALSE)</f>
        <v>CPV</v>
      </c>
      <c r="C2021" s="22">
        <v>2023</v>
      </c>
      <c r="D2021" t="s">
        <v>44</v>
      </c>
      <c r="E2021" t="s">
        <v>129</v>
      </c>
      <c r="F2021" t="str">
        <f>VLOOKUP(G2021,PC!B:D,2,FALSE)</f>
        <v>BEBIDAS</v>
      </c>
      <c r="G2021" s="4" t="s">
        <v>48</v>
      </c>
      <c r="H2021" s="1">
        <v>184.8</v>
      </c>
    </row>
    <row r="2022" spans="2:8" x14ac:dyDescent="0.2">
      <c r="B2022" t="str">
        <f>VLOOKUP(G2022,PC!B:D,3,FALSE)</f>
        <v>CPV</v>
      </c>
      <c r="C2022" s="22">
        <v>2023</v>
      </c>
      <c r="D2022" t="s">
        <v>44</v>
      </c>
      <c r="E2022" t="s">
        <v>129</v>
      </c>
      <c r="F2022" t="str">
        <f>VLOOKUP(G2022,PC!B:D,2,FALSE)</f>
        <v>BEBIDAS</v>
      </c>
      <c r="G2022" s="4" t="s">
        <v>39</v>
      </c>
      <c r="H2022" s="1">
        <v>100.6</v>
      </c>
    </row>
    <row r="2023" spans="2:8" x14ac:dyDescent="0.2">
      <c r="B2023" t="str">
        <f>VLOOKUP(G2023,PC!B:D,3,FALSE)</f>
        <v>DESPESA OPERACIONAL</v>
      </c>
      <c r="C2023" s="22">
        <v>2023</v>
      </c>
      <c r="D2023" t="s">
        <v>44</v>
      </c>
      <c r="F2023" t="str">
        <f>VLOOKUP(G2023,PC!B:D,2,FALSE)</f>
        <v>DESPESA OPERACIONAL</v>
      </c>
      <c r="G2023" s="4" t="s">
        <v>73</v>
      </c>
      <c r="H2023" s="1">
        <f>1210.67+1670.09</f>
        <v>2880.76</v>
      </c>
    </row>
    <row r="2024" spans="2:8" x14ac:dyDescent="0.2">
      <c r="B2024" t="str">
        <f>VLOOKUP(G2024,PC!B:D,3,FALSE)</f>
        <v>RECEITA</v>
      </c>
      <c r="C2024" s="22">
        <v>2023</v>
      </c>
      <c r="D2024" t="s">
        <v>44</v>
      </c>
      <c r="F2024" t="str">
        <f>VLOOKUP(G2024,PC!B:D,2,FALSE)</f>
        <v>RECEITA</v>
      </c>
      <c r="G2024" s="4" t="s">
        <v>64</v>
      </c>
      <c r="H2024" s="1">
        <f>38.41+27.83</f>
        <v>66.239999999999995</v>
      </c>
    </row>
    <row r="2025" spans="2:8" x14ac:dyDescent="0.2">
      <c r="B2025" t="str">
        <f>VLOOKUP(G2025,PC!B:D,3,FALSE)</f>
        <v>CPV</v>
      </c>
      <c r="C2025" s="22">
        <v>2023</v>
      </c>
      <c r="D2025" t="s">
        <v>44</v>
      </c>
      <c r="E2025" t="s">
        <v>49</v>
      </c>
      <c r="F2025" t="str">
        <f>VLOOKUP(G2025,PC!B:D,2,FALSE)</f>
        <v>CIGARRO</v>
      </c>
      <c r="G2025" s="4" t="s">
        <v>52</v>
      </c>
      <c r="H2025" s="1">
        <v>12335.98</v>
      </c>
    </row>
    <row r="2026" spans="2:8" x14ac:dyDescent="0.2">
      <c r="B2026" t="str">
        <f>VLOOKUP(G2026,PC!B:D,3,FALSE)</f>
        <v>CPV</v>
      </c>
      <c r="C2026" s="22">
        <v>2023</v>
      </c>
      <c r="D2026" t="s">
        <v>44</v>
      </c>
      <c r="E2026" t="s">
        <v>129</v>
      </c>
      <c r="F2026" t="str">
        <f>VLOOKUP(G2026,PC!B:D,2,FALSE)</f>
        <v>COMIDA</v>
      </c>
      <c r="G2026" s="4" t="s">
        <v>18</v>
      </c>
      <c r="H2026" s="1">
        <v>84.75</v>
      </c>
    </row>
    <row r="2027" spans="2:8" x14ac:dyDescent="0.2">
      <c r="B2027" t="str">
        <f>VLOOKUP(G2027,PC!B:D,3,FALSE)</f>
        <v>CPV</v>
      </c>
      <c r="C2027" s="22">
        <v>2023</v>
      </c>
      <c r="D2027" t="s">
        <v>44</v>
      </c>
      <c r="E2027" t="s">
        <v>10</v>
      </c>
      <c r="F2027" t="str">
        <f>VLOOKUP(G2027,PC!B:D,2,FALSE)</f>
        <v>COMIDA</v>
      </c>
      <c r="G2027" s="4" t="s">
        <v>12</v>
      </c>
      <c r="H2027" s="1">
        <v>573.94000000000005</v>
      </c>
    </row>
    <row r="2028" spans="2:8" x14ac:dyDescent="0.2">
      <c r="B2028" t="str">
        <f>VLOOKUP(G2028,PC!B:D,3,FALSE)</f>
        <v>CPV</v>
      </c>
      <c r="C2028" s="22">
        <v>2023</v>
      </c>
      <c r="D2028" t="s">
        <v>44</v>
      </c>
      <c r="E2028" t="s">
        <v>159</v>
      </c>
      <c r="F2028" t="str">
        <f>VLOOKUP(G2028,PC!B:D,2,FALSE)</f>
        <v>LIMPEZA</v>
      </c>
      <c r="G2028" s="4" t="s">
        <v>43</v>
      </c>
      <c r="H2028" s="1">
        <v>51.87</v>
      </c>
    </row>
    <row r="2029" spans="2:8" x14ac:dyDescent="0.2">
      <c r="B2029" t="str">
        <f>VLOOKUP(G2029,PC!B:D,3,FALSE)</f>
        <v>CPV</v>
      </c>
      <c r="C2029" s="22">
        <v>2023</v>
      </c>
      <c r="D2029" t="s">
        <v>44</v>
      </c>
      <c r="E2029" t="s">
        <v>16</v>
      </c>
      <c r="F2029" t="str">
        <f>VLOOKUP(G2029,PC!B:D,2,FALSE)</f>
        <v>COMIDA</v>
      </c>
      <c r="G2029" s="4" t="s">
        <v>33</v>
      </c>
      <c r="H2029" s="1">
        <v>220.51</v>
      </c>
    </row>
    <row r="2030" spans="2:8" x14ac:dyDescent="0.2">
      <c r="B2030" t="str">
        <f>VLOOKUP(G2030,PC!B:D,3,FALSE)</f>
        <v>CPV</v>
      </c>
      <c r="C2030" s="22">
        <v>2023</v>
      </c>
      <c r="D2030" t="s">
        <v>44</v>
      </c>
      <c r="E2030" t="s">
        <v>10</v>
      </c>
      <c r="F2030" t="str">
        <f>VLOOKUP(G2030,PC!B:D,2,FALSE)</f>
        <v>COMIDA</v>
      </c>
      <c r="G2030" s="4" t="s">
        <v>33</v>
      </c>
      <c r="H2030" s="1">
        <v>486.37</v>
      </c>
    </row>
    <row r="2031" spans="2:8" x14ac:dyDescent="0.2">
      <c r="B2031" t="str">
        <f>VLOOKUP(G2031,PC!B:D,3,FALSE)</f>
        <v>RECEITA</v>
      </c>
      <c r="C2031" s="22">
        <v>2023</v>
      </c>
      <c r="D2031" t="s">
        <v>44</v>
      </c>
      <c r="F2031" t="str">
        <f>VLOOKUP(G2031,PC!B:D,2,FALSE)</f>
        <v>RECEITA</v>
      </c>
      <c r="G2031" s="4" t="s">
        <v>136</v>
      </c>
      <c r="H2031" s="1">
        <v>856.7</v>
      </c>
    </row>
    <row r="2032" spans="2:8" x14ac:dyDescent="0.2">
      <c r="B2032" t="str">
        <f>VLOOKUP(G2032,PC!B:D,3,FALSE)</f>
        <v>DESCONTO DE FATURAMENTO</v>
      </c>
      <c r="C2032" s="22">
        <v>2023</v>
      </c>
      <c r="D2032" t="s">
        <v>44</v>
      </c>
      <c r="F2032" t="str">
        <f>VLOOKUP(G2032,PC!B:D,2,FALSE)</f>
        <v>OUTROS DESCONTOS</v>
      </c>
      <c r="G2032" s="4" t="s">
        <v>63</v>
      </c>
      <c r="H2032" s="1">
        <f>H2031-844.88</f>
        <v>11.82000000000005</v>
      </c>
    </row>
    <row r="2033" spans="2:8" x14ac:dyDescent="0.2">
      <c r="B2033" t="str">
        <f>VLOOKUP(G2033,PC!B:D,3,FALSE)</f>
        <v>RECEITA</v>
      </c>
      <c r="C2033" s="22">
        <v>2023</v>
      </c>
      <c r="D2033" t="s">
        <v>44</v>
      </c>
      <c r="F2033" t="str">
        <f>VLOOKUP(G2033,PC!B:D,2,FALSE)</f>
        <v>RECEITA</v>
      </c>
      <c r="G2033" s="4" t="s">
        <v>137</v>
      </c>
      <c r="H2033" s="1">
        <v>8459.5</v>
      </c>
    </row>
    <row r="2034" spans="2:8" x14ac:dyDescent="0.2">
      <c r="B2034" t="str">
        <f>VLOOKUP(G2034,PC!B:D,3,FALSE)</f>
        <v>DESCONTO DE FATURAMENTO</v>
      </c>
      <c r="C2034" s="22">
        <v>2023</v>
      </c>
      <c r="D2034" t="s">
        <v>44</v>
      </c>
      <c r="F2034" t="str">
        <f>VLOOKUP(G2034,PC!B:D,2,FALSE)</f>
        <v>OUTROS DESCONTOS</v>
      </c>
      <c r="G2034" s="4" t="s">
        <v>63</v>
      </c>
      <c r="H2034" s="1">
        <f>H2033-8278.81</f>
        <v>180.69000000000051</v>
      </c>
    </row>
    <row r="2035" spans="2:8" x14ac:dyDescent="0.2">
      <c r="B2035" t="str">
        <f>VLOOKUP(G2035,PC!B:D,3,FALSE)</f>
        <v>RECEITA</v>
      </c>
      <c r="C2035" s="22">
        <v>2023</v>
      </c>
      <c r="D2035" t="s">
        <v>44</v>
      </c>
      <c r="F2035" t="str">
        <f>VLOOKUP(G2035,PC!B:D,2,FALSE)</f>
        <v>RECEITA</v>
      </c>
      <c r="G2035" s="4" t="s">
        <v>136</v>
      </c>
      <c r="H2035" s="1">
        <v>21120.6</v>
      </c>
    </row>
    <row r="2036" spans="2:8" x14ac:dyDescent="0.2">
      <c r="B2036" t="str">
        <f>VLOOKUP(G2036,PC!B:D,3,FALSE)</f>
        <v>RECEITA</v>
      </c>
      <c r="C2036" s="22">
        <v>2023</v>
      </c>
      <c r="D2036" t="s">
        <v>44</v>
      </c>
      <c r="F2036" t="str">
        <f>VLOOKUP(G2036,PC!B:D,2,FALSE)</f>
        <v>RECEITA</v>
      </c>
      <c r="G2036" s="4" t="s">
        <v>137</v>
      </c>
      <c r="H2036" s="1">
        <v>1468.5</v>
      </c>
    </row>
    <row r="2037" spans="2:8" x14ac:dyDescent="0.2">
      <c r="B2037" t="str">
        <f>VLOOKUP(G2037,PC!B:D,3,FALSE)</f>
        <v>RECEITA</v>
      </c>
      <c r="C2037" s="22">
        <v>2023</v>
      </c>
      <c r="D2037" t="s">
        <v>44</v>
      </c>
      <c r="F2037" t="str">
        <f>VLOOKUP(G2037,PC!B:D,2,FALSE)</f>
        <v>RECEITA</v>
      </c>
      <c r="G2037" s="4" t="s">
        <v>54</v>
      </c>
      <c r="H2037" s="1">
        <f>114+40+5+80+621.3+350</f>
        <v>1210.3</v>
      </c>
    </row>
    <row r="2038" spans="2:8" x14ac:dyDescent="0.2">
      <c r="B2038" t="str">
        <f>VLOOKUP(G2038,PC!B:D,3,FALSE)</f>
        <v>RECEITA</v>
      </c>
      <c r="C2038" s="22">
        <v>2023</v>
      </c>
      <c r="D2038" t="s">
        <v>44</v>
      </c>
      <c r="F2038" t="str">
        <f>VLOOKUP(G2038,PC!B:D,2,FALSE)</f>
        <v>RECEITA</v>
      </c>
      <c r="G2038" s="4" t="s">
        <v>54</v>
      </c>
      <c r="H2038" s="1">
        <v>1220</v>
      </c>
    </row>
    <row r="2039" spans="2:8" x14ac:dyDescent="0.2">
      <c r="B2039" t="str">
        <f>VLOOKUP(G2039,PC!B:D,3,FALSE)</f>
        <v>DESPESA PESSOAL</v>
      </c>
      <c r="C2039" s="22">
        <v>2023</v>
      </c>
      <c r="D2039" t="s">
        <v>44</v>
      </c>
      <c r="F2039" t="str">
        <f>VLOOKUP(G2039,PC!B:D,2,FALSE)</f>
        <v>DESPESA PESSOAL</v>
      </c>
      <c r="G2039" s="4" t="s">
        <v>56</v>
      </c>
      <c r="H2039" s="1">
        <v>350</v>
      </c>
    </row>
    <row r="2040" spans="2:8" x14ac:dyDescent="0.2">
      <c r="B2040" t="str">
        <f>VLOOKUP(G2040,PC!B:D,3,FALSE)</f>
        <v>DESPESA PESSOAL</v>
      </c>
      <c r="C2040" s="22">
        <v>2023</v>
      </c>
      <c r="D2040" t="s">
        <v>44</v>
      </c>
      <c r="F2040" t="str">
        <f>VLOOKUP(G2040,PC!B:D,2,FALSE)</f>
        <v>DESPESA PESSOAL</v>
      </c>
      <c r="G2040" s="4" t="s">
        <v>56</v>
      </c>
      <c r="H2040" s="1">
        <v>621.29999999999995</v>
      </c>
    </row>
    <row r="2041" spans="2:8" x14ac:dyDescent="0.2">
      <c r="B2041" t="str">
        <f>VLOOKUP(G2041,PC!B:D,3,FALSE)</f>
        <v>CPV</v>
      </c>
      <c r="C2041" s="22">
        <v>2023</v>
      </c>
      <c r="D2041" t="s">
        <v>44</v>
      </c>
      <c r="E2041" t="s">
        <v>129</v>
      </c>
      <c r="F2041" t="str">
        <f>VLOOKUP(G2041,PC!B:D,2,FALSE)</f>
        <v>OUTROS</v>
      </c>
      <c r="G2041" s="4" t="s">
        <v>37</v>
      </c>
      <c r="H2041" s="1">
        <v>80</v>
      </c>
    </row>
    <row r="2042" spans="2:8" x14ac:dyDescent="0.2">
      <c r="B2042" t="str">
        <f>VLOOKUP(G2042,PC!B:D,3,FALSE)</f>
        <v>RECEITAS NÃO OPERACIONAIS</v>
      </c>
      <c r="C2042" s="22">
        <v>2023</v>
      </c>
      <c r="D2042" t="s">
        <v>44</v>
      </c>
      <c r="F2042" t="str">
        <f>VLOOKUP(G2042,PC!B:D,2,FALSE)</f>
        <v>EMPRESTIMO</v>
      </c>
      <c r="G2042" s="4" t="s">
        <v>71</v>
      </c>
      <c r="H2042" s="1">
        <v>40</v>
      </c>
    </row>
    <row r="2043" spans="2:8" x14ac:dyDescent="0.2">
      <c r="B2043" t="str">
        <f>VLOOKUP(G2043,PC!B:D,3,FALSE)</f>
        <v>RECEITA</v>
      </c>
      <c r="C2043" s="22">
        <v>2023</v>
      </c>
      <c r="D2043" t="s">
        <v>44</v>
      </c>
      <c r="F2043" t="str">
        <f>VLOOKUP(G2043,PC!B:D,2,FALSE)</f>
        <v>RECEITA</v>
      </c>
      <c r="G2043" s="4" t="s">
        <v>54</v>
      </c>
      <c r="H2043" s="1">
        <v>58</v>
      </c>
    </row>
    <row r="2044" spans="2:8" x14ac:dyDescent="0.2">
      <c r="B2044" t="str">
        <f>VLOOKUP(G2044,PC!B:D,3,FALSE)</f>
        <v>RECEITA</v>
      </c>
      <c r="C2044" s="22">
        <v>2023</v>
      </c>
      <c r="D2044" t="s">
        <v>44</v>
      </c>
      <c r="F2044" t="str">
        <f>VLOOKUP(G2044,PC!B:D,2,FALSE)</f>
        <v>RECEITA</v>
      </c>
      <c r="G2044" s="4" t="s">
        <v>54</v>
      </c>
      <c r="H2044" s="1">
        <f>1250+1000+1650+500</f>
        <v>4400</v>
      </c>
    </row>
    <row r="2045" spans="2:8" x14ac:dyDescent="0.2">
      <c r="B2045" t="str">
        <f>VLOOKUP(G2045,PC!B:D,3,FALSE)</f>
        <v>RECEITA</v>
      </c>
      <c r="C2045" s="22">
        <v>2023</v>
      </c>
      <c r="D2045" t="s">
        <v>44</v>
      </c>
      <c r="F2045" t="str">
        <f>VLOOKUP(G2045,PC!B:D,2,FALSE)</f>
        <v>RECEITA</v>
      </c>
      <c r="G2045" s="4" t="s">
        <v>59</v>
      </c>
      <c r="H2045" s="1">
        <v>2400</v>
      </c>
    </row>
    <row r="2046" spans="2:8" x14ac:dyDescent="0.2">
      <c r="B2046" t="str">
        <f>VLOOKUP(G2046,PC!B:D,3,FALSE)</f>
        <v>RECEITA</v>
      </c>
      <c r="C2046" s="22">
        <v>2023</v>
      </c>
      <c r="D2046" t="s">
        <v>44</v>
      </c>
      <c r="F2046" t="str">
        <f>VLOOKUP(G2046,PC!B:D,2,FALSE)</f>
        <v>RECEITA</v>
      </c>
      <c r="G2046" s="4" t="s">
        <v>54</v>
      </c>
      <c r="H2046" s="1">
        <f>365+39+80</f>
        <v>484</v>
      </c>
    </row>
    <row r="2047" spans="2:8" x14ac:dyDescent="0.2">
      <c r="B2047" t="str">
        <f>VLOOKUP(G2047,PC!B:D,3,FALSE)</f>
        <v>RECEITA</v>
      </c>
      <c r="C2047" s="22">
        <v>2023</v>
      </c>
      <c r="D2047" t="s">
        <v>44</v>
      </c>
      <c r="F2047" t="str">
        <f>VLOOKUP(G2047,PC!B:D,2,FALSE)</f>
        <v>RECEITA</v>
      </c>
      <c r="G2047" s="4" t="s">
        <v>54</v>
      </c>
      <c r="H2047" s="1">
        <f>700+2000+1500</f>
        <v>4200</v>
      </c>
    </row>
    <row r="2048" spans="2:8" x14ac:dyDescent="0.2">
      <c r="B2048" t="str">
        <f>VLOOKUP(G2048,PC!B:D,3,FALSE)</f>
        <v>RECEITA</v>
      </c>
      <c r="C2048" s="22">
        <v>2023</v>
      </c>
      <c r="D2048" t="s">
        <v>44</v>
      </c>
      <c r="F2048" t="str">
        <f>VLOOKUP(G2048,PC!B:D,2,FALSE)</f>
        <v>RECEITA</v>
      </c>
      <c r="G2048" s="4" t="s">
        <v>54</v>
      </c>
      <c r="H2048" s="1">
        <f>228+92+82+51.2+46</f>
        <v>499.2</v>
      </c>
    </row>
    <row r="2049" spans="2:9" x14ac:dyDescent="0.2">
      <c r="B2049" t="str">
        <f>VLOOKUP(G2049,PC!B:D,3,FALSE)</f>
        <v>RECEITA</v>
      </c>
      <c r="C2049" s="22">
        <v>2023</v>
      </c>
      <c r="D2049" t="s">
        <v>44</v>
      </c>
      <c r="F2049" t="str">
        <f>VLOOKUP(G2049,PC!B:D,2,FALSE)</f>
        <v>RECEITA</v>
      </c>
      <c r="G2049" s="4" t="s">
        <v>54</v>
      </c>
      <c r="H2049" s="1">
        <f>700+1100</f>
        <v>1800</v>
      </c>
    </row>
    <row r="2050" spans="2:9" x14ac:dyDescent="0.2">
      <c r="B2050" t="str">
        <f>VLOOKUP(G2050,PC!B:D,3,FALSE)</f>
        <v>DESPESA OPERACIONAL</v>
      </c>
      <c r="C2050" s="22">
        <v>2023</v>
      </c>
      <c r="D2050" t="s">
        <v>44</v>
      </c>
      <c r="F2050" t="str">
        <f>VLOOKUP(G2050,PC!B:D,2,FALSE)</f>
        <v>DESPESA OPERACIONAL</v>
      </c>
      <c r="G2050" s="4" t="s">
        <v>70</v>
      </c>
      <c r="H2050" s="1">
        <v>92</v>
      </c>
    </row>
    <row r="2051" spans="2:9" x14ac:dyDescent="0.2">
      <c r="B2051" t="str">
        <f>VLOOKUP(G2051,PC!B:D,3,FALSE)</f>
        <v>RECEITA</v>
      </c>
      <c r="C2051" s="22">
        <v>2023</v>
      </c>
      <c r="D2051" t="s">
        <v>44</v>
      </c>
      <c r="F2051" t="str">
        <f>VLOOKUP(G2051,PC!B:D,2,FALSE)</f>
        <v>RECEITA</v>
      </c>
      <c r="G2051" s="4" t="s">
        <v>54</v>
      </c>
      <c r="H2051" s="1">
        <f>26+20+24+162.55+339+65+168+44</f>
        <v>848.55</v>
      </c>
    </row>
    <row r="2052" spans="2:9" x14ac:dyDescent="0.2">
      <c r="B2052" t="str">
        <f>VLOOKUP(G2052,PC!B:D,3,FALSE)</f>
        <v>CPV</v>
      </c>
      <c r="C2052" s="22">
        <v>2023</v>
      </c>
      <c r="D2052" t="s">
        <v>44</v>
      </c>
      <c r="F2052" t="str">
        <f>VLOOKUP(G2052,PC!B:D,2,FALSE)</f>
        <v>OUTROS</v>
      </c>
      <c r="G2052" s="4" t="s">
        <v>37</v>
      </c>
      <c r="H2052" s="1">
        <v>168</v>
      </c>
    </row>
    <row r="2053" spans="2:9" x14ac:dyDescent="0.2">
      <c r="B2053" t="str">
        <f>VLOOKUP(G2053,PC!B:D,3,FALSE)</f>
        <v>DESPESA PESSOAL</v>
      </c>
      <c r="C2053" s="22">
        <v>2023</v>
      </c>
      <c r="D2053" t="s">
        <v>44</v>
      </c>
      <c r="F2053" t="str">
        <f>VLOOKUP(G2053,PC!B:D,2,FALSE)</f>
        <v>DESPESA PESSOAL</v>
      </c>
      <c r="G2053" s="4" t="s">
        <v>68</v>
      </c>
      <c r="H2053" s="1">
        <v>20</v>
      </c>
    </row>
    <row r="2054" spans="2:9" x14ac:dyDescent="0.2">
      <c r="B2054" t="str">
        <f>VLOOKUP(G2054,PC!B:D,3,FALSE)</f>
        <v>CPV</v>
      </c>
      <c r="C2054" s="22">
        <v>2023</v>
      </c>
      <c r="D2054" t="s">
        <v>44</v>
      </c>
      <c r="F2054" t="str">
        <f>VLOOKUP(G2054,PC!B:D,2,FALSE)</f>
        <v>COMIDA</v>
      </c>
      <c r="G2054" s="4" t="s">
        <v>12</v>
      </c>
      <c r="H2054" s="1">
        <v>26</v>
      </c>
    </row>
    <row r="2055" spans="2:9" x14ac:dyDescent="0.2">
      <c r="B2055" t="str">
        <f>VLOOKUP(G2055,PC!B:D,3,FALSE)</f>
        <v>RECEITA</v>
      </c>
      <c r="C2055" s="22">
        <v>2023</v>
      </c>
      <c r="D2055" t="s">
        <v>44</v>
      </c>
      <c r="F2055" t="str">
        <f>VLOOKUP(G2055,PC!B:D,2,FALSE)</f>
        <v>RECEITA</v>
      </c>
      <c r="G2055" s="4" t="s">
        <v>54</v>
      </c>
      <c r="H2055" s="1">
        <f>147.85+400+1800</f>
        <v>2347.85</v>
      </c>
    </row>
    <row r="2056" spans="2:9" x14ac:dyDescent="0.2">
      <c r="B2056" t="str">
        <f>VLOOKUP(G2056,PC!B:D,3,FALSE)</f>
        <v>RECEITA</v>
      </c>
      <c r="C2056" s="22">
        <v>2023</v>
      </c>
      <c r="D2056" t="s">
        <v>44</v>
      </c>
      <c r="F2056" t="str">
        <f>VLOOKUP(G2056,PC!B:D,2,FALSE)</f>
        <v>RECEITA</v>
      </c>
      <c r="G2056" s="4" t="s">
        <v>54</v>
      </c>
      <c r="H2056" s="1">
        <f>80+45+201+245.45+90.9+184.8+52.8+105</f>
        <v>1004.95</v>
      </c>
    </row>
    <row r="2057" spans="2:9" x14ac:dyDescent="0.2">
      <c r="B2057" t="str">
        <f>VLOOKUP(G2057,PC!B:D,3,FALSE)</f>
        <v>CPV</v>
      </c>
      <c r="C2057" s="22">
        <v>2023</v>
      </c>
      <c r="D2057" t="s">
        <v>44</v>
      </c>
      <c r="E2057" t="s">
        <v>129</v>
      </c>
      <c r="F2057" t="str">
        <f>VLOOKUP(G2057,PC!B:D,2,FALSE)</f>
        <v>COMIDA</v>
      </c>
      <c r="G2057" s="4" t="s">
        <v>18</v>
      </c>
      <c r="H2057" s="1">
        <v>52.8</v>
      </c>
    </row>
    <row r="2058" spans="2:9" x14ac:dyDescent="0.2">
      <c r="B2058" t="str">
        <f>VLOOKUP(G2058,PC!B:D,3,FALSE)</f>
        <v>RECEITA</v>
      </c>
      <c r="C2058" s="22">
        <v>2023</v>
      </c>
      <c r="D2058" t="s">
        <v>44</v>
      </c>
      <c r="F2058" t="str">
        <f>VLOOKUP(G2058,PC!B:D,2,FALSE)</f>
        <v>RECEITA</v>
      </c>
      <c r="G2058" s="4" t="s">
        <v>54</v>
      </c>
      <c r="H2058" s="1">
        <v>1200</v>
      </c>
      <c r="I2058" s="46">
        <v>44358</v>
      </c>
    </row>
    <row r="2059" spans="2:9" x14ac:dyDescent="0.2">
      <c r="B2059" t="str">
        <f>VLOOKUP(G2059,PC!B:D,3,FALSE)</f>
        <v>RECEITA</v>
      </c>
      <c r="C2059" s="22">
        <v>2023</v>
      </c>
      <c r="D2059" t="s">
        <v>44</v>
      </c>
      <c r="F2059" t="str">
        <f>VLOOKUP(G2059,PC!B:D,2,FALSE)</f>
        <v>RECEITA</v>
      </c>
      <c r="G2059" s="4" t="s">
        <v>54</v>
      </c>
      <c r="H2059" s="1">
        <f>224.45+1150+216+40+300</f>
        <v>1930.45</v>
      </c>
    </row>
    <row r="2060" spans="2:9" x14ac:dyDescent="0.2">
      <c r="B2060" t="str">
        <f>VLOOKUP(G2060,PC!B:D,3,FALSE)</f>
        <v>DESPESA PESSOAL</v>
      </c>
      <c r="C2060" s="22">
        <v>2023</v>
      </c>
      <c r="D2060" t="s">
        <v>44</v>
      </c>
      <c r="F2060" t="str">
        <f>VLOOKUP(G2060,PC!B:D,2,FALSE)</f>
        <v>DESPESA PESSOAL</v>
      </c>
      <c r="G2060" s="4" t="s">
        <v>56</v>
      </c>
      <c r="H2060" s="1">
        <v>40</v>
      </c>
    </row>
    <row r="2061" spans="2:9" x14ac:dyDescent="0.2">
      <c r="B2061" t="str">
        <f>VLOOKUP(G2061,PC!B:D,3,FALSE)</f>
        <v>DESPESA PESSOAL</v>
      </c>
      <c r="C2061" s="22">
        <v>2023</v>
      </c>
      <c r="D2061" t="s">
        <v>44</v>
      </c>
      <c r="F2061" t="str">
        <f>VLOOKUP(G2061,PC!B:D,2,FALSE)</f>
        <v>DESPESA PESSOAL</v>
      </c>
      <c r="G2061" s="4" t="s">
        <v>56</v>
      </c>
      <c r="H2061" s="1">
        <v>300</v>
      </c>
    </row>
    <row r="2062" spans="2:9" x14ac:dyDescent="0.2">
      <c r="B2062" t="str">
        <f>VLOOKUP(G2062,PC!B:D,3,FALSE)</f>
        <v>CPV</v>
      </c>
      <c r="C2062" s="22">
        <v>2023</v>
      </c>
      <c r="D2062" t="s">
        <v>44</v>
      </c>
      <c r="F2062" t="str">
        <f>VLOOKUP(G2062,PC!B:D,2,FALSE)</f>
        <v>OUTROS</v>
      </c>
      <c r="G2062" s="4" t="s">
        <v>37</v>
      </c>
      <c r="H2062" s="1">
        <v>216</v>
      </c>
      <c r="I2062" s="7" t="s">
        <v>161</v>
      </c>
    </row>
    <row r="2063" spans="2:9" x14ac:dyDescent="0.2">
      <c r="B2063" t="str">
        <f>VLOOKUP(G2063,PC!B:D,3,FALSE)</f>
        <v>RECEITA</v>
      </c>
      <c r="C2063" s="22">
        <v>2023</v>
      </c>
      <c r="D2063" t="s">
        <v>44</v>
      </c>
      <c r="F2063" t="str">
        <f>VLOOKUP(G2063,PC!B:D,2,FALSE)</f>
        <v>RECEITA</v>
      </c>
      <c r="G2063" s="4" t="s">
        <v>54</v>
      </c>
      <c r="H2063" s="1">
        <v>1300</v>
      </c>
    </row>
    <row r="2064" spans="2:9" x14ac:dyDescent="0.2">
      <c r="B2064" t="str">
        <f>VLOOKUP(G2064,PC!B:D,3,FALSE)</f>
        <v>RECEITA</v>
      </c>
      <c r="C2064" s="22">
        <v>2023</v>
      </c>
      <c r="D2064" t="s">
        <v>44</v>
      </c>
      <c r="F2064" t="str">
        <f>VLOOKUP(G2064,PC!B:D,2,FALSE)</f>
        <v>RECEITA</v>
      </c>
      <c r="G2064" s="4" t="s">
        <v>54</v>
      </c>
      <c r="H2064" s="1">
        <v>650</v>
      </c>
    </row>
    <row r="2065" spans="2:9" x14ac:dyDescent="0.2">
      <c r="B2065" t="str">
        <f>VLOOKUP(G2065,PC!B:D,3,FALSE)</f>
        <v>RECEITA</v>
      </c>
      <c r="C2065" s="22">
        <v>2023</v>
      </c>
      <c r="D2065" t="s">
        <v>44</v>
      </c>
      <c r="F2065" t="str">
        <f>VLOOKUP(G2065,PC!B:D,2,FALSE)</f>
        <v>RECEITA</v>
      </c>
      <c r="G2065" s="4" t="s">
        <v>54</v>
      </c>
      <c r="H2065" s="1">
        <v>2250</v>
      </c>
    </row>
    <row r="2066" spans="2:9" x14ac:dyDescent="0.2">
      <c r="B2066" t="str">
        <f>VLOOKUP(G2066,PC!B:D,3,FALSE)</f>
        <v>DESPESA PESSOAL</v>
      </c>
      <c r="C2066" s="22">
        <v>2023</v>
      </c>
      <c r="D2066" t="s">
        <v>44</v>
      </c>
      <c r="F2066" t="str">
        <f>VLOOKUP(G2066,PC!B:D,2,FALSE)</f>
        <v>DESPESA PESSOAL</v>
      </c>
      <c r="G2066" s="4" t="s">
        <v>56</v>
      </c>
      <c r="H2066" s="1">
        <v>350</v>
      </c>
    </row>
    <row r="2067" spans="2:9" x14ac:dyDescent="0.2">
      <c r="B2067" t="str">
        <f>VLOOKUP(G2067,PC!B:D,3,FALSE)</f>
        <v>DESPESA PESSOAL</v>
      </c>
      <c r="C2067" s="22">
        <v>2023</v>
      </c>
      <c r="D2067" t="s">
        <v>44</v>
      </c>
      <c r="F2067" t="str">
        <f>VLOOKUP(G2067,PC!B:D,2,FALSE)</f>
        <v>DESPESA PESSOAL</v>
      </c>
      <c r="G2067" s="4" t="s">
        <v>124</v>
      </c>
      <c r="H2067" s="1">
        <v>600</v>
      </c>
    </row>
    <row r="2068" spans="2:9" x14ac:dyDescent="0.2">
      <c r="B2068" t="str">
        <f>VLOOKUP(G2068,PC!B:D,3,FALSE)</f>
        <v>RECEITA</v>
      </c>
      <c r="C2068" s="22">
        <v>2023</v>
      </c>
      <c r="D2068" t="s">
        <v>44</v>
      </c>
      <c r="F2068" t="str">
        <f>VLOOKUP(G2068,PC!B:D,2,FALSE)</f>
        <v>RECEITA</v>
      </c>
      <c r="G2068" s="4" t="s">
        <v>54</v>
      </c>
      <c r="H2068" s="1">
        <v>400</v>
      </c>
    </row>
    <row r="2069" spans="2:9" x14ac:dyDescent="0.2">
      <c r="B2069" t="str">
        <f>VLOOKUP(G2069,PC!B:D,3,FALSE)</f>
        <v>RECEITA</v>
      </c>
      <c r="C2069" s="22">
        <v>2023</v>
      </c>
      <c r="D2069" t="s">
        <v>44</v>
      </c>
      <c r="F2069" t="str">
        <f>VLOOKUP(G2069,PC!B:D,2,FALSE)</f>
        <v>RECEITA</v>
      </c>
      <c r="G2069" s="4" t="s">
        <v>54</v>
      </c>
      <c r="H2069" s="1">
        <f>1050+750+1100</f>
        <v>2900</v>
      </c>
    </row>
    <row r="2070" spans="2:9" x14ac:dyDescent="0.2">
      <c r="B2070" t="str">
        <f>VLOOKUP(G2070,PC!B:D,3,FALSE)</f>
        <v>RECEITA</v>
      </c>
      <c r="C2070" s="22">
        <v>2023</v>
      </c>
      <c r="D2070" t="s">
        <v>44</v>
      </c>
      <c r="F2070" t="str">
        <f>VLOOKUP(G2070,PC!B:D,2,FALSE)</f>
        <v>RECEITA</v>
      </c>
      <c r="G2070" s="4" t="s">
        <v>59</v>
      </c>
      <c r="H2070" s="1">
        <v>269</v>
      </c>
    </row>
    <row r="2071" spans="2:9" x14ac:dyDescent="0.2">
      <c r="B2071" t="str">
        <f>VLOOKUP(G2071,PC!B:D,3,FALSE)</f>
        <v>RECEITA</v>
      </c>
      <c r="C2071" s="22">
        <v>2023</v>
      </c>
      <c r="D2071" t="s">
        <v>44</v>
      </c>
      <c r="F2071" t="str">
        <f>VLOOKUP(G2071,PC!B:D,2,FALSE)</f>
        <v>RECEITA</v>
      </c>
      <c r="G2071" s="4" t="s">
        <v>54</v>
      </c>
      <c r="H2071" s="1">
        <f>49+30+35+150+600+2400</f>
        <v>3264</v>
      </c>
    </row>
    <row r="2072" spans="2:9" x14ac:dyDescent="0.2">
      <c r="B2072" t="str">
        <f>VLOOKUP(G2072,PC!B:D,3,FALSE)</f>
        <v>SERV.TERCEIROS</v>
      </c>
      <c r="C2072" s="22">
        <v>2023</v>
      </c>
      <c r="D2072" t="s">
        <v>44</v>
      </c>
      <c r="F2072" t="str">
        <f>VLOOKUP(G2072,PC!B:D,2,FALSE)</f>
        <v>SERV.TERCEIROS</v>
      </c>
      <c r="G2072" s="4" t="s">
        <v>60</v>
      </c>
      <c r="H2072" s="1">
        <v>600</v>
      </c>
    </row>
    <row r="2073" spans="2:9" x14ac:dyDescent="0.2">
      <c r="B2073" t="str">
        <f>VLOOKUP(G2073,PC!B:D,3,FALSE)</f>
        <v>RECEITA</v>
      </c>
      <c r="C2073" s="22">
        <v>2023</v>
      </c>
      <c r="D2073" t="s">
        <v>44</v>
      </c>
      <c r="F2073" t="str">
        <f>VLOOKUP(G2073,PC!B:D,2,FALSE)</f>
        <v>RECEITA</v>
      </c>
      <c r="G2073" s="4" t="s">
        <v>54</v>
      </c>
      <c r="H2073" s="1">
        <f>56+118+180+82+30</f>
        <v>466</v>
      </c>
    </row>
    <row r="2074" spans="2:9" x14ac:dyDescent="0.2">
      <c r="B2074" t="str">
        <f>VLOOKUP(G2074,PC!B:D,3,FALSE)</f>
        <v>DESPESA PESSOAL</v>
      </c>
      <c r="C2074" s="22">
        <v>2023</v>
      </c>
      <c r="D2074" t="s">
        <v>44</v>
      </c>
      <c r="F2074" t="str">
        <f>VLOOKUP(G2074,PC!B:D,2,FALSE)</f>
        <v>DESPESA PESSOAL</v>
      </c>
      <c r="G2074" s="4" t="s">
        <v>68</v>
      </c>
      <c r="H2074" s="1">
        <v>180</v>
      </c>
    </row>
    <row r="2075" spans="2:9" x14ac:dyDescent="0.2">
      <c r="B2075" t="str">
        <f>VLOOKUP(G2075,PC!B:D,3,FALSE)</f>
        <v>DESPESA OPERACIONAL</v>
      </c>
      <c r="C2075" s="22">
        <v>2023</v>
      </c>
      <c r="D2075" t="s">
        <v>44</v>
      </c>
      <c r="F2075" t="str">
        <f>VLOOKUP(G2075,PC!B:D,2,FALSE)</f>
        <v>DESPESA OPERACIONAL</v>
      </c>
      <c r="G2075" s="4" t="s">
        <v>70</v>
      </c>
      <c r="H2075" s="1">
        <v>118</v>
      </c>
    </row>
    <row r="2076" spans="2:9" x14ac:dyDescent="0.2">
      <c r="B2076" t="str">
        <f>VLOOKUP(G2076,PC!B:D,3,FALSE)</f>
        <v>CPV</v>
      </c>
      <c r="C2076" s="22">
        <v>2023</v>
      </c>
      <c r="D2076" t="s">
        <v>44</v>
      </c>
      <c r="E2076" t="s">
        <v>129</v>
      </c>
      <c r="F2076" t="str">
        <f>VLOOKUP(G2076,PC!B:D,2,FALSE)</f>
        <v>LIMPEZA</v>
      </c>
      <c r="G2076" s="4" t="s">
        <v>43</v>
      </c>
      <c r="H2076" s="1">
        <v>30</v>
      </c>
    </row>
    <row r="2077" spans="2:9" x14ac:dyDescent="0.2">
      <c r="B2077" t="str">
        <f>VLOOKUP(G2077,PC!B:D,3,FALSE)</f>
        <v>RECEITA</v>
      </c>
      <c r="C2077" s="22">
        <v>2023</v>
      </c>
      <c r="D2077" t="s">
        <v>44</v>
      </c>
      <c r="F2077" t="str">
        <f>VLOOKUP(G2077,PC!B:D,2,FALSE)</f>
        <v>RECEITA</v>
      </c>
      <c r="G2077" s="4" t="s">
        <v>54</v>
      </c>
      <c r="H2077" s="1">
        <v>1400</v>
      </c>
    </row>
    <row r="2078" spans="2:9" x14ac:dyDescent="0.2">
      <c r="B2078" t="str">
        <f>VLOOKUP(G2078,PC!B:D,3,FALSE)</f>
        <v>RECEITA</v>
      </c>
      <c r="C2078" s="22">
        <v>2023</v>
      </c>
      <c r="D2078" t="s">
        <v>44</v>
      </c>
      <c r="F2078" t="str">
        <f>VLOOKUP(G2078,PC!B:D,2,FALSE)</f>
        <v>RECEITA</v>
      </c>
      <c r="G2078" s="4" t="s">
        <v>54</v>
      </c>
      <c r="H2078" s="1">
        <v>1050</v>
      </c>
      <c r="I2078" s="24"/>
    </row>
    <row r="2079" spans="2:9" x14ac:dyDescent="0.2">
      <c r="B2079" t="str">
        <f>VLOOKUP(G2079,PC!B:D,3,FALSE)</f>
        <v>RECEITA</v>
      </c>
      <c r="C2079" s="22">
        <v>2023</v>
      </c>
      <c r="D2079" t="s">
        <v>44</v>
      </c>
      <c r="F2079" t="str">
        <f>VLOOKUP(G2079,PC!B:D,2,FALSE)</f>
        <v>RECEITA</v>
      </c>
      <c r="G2079" s="4" t="s">
        <v>54</v>
      </c>
      <c r="H2079" s="1">
        <f>32+30+40+54+30</f>
        <v>186</v>
      </c>
    </row>
    <row r="2080" spans="2:9" x14ac:dyDescent="0.2">
      <c r="B2080" t="str">
        <f>VLOOKUP(G2080,PC!B:D,3,FALSE)</f>
        <v>DESPESA PESSOAL</v>
      </c>
      <c r="C2080" s="22">
        <v>2023</v>
      </c>
      <c r="D2080" t="s">
        <v>44</v>
      </c>
      <c r="F2080" t="str">
        <f>VLOOKUP(G2080,PC!B:D,2,FALSE)</f>
        <v>DESPESA PESSOAL</v>
      </c>
      <c r="G2080" s="4" t="s">
        <v>68</v>
      </c>
      <c r="H2080" s="1">
        <v>84</v>
      </c>
      <c r="I2080" s="20"/>
    </row>
    <row r="2081" spans="2:8" x14ac:dyDescent="0.2">
      <c r="B2081" t="str">
        <f>VLOOKUP(G2081,PC!B:D,3,FALSE)</f>
        <v>CPV</v>
      </c>
      <c r="C2081" s="22">
        <v>2023</v>
      </c>
      <c r="D2081" t="s">
        <v>44</v>
      </c>
      <c r="E2081" t="s">
        <v>129</v>
      </c>
      <c r="F2081" t="str">
        <f>VLOOKUP(G2081,PC!B:D,2,FALSE)</f>
        <v>COMIDA</v>
      </c>
      <c r="G2081" s="4" t="s">
        <v>146</v>
      </c>
      <c r="H2081" s="1">
        <v>40</v>
      </c>
    </row>
    <row r="2082" spans="2:8" x14ac:dyDescent="0.2">
      <c r="B2082" t="str">
        <f>VLOOKUP(G2082,PC!B:D,3,FALSE)</f>
        <v>CPV</v>
      </c>
      <c r="C2082" s="22">
        <v>2023</v>
      </c>
      <c r="D2082" t="s">
        <v>44</v>
      </c>
      <c r="E2082" t="s">
        <v>129</v>
      </c>
      <c r="F2082" t="str">
        <f>VLOOKUP(G2082,PC!B:D,2,FALSE)</f>
        <v>SOBREMESA</v>
      </c>
      <c r="G2082" s="4" t="s">
        <v>7</v>
      </c>
      <c r="H2082" s="1">
        <v>30</v>
      </c>
    </row>
    <row r="2083" spans="2:8" x14ac:dyDescent="0.2">
      <c r="B2083" t="str">
        <f>VLOOKUP(G2083,PC!B:D,3,FALSE)</f>
        <v>RECEITA</v>
      </c>
      <c r="C2083" s="22">
        <v>2023</v>
      </c>
      <c r="D2083" t="s">
        <v>44</v>
      </c>
      <c r="F2083" t="str">
        <f>VLOOKUP(G2083,PC!B:D,2,FALSE)</f>
        <v>RECEITA</v>
      </c>
      <c r="G2083" s="4" t="s">
        <v>54</v>
      </c>
      <c r="H2083" s="1">
        <v>1800</v>
      </c>
    </row>
    <row r="2084" spans="2:8" x14ac:dyDescent="0.2">
      <c r="B2084" t="str">
        <f>VLOOKUP(G2084,PC!B:D,3,FALSE)</f>
        <v>RECEITA</v>
      </c>
      <c r="C2084" s="22">
        <v>2023</v>
      </c>
      <c r="D2084" t="s">
        <v>44</v>
      </c>
      <c r="F2084" t="str">
        <f>VLOOKUP(G2084,PC!B:D,2,FALSE)</f>
        <v>RECEITA</v>
      </c>
      <c r="G2084" s="4" t="s">
        <v>54</v>
      </c>
      <c r="H2084" s="1">
        <f>228+40+50+253.3+24</f>
        <v>595.29999999999995</v>
      </c>
    </row>
    <row r="2085" spans="2:8" x14ac:dyDescent="0.2">
      <c r="B2085" t="str">
        <f>VLOOKUP(G2085,PC!B:D,3,FALSE)</f>
        <v>CPV</v>
      </c>
      <c r="C2085" s="22">
        <v>2023</v>
      </c>
      <c r="D2085" t="s">
        <v>44</v>
      </c>
      <c r="E2085" t="s">
        <v>129</v>
      </c>
      <c r="F2085" t="str">
        <f>VLOOKUP(G2085,PC!B:D,2,FALSE)</f>
        <v>COMIDA</v>
      </c>
      <c r="G2085" s="4" t="s">
        <v>12</v>
      </c>
      <c r="H2085" s="1">
        <v>228</v>
      </c>
    </row>
    <row r="2086" spans="2:8" x14ac:dyDescent="0.2">
      <c r="B2086" t="str">
        <f>VLOOKUP(G2086,PC!B:D,3,FALSE)</f>
        <v>CPV</v>
      </c>
      <c r="C2086" s="22">
        <v>2023</v>
      </c>
      <c r="D2086" t="s">
        <v>44</v>
      </c>
      <c r="E2086" t="s">
        <v>129</v>
      </c>
      <c r="F2086" t="str">
        <f>VLOOKUP(G2086,PC!B:D,2,FALSE)</f>
        <v>COMIDA</v>
      </c>
      <c r="G2086" s="4" t="s">
        <v>33</v>
      </c>
      <c r="H2086" s="1">
        <v>40</v>
      </c>
    </row>
    <row r="2087" spans="2:8" x14ac:dyDescent="0.2">
      <c r="B2087" t="str">
        <f>VLOOKUP(G2087,PC!B:D,3,FALSE)</f>
        <v>RECEITA</v>
      </c>
      <c r="C2087" s="22">
        <v>2023</v>
      </c>
      <c r="D2087" t="s">
        <v>44</v>
      </c>
      <c r="F2087" t="str">
        <f>VLOOKUP(G2087,PC!B:D,2,FALSE)</f>
        <v>RECEITA</v>
      </c>
      <c r="G2087" s="4" t="s">
        <v>54</v>
      </c>
      <c r="H2087" s="1">
        <v>1500</v>
      </c>
    </row>
    <row r="2088" spans="2:8" x14ac:dyDescent="0.2">
      <c r="B2088" t="str">
        <f>VLOOKUP(G2088,PC!B:D,3,FALSE)</f>
        <v>RECEITA</v>
      </c>
      <c r="C2088" s="22">
        <v>2023</v>
      </c>
      <c r="D2088" t="s">
        <v>44</v>
      </c>
      <c r="F2088" t="str">
        <f>VLOOKUP(G2088,PC!B:D,2,FALSE)</f>
        <v>RECEITA</v>
      </c>
      <c r="G2088" s="4" t="s">
        <v>54</v>
      </c>
      <c r="H2088" s="1">
        <v>700</v>
      </c>
    </row>
    <row r="2089" spans="2:8" x14ac:dyDescent="0.2">
      <c r="B2089" t="str">
        <f>VLOOKUP(G2089,PC!B:D,3,FALSE)</f>
        <v>RECEITA</v>
      </c>
      <c r="C2089" s="22">
        <v>2023</v>
      </c>
      <c r="D2089" t="s">
        <v>44</v>
      </c>
      <c r="F2089" t="str">
        <f>VLOOKUP(G2089,PC!B:D,2,FALSE)</f>
        <v>RECEITA</v>
      </c>
      <c r="G2089" s="4" t="s">
        <v>54</v>
      </c>
      <c r="H2089" s="1">
        <f>116.85+300+48</f>
        <v>464.85</v>
      </c>
    </row>
    <row r="2090" spans="2:8" x14ac:dyDescent="0.2">
      <c r="B2090" t="str">
        <f>VLOOKUP(G2090,PC!B:D,3,FALSE)</f>
        <v>DESPESA PESSOAL</v>
      </c>
      <c r="C2090" s="22">
        <v>2023</v>
      </c>
      <c r="D2090" t="s">
        <v>44</v>
      </c>
      <c r="F2090" t="str">
        <f>VLOOKUP(G2090,PC!B:D,2,FALSE)</f>
        <v>DESPESA PESSOAL</v>
      </c>
      <c r="G2090" s="4" t="s">
        <v>56</v>
      </c>
      <c r="H2090" s="1">
        <v>300</v>
      </c>
    </row>
    <row r="2091" spans="2:8" x14ac:dyDescent="0.2">
      <c r="B2091" t="str">
        <f>VLOOKUP(G2091,PC!B:D,3,FALSE)</f>
        <v>RECEITA</v>
      </c>
      <c r="C2091" s="22">
        <v>2023</v>
      </c>
      <c r="D2091" t="s">
        <v>44</v>
      </c>
      <c r="F2091" t="str">
        <f>VLOOKUP(G2091,PC!B:D,2,FALSE)</f>
        <v>RECEITA</v>
      </c>
      <c r="G2091" s="4" t="s">
        <v>54</v>
      </c>
      <c r="H2091" s="1">
        <v>800</v>
      </c>
    </row>
    <row r="2092" spans="2:8" x14ac:dyDescent="0.2">
      <c r="B2092" t="str">
        <f>VLOOKUP(G2092,PC!B:D,3,FALSE)</f>
        <v>RECEITA</v>
      </c>
      <c r="C2092" s="22">
        <v>2023</v>
      </c>
      <c r="D2092" t="s">
        <v>44</v>
      </c>
      <c r="F2092" t="str">
        <f>VLOOKUP(G2092,PC!B:D,2,FALSE)</f>
        <v>RECEITA</v>
      </c>
      <c r="G2092" s="4" t="s">
        <v>54</v>
      </c>
      <c r="H2092" s="1">
        <v>1900</v>
      </c>
    </row>
    <row r="2093" spans="2:8" x14ac:dyDescent="0.2">
      <c r="B2093" t="str">
        <f>VLOOKUP(G2093,PC!B:D,3,FALSE)</f>
        <v>RECEITA</v>
      </c>
      <c r="C2093" s="22">
        <v>2023</v>
      </c>
      <c r="D2093" t="s">
        <v>44</v>
      </c>
      <c r="F2093" t="str">
        <f>VLOOKUP(G2093,PC!B:D,2,FALSE)</f>
        <v>RECEITA</v>
      </c>
      <c r="G2093" s="4" t="s">
        <v>54</v>
      </c>
      <c r="H2093" s="1">
        <v>1100</v>
      </c>
    </row>
    <row r="2094" spans="2:8" x14ac:dyDescent="0.2">
      <c r="B2094" t="str">
        <f>VLOOKUP(G2094,PC!B:D,3,FALSE)</f>
        <v>RECEITA</v>
      </c>
      <c r="C2094" s="22">
        <v>2023</v>
      </c>
      <c r="D2094" t="s">
        <v>44</v>
      </c>
      <c r="F2094" t="str">
        <f>VLOOKUP(G2094,PC!B:D,2,FALSE)</f>
        <v>RECEITA</v>
      </c>
      <c r="G2094" s="4" t="s">
        <v>54</v>
      </c>
      <c r="H2094" s="1">
        <v>30</v>
      </c>
    </row>
    <row r="2095" spans="2:8" x14ac:dyDescent="0.2">
      <c r="B2095" t="str">
        <f>VLOOKUP(G2095,PC!B:D,3,FALSE)</f>
        <v>RECEITA</v>
      </c>
      <c r="C2095" s="22">
        <v>2023</v>
      </c>
      <c r="D2095" t="s">
        <v>44</v>
      </c>
      <c r="F2095" t="str">
        <f>VLOOKUP(G2095,PC!B:D,2,FALSE)</f>
        <v>RECEITA</v>
      </c>
      <c r="G2095" s="4" t="s">
        <v>54</v>
      </c>
      <c r="H2095" s="1">
        <f>90+2150+350</f>
        <v>2590</v>
      </c>
    </row>
    <row r="2096" spans="2:8" x14ac:dyDescent="0.2">
      <c r="B2096" t="str">
        <f>VLOOKUP(G2096,PC!B:D,3,FALSE)</f>
        <v>CPV</v>
      </c>
      <c r="C2096" s="22">
        <v>2023</v>
      </c>
      <c r="D2096" t="s">
        <v>44</v>
      </c>
      <c r="F2096" t="str">
        <f>VLOOKUP(G2096,PC!B:D,2,FALSE)</f>
        <v>COMIDA</v>
      </c>
      <c r="G2096" s="4" t="s">
        <v>33</v>
      </c>
      <c r="H2096" s="1">
        <v>90</v>
      </c>
    </row>
    <row r="2097" spans="2:8" x14ac:dyDescent="0.2">
      <c r="B2097" t="str">
        <f>VLOOKUP(G2097,PC!B:D,3,FALSE)</f>
        <v>DESPESA PESSOAL</v>
      </c>
      <c r="C2097" s="22">
        <v>2023</v>
      </c>
      <c r="D2097" t="s">
        <v>44</v>
      </c>
      <c r="F2097" t="str">
        <f>VLOOKUP(G2097,PC!B:D,2,FALSE)</f>
        <v>DESPESA PESSOAL</v>
      </c>
      <c r="G2097" s="4" t="s">
        <v>124</v>
      </c>
      <c r="H2097" s="1">
        <v>600</v>
      </c>
    </row>
    <row r="2098" spans="2:8" x14ac:dyDescent="0.2">
      <c r="B2098" t="str">
        <f>VLOOKUP(G2098,PC!B:D,3,FALSE)</f>
        <v>CPV</v>
      </c>
      <c r="C2098" s="22">
        <v>2023</v>
      </c>
      <c r="D2098" t="s">
        <v>44</v>
      </c>
      <c r="F2098" t="str">
        <f>VLOOKUP(G2098,PC!B:D,2,FALSE)</f>
        <v>COMIDA</v>
      </c>
      <c r="G2098" s="4" t="s">
        <v>12</v>
      </c>
      <c r="H2098" s="1">
        <v>28</v>
      </c>
    </row>
    <row r="2099" spans="2:8" x14ac:dyDescent="0.2">
      <c r="B2099" t="str">
        <f>VLOOKUP(G2099,PC!B:D,3,FALSE)</f>
        <v>RECEITA</v>
      </c>
      <c r="C2099" s="22">
        <v>2023</v>
      </c>
      <c r="D2099" t="s">
        <v>44</v>
      </c>
      <c r="F2099" t="str">
        <f>VLOOKUP(G2099,PC!B:D,2,FALSE)</f>
        <v>RECEITA</v>
      </c>
      <c r="G2099" s="4" t="s">
        <v>62</v>
      </c>
      <c r="H2099" s="1">
        <v>260</v>
      </c>
    </row>
    <row r="2100" spans="2:8" x14ac:dyDescent="0.2">
      <c r="B2100" t="str">
        <f>VLOOKUP(G2100,PC!B:D,3,FALSE)</f>
        <v>RECEITA</v>
      </c>
      <c r="C2100" s="22">
        <v>2023</v>
      </c>
      <c r="D2100" t="s">
        <v>44</v>
      </c>
      <c r="F2100" t="str">
        <f>VLOOKUP(G2100,PC!B:D,2,FALSE)</f>
        <v>RECEITA</v>
      </c>
      <c r="G2100" s="4" t="s">
        <v>54</v>
      </c>
      <c r="H2100" s="1">
        <f>2400+800+350+1010</f>
        <v>4560</v>
      </c>
    </row>
    <row r="2101" spans="2:8" x14ac:dyDescent="0.2">
      <c r="B2101" t="str">
        <f>VLOOKUP(G2101,PC!B:D,3,FALSE)</f>
        <v>RECEITA</v>
      </c>
      <c r="C2101" s="22">
        <v>2023</v>
      </c>
      <c r="D2101" t="s">
        <v>44</v>
      </c>
      <c r="F2101" t="str">
        <f>VLOOKUP(G2101,PC!B:D,2,FALSE)</f>
        <v>RECEITA</v>
      </c>
      <c r="G2101" s="4" t="s">
        <v>54</v>
      </c>
      <c r="H2101" s="1">
        <f>570+28+80+416</f>
        <v>1094</v>
      </c>
    </row>
    <row r="2102" spans="2:8" x14ac:dyDescent="0.2">
      <c r="B2102" t="str">
        <f>VLOOKUP(G2102,PC!B:D,3,FALSE)</f>
        <v>CPV</v>
      </c>
      <c r="C2102" s="22">
        <v>2023</v>
      </c>
      <c r="D2102" t="s">
        <v>44</v>
      </c>
      <c r="F2102" t="str">
        <f>VLOOKUP(G2102,PC!B:D,2,FALSE)</f>
        <v>COMIDA</v>
      </c>
      <c r="G2102" s="4" t="s">
        <v>12</v>
      </c>
      <c r="H2102" s="1">
        <f>28+416</f>
        <v>444</v>
      </c>
    </row>
    <row r="2103" spans="2:8" x14ac:dyDescent="0.2">
      <c r="B2103" t="str">
        <f>VLOOKUP(G2103,PC!B:D,3,FALSE)</f>
        <v>CPV</v>
      </c>
      <c r="C2103" s="22">
        <v>2023</v>
      </c>
      <c r="D2103" t="s">
        <v>44</v>
      </c>
      <c r="F2103" t="str">
        <f>VLOOKUP(G2103,PC!B:D,2,FALSE)</f>
        <v>BEBIDAS</v>
      </c>
      <c r="G2103" s="4" t="s">
        <v>48</v>
      </c>
      <c r="H2103" s="1">
        <v>80</v>
      </c>
    </row>
    <row r="2104" spans="2:8" x14ac:dyDescent="0.2">
      <c r="B2104" t="str">
        <f>VLOOKUP(G2104,PC!B:D,3,FALSE)</f>
        <v>RECEITA</v>
      </c>
      <c r="C2104" s="22">
        <v>2023</v>
      </c>
      <c r="D2104" t="s">
        <v>44</v>
      </c>
      <c r="F2104" t="str">
        <f>VLOOKUP(G2104,PC!B:D,2,FALSE)</f>
        <v>RECEITA</v>
      </c>
      <c r="G2104" s="4" t="s">
        <v>54</v>
      </c>
      <c r="H2104" s="1">
        <v>560</v>
      </c>
    </row>
    <row r="2105" spans="2:8" x14ac:dyDescent="0.2">
      <c r="B2105" t="str">
        <f>VLOOKUP(G2105,PC!B:D,3,FALSE)</f>
        <v>RECEITA</v>
      </c>
      <c r="C2105" s="22">
        <v>2023</v>
      </c>
      <c r="D2105" t="s">
        <v>44</v>
      </c>
      <c r="F2105" t="str">
        <f>VLOOKUP(G2105,PC!B:D,2,FALSE)</f>
        <v>RECEITA</v>
      </c>
      <c r="G2105" s="4" t="s">
        <v>54</v>
      </c>
      <c r="H2105" s="1">
        <v>1100</v>
      </c>
    </row>
    <row r="2106" spans="2:8" x14ac:dyDescent="0.2">
      <c r="B2106" t="str">
        <f>VLOOKUP(G2106,PC!B:D,3,FALSE)</f>
        <v>RECEITA</v>
      </c>
      <c r="C2106" s="22">
        <v>2023</v>
      </c>
      <c r="D2106" t="s">
        <v>44</v>
      </c>
      <c r="F2106" t="str">
        <f>VLOOKUP(G2106,PC!B:D,2,FALSE)</f>
        <v>RECEITA</v>
      </c>
      <c r="G2106" s="4" t="s">
        <v>54</v>
      </c>
      <c r="H2106" s="1">
        <f>30+71.2+105.8+147+52+70+46</f>
        <v>522</v>
      </c>
    </row>
    <row r="2107" spans="2:8" x14ac:dyDescent="0.2">
      <c r="B2107" t="str">
        <f>VLOOKUP(G2107,PC!B:D,3,FALSE)</f>
        <v>CPV</v>
      </c>
      <c r="C2107" s="22">
        <v>2023</v>
      </c>
      <c r="D2107" t="s">
        <v>44</v>
      </c>
      <c r="F2107" t="str">
        <f>VLOOKUP(G2107,PC!B:D,2,FALSE)</f>
        <v>COMIDA</v>
      </c>
      <c r="G2107" s="4" t="s">
        <v>12</v>
      </c>
      <c r="H2107" s="1">
        <f>30+105.8</f>
        <v>135.80000000000001</v>
      </c>
    </row>
    <row r="2108" spans="2:8" x14ac:dyDescent="0.2">
      <c r="B2108" t="str">
        <f>VLOOKUP(G2108,PC!B:D,3,FALSE)</f>
        <v>DESPESA OPERACIONAL</v>
      </c>
      <c r="C2108" s="22">
        <v>2023</v>
      </c>
      <c r="D2108" t="s">
        <v>44</v>
      </c>
      <c r="F2108" t="str">
        <f>VLOOKUP(G2108,PC!B:D,2,FALSE)</f>
        <v>DESPESA OPERACIONAL</v>
      </c>
      <c r="G2108" s="4" t="s">
        <v>70</v>
      </c>
      <c r="H2108" s="1">
        <v>52</v>
      </c>
    </row>
    <row r="2109" spans="2:8" x14ac:dyDescent="0.2">
      <c r="B2109" t="str">
        <f>VLOOKUP(G2109,PC!B:D,3,FALSE)</f>
        <v>DESPESA PESSOAL</v>
      </c>
      <c r="C2109" s="22">
        <v>2023</v>
      </c>
      <c r="D2109" t="s">
        <v>44</v>
      </c>
      <c r="F2109" t="str">
        <f>VLOOKUP(G2109,PC!B:D,2,FALSE)</f>
        <v>DESPESA PESSOAL</v>
      </c>
      <c r="G2109" s="4" t="s">
        <v>68</v>
      </c>
      <c r="H2109" s="1">
        <v>70</v>
      </c>
    </row>
    <row r="2110" spans="2:8" x14ac:dyDescent="0.2">
      <c r="B2110" t="str">
        <f>VLOOKUP(G2110,PC!B:D,3,FALSE)</f>
        <v>RECEITA</v>
      </c>
      <c r="C2110" s="22">
        <v>2023</v>
      </c>
      <c r="D2110" t="s">
        <v>44</v>
      </c>
      <c r="F2110" t="str">
        <f>VLOOKUP(G2110,PC!B:D,2,FALSE)</f>
        <v>RECEITA</v>
      </c>
      <c r="G2110" s="4" t="s">
        <v>54</v>
      </c>
      <c r="H2110" s="1">
        <v>800</v>
      </c>
    </row>
    <row r="2111" spans="2:8" x14ac:dyDescent="0.2">
      <c r="B2111" t="str">
        <f>VLOOKUP(G2111,PC!B:D,3,FALSE)</f>
        <v>RECEITA</v>
      </c>
      <c r="C2111" s="22">
        <v>2023</v>
      </c>
      <c r="D2111" t="s">
        <v>44</v>
      </c>
      <c r="F2111" t="str">
        <f>VLOOKUP(G2111,PC!B:D,2,FALSE)</f>
        <v>RECEITA</v>
      </c>
      <c r="G2111" s="4" t="s">
        <v>54</v>
      </c>
      <c r="H2111" s="1">
        <v>600</v>
      </c>
    </row>
    <row r="2112" spans="2:8" x14ac:dyDescent="0.2">
      <c r="B2112" t="str">
        <f>VLOOKUP(G2112,PC!B:D,3,FALSE)</f>
        <v>RECEITA</v>
      </c>
      <c r="C2112" s="22">
        <v>2023</v>
      </c>
      <c r="D2112" t="s">
        <v>44</v>
      </c>
      <c r="F2112" t="str">
        <f>VLOOKUP(G2112,PC!B:D,2,FALSE)</f>
        <v>RECEITA</v>
      </c>
      <c r="G2112" s="4" t="s">
        <v>54</v>
      </c>
      <c r="H2112" s="1">
        <f>62+20+179+16+150+58.5+230+50+140.1</f>
        <v>905.6</v>
      </c>
    </row>
    <row r="2113" spans="2:8" x14ac:dyDescent="0.2">
      <c r="B2113" t="str">
        <f>VLOOKUP(G2113,PC!B:D,3,FALSE)</f>
        <v>CPV</v>
      </c>
      <c r="C2113" s="22">
        <v>2023</v>
      </c>
      <c r="D2113" t="s">
        <v>44</v>
      </c>
      <c r="F2113" t="str">
        <f>VLOOKUP(G2113,PC!B:D,2,FALSE)</f>
        <v>COMIDA</v>
      </c>
      <c r="G2113" s="4" t="s">
        <v>146</v>
      </c>
      <c r="H2113" s="1">
        <v>50</v>
      </c>
    </row>
    <row r="2114" spans="2:8" x14ac:dyDescent="0.2">
      <c r="B2114" t="str">
        <f>VLOOKUP(G2114,PC!B:D,3,FALSE)</f>
        <v>CPV</v>
      </c>
      <c r="C2114" s="22">
        <v>2023</v>
      </c>
      <c r="D2114" t="s">
        <v>44</v>
      </c>
      <c r="F2114" t="str">
        <f>VLOOKUP(G2114,PC!B:D,2,FALSE)</f>
        <v>COMIDA</v>
      </c>
      <c r="G2114" s="4" t="s">
        <v>12</v>
      </c>
      <c r="H2114" s="1">
        <v>62</v>
      </c>
    </row>
    <row r="2115" spans="2:8" x14ac:dyDescent="0.2">
      <c r="B2115" t="str">
        <f>VLOOKUP(G2115,PC!B:D,3,FALSE)</f>
        <v>DESPESA PESSOAL</v>
      </c>
      <c r="C2115" s="22">
        <v>2023</v>
      </c>
      <c r="D2115" t="s">
        <v>44</v>
      </c>
      <c r="F2115" t="str">
        <f>VLOOKUP(G2115,PC!B:D,2,FALSE)</f>
        <v>DESPESA PESSOAL</v>
      </c>
      <c r="G2115" s="4" t="s">
        <v>68</v>
      </c>
      <c r="H2115" s="1">
        <v>20</v>
      </c>
    </row>
    <row r="2116" spans="2:8" x14ac:dyDescent="0.2">
      <c r="B2116" t="str">
        <f>VLOOKUP(G2116,PC!B:D,3,FALSE)</f>
        <v>RECEITA</v>
      </c>
      <c r="C2116" s="22">
        <v>2023</v>
      </c>
      <c r="D2116" t="s">
        <v>44</v>
      </c>
      <c r="F2116" t="str">
        <f>VLOOKUP(G2116,PC!B:D,2,FALSE)</f>
        <v>RECEITA</v>
      </c>
      <c r="G2116" s="4" t="s">
        <v>54</v>
      </c>
      <c r="H2116" s="1">
        <v>1600</v>
      </c>
    </row>
    <row r="2117" spans="2:8" x14ac:dyDescent="0.2">
      <c r="B2117" t="str">
        <f>VLOOKUP(G2117,PC!B:D,3,FALSE)</f>
        <v>RECEITA</v>
      </c>
      <c r="C2117" s="22">
        <v>2023</v>
      </c>
      <c r="D2117" t="s">
        <v>44</v>
      </c>
      <c r="F2117" t="str">
        <f>VLOOKUP(G2117,PC!B:D,2,FALSE)</f>
        <v>RECEITA</v>
      </c>
      <c r="G2117" s="4" t="s">
        <v>54</v>
      </c>
      <c r="H2117" s="1">
        <f>35+172+32+66+205+105+277.2+95.75+34+48+30</f>
        <v>1099.95</v>
      </c>
    </row>
    <row r="2118" spans="2:8" x14ac:dyDescent="0.2">
      <c r="B2118" t="str">
        <f>VLOOKUP(G2118,PC!B:D,3,FALSE)</f>
        <v>RECEITAS NÃO OPERACIONAIS</v>
      </c>
      <c r="C2118" s="22">
        <v>2023</v>
      </c>
      <c r="D2118" t="s">
        <v>44</v>
      </c>
      <c r="F2118" t="str">
        <f>VLOOKUP(G2118,PC!B:D,2,FALSE)</f>
        <v>EMPRESTIMO</v>
      </c>
      <c r="G2118" s="4" t="s">
        <v>71</v>
      </c>
      <c r="H2118" s="1">
        <v>172</v>
      </c>
    </row>
    <row r="2119" spans="2:8" x14ac:dyDescent="0.2">
      <c r="B2119" t="str">
        <f>VLOOKUP(G2119,PC!B:D,3,FALSE)</f>
        <v>CPV</v>
      </c>
      <c r="C2119" s="22">
        <v>2023</v>
      </c>
      <c r="D2119" t="s">
        <v>44</v>
      </c>
      <c r="F2119" t="str">
        <f>VLOOKUP(G2119,PC!B:D,2,FALSE)</f>
        <v>COMIDA</v>
      </c>
      <c r="G2119" s="4" t="s">
        <v>18</v>
      </c>
      <c r="H2119" s="1">
        <v>66</v>
      </c>
    </row>
    <row r="2120" spans="2:8" x14ac:dyDescent="0.2">
      <c r="B2120" t="str">
        <f>VLOOKUP(G2120,PC!B:D,3,FALSE)</f>
        <v>CPV</v>
      </c>
      <c r="C2120" s="22">
        <v>2023</v>
      </c>
      <c r="D2120" t="s">
        <v>44</v>
      </c>
      <c r="F2120" t="str">
        <f>VLOOKUP(G2120,PC!B:D,2,FALSE)</f>
        <v>COMIDA</v>
      </c>
      <c r="G2120" s="4" t="s">
        <v>12</v>
      </c>
      <c r="H2120" s="1">
        <v>30</v>
      </c>
    </row>
    <row r="2121" spans="2:8" x14ac:dyDescent="0.2">
      <c r="B2121" t="str">
        <f>VLOOKUP(G2121,PC!B:D,3,FALSE)</f>
        <v>CPV</v>
      </c>
      <c r="C2121" s="22">
        <v>2023</v>
      </c>
      <c r="D2121" t="s">
        <v>44</v>
      </c>
      <c r="F2121" t="str">
        <f>VLOOKUP(G2121,PC!B:D,2,FALSE)</f>
        <v>SOBREMESA</v>
      </c>
      <c r="G2121" s="4" t="s">
        <v>8</v>
      </c>
      <c r="H2121" s="1">
        <v>32</v>
      </c>
    </row>
    <row r="2122" spans="2:8" x14ac:dyDescent="0.2">
      <c r="B2122" t="str">
        <f>VLOOKUP(G2122,PC!B:D,3,FALSE)</f>
        <v>RECEITA</v>
      </c>
      <c r="C2122" s="22">
        <v>2023</v>
      </c>
      <c r="D2122" t="s">
        <v>44</v>
      </c>
      <c r="F2122" t="str">
        <f>VLOOKUP(G2122,PC!B:D,2,FALSE)</f>
        <v>RECEITA</v>
      </c>
      <c r="G2122" s="4" t="s">
        <v>54</v>
      </c>
      <c r="H2122" s="1">
        <v>1800</v>
      </c>
    </row>
    <row r="2123" spans="2:8" x14ac:dyDescent="0.2">
      <c r="B2123" t="str">
        <f>VLOOKUP(G2123,PC!B:D,3,FALSE)</f>
        <v>RECEITA</v>
      </c>
      <c r="C2123" s="22">
        <v>2023</v>
      </c>
      <c r="D2123" t="s">
        <v>44</v>
      </c>
      <c r="F2123" t="str">
        <f>VLOOKUP(G2123,PC!B:D,2,FALSE)</f>
        <v>RECEITA</v>
      </c>
      <c r="G2123" s="4" t="s">
        <v>54</v>
      </c>
      <c r="H2123" s="1">
        <f>254.2+300+40</f>
        <v>594.20000000000005</v>
      </c>
    </row>
    <row r="2124" spans="2:8" x14ac:dyDescent="0.2">
      <c r="B2124" t="str">
        <f>VLOOKUP(G2124,PC!B:D,3,FALSE)</f>
        <v>DESPESA PESSOAL</v>
      </c>
      <c r="C2124" s="22">
        <v>2023</v>
      </c>
      <c r="D2124" t="s">
        <v>44</v>
      </c>
      <c r="F2124" t="str">
        <f>VLOOKUP(G2124,PC!B:D,2,FALSE)</f>
        <v>DESPESA PESSOAL</v>
      </c>
      <c r="G2124" s="4" t="s">
        <v>56</v>
      </c>
      <c r="H2124" s="1">
        <v>300</v>
      </c>
    </row>
    <row r="2125" spans="2:8" x14ac:dyDescent="0.2">
      <c r="B2125" t="str">
        <f>VLOOKUP(G2125,PC!B:D,3,FALSE)</f>
        <v>DESPESA PESSOAL</v>
      </c>
      <c r="C2125" s="22">
        <v>2023</v>
      </c>
      <c r="D2125" t="s">
        <v>44</v>
      </c>
      <c r="F2125" t="str">
        <f>VLOOKUP(G2125,PC!B:D,2,FALSE)</f>
        <v>DESPESA PESSOAL</v>
      </c>
      <c r="G2125" s="4" t="s">
        <v>56</v>
      </c>
      <c r="H2125" s="1">
        <v>40</v>
      </c>
    </row>
    <row r="2126" spans="2:8" x14ac:dyDescent="0.2">
      <c r="B2126" t="str">
        <f>VLOOKUP(G2126,PC!B:D,3,FALSE)</f>
        <v>RECEITA</v>
      </c>
      <c r="C2126" s="22">
        <v>2023</v>
      </c>
      <c r="D2126" t="s">
        <v>44</v>
      </c>
      <c r="F2126" t="str">
        <f>VLOOKUP(G2126,PC!B:D,2,FALSE)</f>
        <v>RECEITA</v>
      </c>
      <c r="G2126" s="4" t="s">
        <v>54</v>
      </c>
      <c r="H2126" s="1">
        <v>3800</v>
      </c>
    </row>
    <row r="2127" spans="2:8" x14ac:dyDescent="0.2">
      <c r="B2127" t="str">
        <f>VLOOKUP(G2127,PC!B:D,3,FALSE)</f>
        <v>RECEITA</v>
      </c>
      <c r="C2127" s="22">
        <v>2023</v>
      </c>
      <c r="D2127" t="s">
        <v>44</v>
      </c>
      <c r="F2127" t="str">
        <f>VLOOKUP(G2127,PC!B:D,2,FALSE)</f>
        <v>RECEITA</v>
      </c>
      <c r="G2127" s="4" t="s">
        <v>54</v>
      </c>
      <c r="H2127" s="1">
        <f>17+70+20+350+1700</f>
        <v>2157</v>
      </c>
    </row>
    <row r="2128" spans="2:8" x14ac:dyDescent="0.2">
      <c r="B2128" t="str">
        <f>VLOOKUP(G2128,PC!B:D,3,FALSE)</f>
        <v>DESPESA PESSOAL</v>
      </c>
      <c r="C2128" s="22">
        <v>2023</v>
      </c>
      <c r="D2128" t="s">
        <v>44</v>
      </c>
      <c r="F2128" t="str">
        <f>VLOOKUP(G2128,PC!B:D,2,FALSE)</f>
        <v>DESPESA PESSOAL</v>
      </c>
      <c r="G2128" s="4" t="s">
        <v>56</v>
      </c>
      <c r="H2128" s="1">
        <v>350</v>
      </c>
    </row>
    <row r="2129" spans="2:8" x14ac:dyDescent="0.2">
      <c r="B2129" t="str">
        <f>VLOOKUP(G2129,PC!B:D,3,FALSE)</f>
        <v>DESPESA PESSOAL</v>
      </c>
      <c r="C2129" s="22">
        <v>2023</v>
      </c>
      <c r="D2129" t="s">
        <v>44</v>
      </c>
      <c r="F2129" t="str">
        <f>VLOOKUP(G2129,PC!B:D,2,FALSE)</f>
        <v>DESPESA PESSOAL</v>
      </c>
      <c r="G2129" s="4" t="s">
        <v>124</v>
      </c>
      <c r="H2129" s="1">
        <v>500</v>
      </c>
    </row>
    <row r="2130" spans="2:8" x14ac:dyDescent="0.2">
      <c r="B2130" t="str">
        <f>VLOOKUP(G2130,PC!B:D,3,FALSE)</f>
        <v>RECEITA</v>
      </c>
      <c r="C2130" s="22">
        <v>2023</v>
      </c>
      <c r="D2130" t="s">
        <v>44</v>
      </c>
      <c r="F2130" t="str">
        <f>VLOOKUP(G2130,PC!B:D,2,FALSE)</f>
        <v>RECEITA</v>
      </c>
      <c r="G2130" s="4" t="s">
        <v>54</v>
      </c>
      <c r="H2130" s="1">
        <v>900</v>
      </c>
    </row>
    <row r="2131" spans="2:8" x14ac:dyDescent="0.2">
      <c r="B2131" t="str">
        <f>VLOOKUP(G2131,PC!B:D,3,FALSE)</f>
        <v>RECEITA</v>
      </c>
      <c r="C2131" s="22">
        <v>2023</v>
      </c>
      <c r="D2131" t="s">
        <v>44</v>
      </c>
      <c r="F2131" t="str">
        <f>VLOOKUP(G2131,PC!B:D,2,FALSE)</f>
        <v>RECEITA</v>
      </c>
      <c r="G2131" s="4" t="s">
        <v>54</v>
      </c>
      <c r="H2131" s="1">
        <f>84.75+1000+400</f>
        <v>1484.75</v>
      </c>
    </row>
    <row r="2132" spans="2:8" x14ac:dyDescent="0.2">
      <c r="B2132" t="str">
        <f>VLOOKUP(G2132,PC!B:D,3,FALSE)</f>
        <v>RECEITA</v>
      </c>
      <c r="C2132" s="22">
        <v>2023</v>
      </c>
      <c r="D2132" t="s">
        <v>44</v>
      </c>
      <c r="F2132" t="str">
        <f>VLOOKUP(G2132,PC!B:D,2,FALSE)</f>
        <v>RECEITA</v>
      </c>
      <c r="G2132" s="4" t="s">
        <v>54</v>
      </c>
      <c r="H2132" s="1">
        <f>370+62+600+85+1200</f>
        <v>2317</v>
      </c>
    </row>
    <row r="2133" spans="2:8" x14ac:dyDescent="0.2">
      <c r="B2133" t="str">
        <f>VLOOKUP(G2133,PC!B:D,3,FALSE)</f>
        <v>DESPESA OPERACIONAL</v>
      </c>
      <c r="C2133" s="22">
        <v>2023</v>
      </c>
      <c r="D2133" t="s">
        <v>44</v>
      </c>
      <c r="F2133" t="str">
        <f>VLOOKUP(G2133,PC!B:D,2,FALSE)</f>
        <v>DESPESA OPERACIONAL</v>
      </c>
      <c r="G2133" s="4" t="s">
        <v>76</v>
      </c>
      <c r="H2133" s="1">
        <v>62</v>
      </c>
    </row>
    <row r="2134" spans="2:8" x14ac:dyDescent="0.2">
      <c r="B2134" t="str">
        <f>VLOOKUP(G2134,PC!B:D,3,FALSE)</f>
        <v>RECEITA</v>
      </c>
      <c r="C2134" s="22">
        <v>2023</v>
      </c>
      <c r="D2134" t="s">
        <v>44</v>
      </c>
      <c r="F2134" t="str">
        <f>VLOOKUP(G2134,PC!B:D,2,FALSE)</f>
        <v>RECEITA</v>
      </c>
      <c r="G2134" s="4" t="s">
        <v>54</v>
      </c>
      <c r="H2134" s="1">
        <f>2230+52+112+40</f>
        <v>2434</v>
      </c>
    </row>
    <row r="2135" spans="2:8" x14ac:dyDescent="0.2">
      <c r="B2135" t="str">
        <f>VLOOKUP(G2135,PC!B:D,3,FALSE)</f>
        <v>DESPESA OPERACIONAL</v>
      </c>
      <c r="C2135" s="22">
        <v>2023</v>
      </c>
      <c r="D2135" t="s">
        <v>44</v>
      </c>
      <c r="F2135" t="str">
        <f>VLOOKUP(G2135,PC!B:D,2,FALSE)</f>
        <v>DESPESA OPERACIONAL</v>
      </c>
      <c r="G2135" s="4" t="s">
        <v>70</v>
      </c>
      <c r="H2135" s="1">
        <v>112</v>
      </c>
    </row>
    <row r="2136" spans="2:8" x14ac:dyDescent="0.2">
      <c r="B2136" t="str">
        <f>VLOOKUP(G2136,PC!B:D,3,FALSE)</f>
        <v>CPV</v>
      </c>
      <c r="C2136" s="22">
        <v>2023</v>
      </c>
      <c r="D2136" t="s">
        <v>44</v>
      </c>
      <c r="E2136" t="s">
        <v>129</v>
      </c>
      <c r="F2136" t="str">
        <f>VLOOKUP(G2136,PC!B:D,2,FALSE)</f>
        <v>COMIDA</v>
      </c>
      <c r="G2136" s="4" t="s">
        <v>12</v>
      </c>
      <c r="H2136" s="1">
        <v>52</v>
      </c>
    </row>
    <row r="2137" spans="2:8" x14ac:dyDescent="0.2">
      <c r="B2137" t="str">
        <f>VLOOKUP(G2137,PC!B:D,3,FALSE)</f>
        <v>RECEITA</v>
      </c>
      <c r="C2137" s="22">
        <v>2023</v>
      </c>
      <c r="D2137" t="s">
        <v>44</v>
      </c>
      <c r="F2137" t="str">
        <f>VLOOKUP(G2137,PC!B:D,2,FALSE)</f>
        <v>RECEITA</v>
      </c>
      <c r="G2137" s="4" t="s">
        <v>54</v>
      </c>
      <c r="H2137" s="1">
        <v>1600</v>
      </c>
    </row>
    <row r="2138" spans="2:8" x14ac:dyDescent="0.2">
      <c r="B2138" t="str">
        <f>VLOOKUP(G2138,PC!B:D,3,FALSE)</f>
        <v>RECEITA</v>
      </c>
      <c r="C2138" s="22">
        <v>2023</v>
      </c>
      <c r="D2138" t="s">
        <v>44</v>
      </c>
      <c r="F2138" t="str">
        <f>VLOOKUP(G2138,PC!B:D,2,FALSE)</f>
        <v>RECEITA</v>
      </c>
      <c r="G2138" s="4" t="s">
        <v>54</v>
      </c>
      <c r="H2138" s="1">
        <f>300+1000+280</f>
        <v>1580</v>
      </c>
    </row>
    <row r="2139" spans="2:8" x14ac:dyDescent="0.2">
      <c r="B2139" t="str">
        <f>VLOOKUP(G2139,PC!B:D,3,FALSE)</f>
        <v>CPV</v>
      </c>
      <c r="C2139" s="22">
        <v>2023</v>
      </c>
      <c r="D2139" t="s">
        <v>44</v>
      </c>
      <c r="E2139" t="s">
        <v>129</v>
      </c>
      <c r="F2139" t="str">
        <f>VLOOKUP(G2139,PC!B:D,2,FALSE)</f>
        <v>COMIDA</v>
      </c>
      <c r="G2139" s="4" t="s">
        <v>12</v>
      </c>
      <c r="H2139" s="1">
        <v>500</v>
      </c>
    </row>
    <row r="2140" spans="2:8" x14ac:dyDescent="0.2">
      <c r="B2140" t="str">
        <f>VLOOKUP(G2140,PC!B:D,3,FALSE)</f>
        <v>DESPESA OPERACIONAL</v>
      </c>
      <c r="C2140" s="22">
        <v>2023</v>
      </c>
      <c r="D2140" t="s">
        <v>44</v>
      </c>
      <c r="F2140" t="str">
        <f>VLOOKUP(G2140,PC!B:D,2,FALSE)</f>
        <v>DESPESA OPERACIONAL</v>
      </c>
      <c r="G2140" s="4" t="s">
        <v>73</v>
      </c>
      <c r="H2140" s="1">
        <v>1790.32</v>
      </c>
    </row>
    <row r="2141" spans="2:8" x14ac:dyDescent="0.2">
      <c r="B2141" t="str">
        <f>VLOOKUP(G2141,PC!B:D,3,FALSE)</f>
        <v>CPV</v>
      </c>
      <c r="C2141" s="22">
        <v>2023</v>
      </c>
      <c r="D2141" t="s">
        <v>44</v>
      </c>
      <c r="E2141" t="s">
        <v>129</v>
      </c>
      <c r="F2141" t="str">
        <f>VLOOKUP(G2141,PC!B:D,2,FALSE)</f>
        <v>COMIDA</v>
      </c>
      <c r="G2141" s="4" t="s">
        <v>145</v>
      </c>
      <c r="H2141" s="1">
        <v>40</v>
      </c>
    </row>
    <row r="2142" spans="2:8" x14ac:dyDescent="0.2">
      <c r="B2142" t="str">
        <f>VLOOKUP(G2142,PC!B:D,3,FALSE)</f>
        <v>CPV</v>
      </c>
      <c r="C2142" s="22">
        <v>2023</v>
      </c>
      <c r="D2142" t="s">
        <v>44</v>
      </c>
      <c r="E2142" t="s">
        <v>129</v>
      </c>
      <c r="F2142" t="str">
        <f>VLOOKUP(G2142,PC!B:D,2,FALSE)</f>
        <v>SOBREMESA</v>
      </c>
      <c r="G2142" s="4" t="s">
        <v>7</v>
      </c>
      <c r="H2142" s="1">
        <v>40</v>
      </c>
    </row>
    <row r="2143" spans="2:8" x14ac:dyDescent="0.2">
      <c r="B2143" t="str">
        <f>VLOOKUP(G2143,PC!B:D,3,FALSE)</f>
        <v>CPV</v>
      </c>
      <c r="C2143" s="22">
        <v>2023</v>
      </c>
      <c r="D2143" t="s">
        <v>44</v>
      </c>
      <c r="E2143" t="s">
        <v>13</v>
      </c>
      <c r="F2143" t="str">
        <f>VLOOKUP(G2143,PC!B:D,2,FALSE)</f>
        <v>COMIDA</v>
      </c>
      <c r="G2143" s="4" t="s">
        <v>33</v>
      </c>
      <c r="H2143" s="1">
        <v>337.11</v>
      </c>
    </row>
    <row r="2144" spans="2:8" x14ac:dyDescent="0.2">
      <c r="B2144" t="str">
        <f>VLOOKUP(G2144,PC!B:D,3,FALSE)</f>
        <v>CPV</v>
      </c>
      <c r="C2144" s="22">
        <v>2023</v>
      </c>
      <c r="D2144" t="s">
        <v>44</v>
      </c>
      <c r="E2144" t="s">
        <v>28</v>
      </c>
      <c r="F2144" t="str">
        <f>VLOOKUP(G2144,PC!B:D,2,FALSE)</f>
        <v>BEBIDAS</v>
      </c>
      <c r="G2144" s="4" t="s">
        <v>26</v>
      </c>
      <c r="H2144" s="1">
        <v>371.81</v>
      </c>
    </row>
    <row r="2145" spans="2:8" x14ac:dyDescent="0.2">
      <c r="B2145" t="str">
        <f>VLOOKUP(G2145,PC!B:D,3,FALSE)</f>
        <v>CPV</v>
      </c>
      <c r="C2145" s="22">
        <v>2023</v>
      </c>
      <c r="D2145" t="s">
        <v>44</v>
      </c>
      <c r="E2145" t="s">
        <v>28</v>
      </c>
      <c r="F2145" t="str">
        <f>VLOOKUP(G2145,PC!B:D,2,FALSE)</f>
        <v>BEBIDAS</v>
      </c>
      <c r="G2145" s="4" t="s">
        <v>26</v>
      </c>
      <c r="H2145" s="1">
        <v>1078.6300000000001</v>
      </c>
    </row>
    <row r="2146" spans="2:8" x14ac:dyDescent="0.2">
      <c r="B2146" t="str">
        <f>VLOOKUP(G2146,PC!B:D,3,FALSE)</f>
        <v>CPV</v>
      </c>
      <c r="C2146" s="22">
        <v>2023</v>
      </c>
      <c r="D2146" t="s">
        <v>44</v>
      </c>
      <c r="E2146" t="s">
        <v>129</v>
      </c>
      <c r="F2146" t="str">
        <f>VLOOKUP(G2146,PC!B:D,2,FALSE)</f>
        <v>COMIDA</v>
      </c>
      <c r="G2146" s="4" t="s">
        <v>155</v>
      </c>
      <c r="H2146" s="1">
        <v>370</v>
      </c>
    </row>
    <row r="2147" spans="2:8" x14ac:dyDescent="0.2">
      <c r="B2147" t="str">
        <f>VLOOKUP(G2147,PC!B:D,3,FALSE)</f>
        <v>CPV</v>
      </c>
      <c r="C2147" s="22">
        <v>2023</v>
      </c>
      <c r="D2147" t="s">
        <v>44</v>
      </c>
      <c r="E2147" t="s">
        <v>129</v>
      </c>
      <c r="F2147" t="str">
        <f>VLOOKUP(G2147,PC!B:D,2,FALSE)</f>
        <v>SOBREMESA</v>
      </c>
      <c r="G2147" s="4" t="s">
        <v>7</v>
      </c>
      <c r="H2147" s="1">
        <v>230</v>
      </c>
    </row>
    <row r="2148" spans="2:8" x14ac:dyDescent="0.2">
      <c r="B2148" t="str">
        <f>VLOOKUP(G2148,PC!B:D,3,FALSE)</f>
        <v>CPV</v>
      </c>
      <c r="C2148" s="22">
        <v>2023</v>
      </c>
      <c r="D2148" t="s">
        <v>44</v>
      </c>
      <c r="E2148" t="s">
        <v>30</v>
      </c>
      <c r="F2148" t="str">
        <f>VLOOKUP(G2148,PC!B:D,2,FALSE)</f>
        <v>SOBREMESA</v>
      </c>
      <c r="G2148" s="4" t="s">
        <v>23</v>
      </c>
      <c r="H2148" s="1">
        <v>187.46</v>
      </c>
    </row>
    <row r="2149" spans="2:8" x14ac:dyDescent="0.2">
      <c r="B2149" t="str">
        <f>VLOOKUP(G2149,PC!B:D,3,FALSE)</f>
        <v>CPV</v>
      </c>
      <c r="C2149" s="22">
        <v>2023</v>
      </c>
      <c r="D2149" t="s">
        <v>44</v>
      </c>
      <c r="E2149" t="s">
        <v>6</v>
      </c>
      <c r="F2149" t="str">
        <f>VLOOKUP(G2149,PC!B:D,2,FALSE)</f>
        <v>COMIDA</v>
      </c>
      <c r="G2149" s="4" t="s">
        <v>145</v>
      </c>
      <c r="H2149" s="1">
        <v>49.2</v>
      </c>
    </row>
    <row r="2150" spans="2:8" x14ac:dyDescent="0.2">
      <c r="B2150" t="str">
        <f>VLOOKUP(G2150,PC!B:D,3,FALSE)</f>
        <v>CPV</v>
      </c>
      <c r="C2150" s="22">
        <v>2023</v>
      </c>
      <c r="D2150" t="s">
        <v>44</v>
      </c>
      <c r="E2150" t="s">
        <v>28</v>
      </c>
      <c r="F2150" t="str">
        <f>VLOOKUP(G2150,PC!B:D,2,FALSE)</f>
        <v>BEBIDAS</v>
      </c>
      <c r="G2150" s="4" t="s">
        <v>26</v>
      </c>
      <c r="H2150" s="1">
        <v>2866.56</v>
      </c>
    </row>
    <row r="2151" spans="2:8" x14ac:dyDescent="0.2">
      <c r="B2151" t="str">
        <f>VLOOKUP(G2151,PC!B:D,3,FALSE)</f>
        <v>DESPESA OPERACIONAL</v>
      </c>
      <c r="C2151" s="22">
        <v>2023</v>
      </c>
      <c r="D2151" t="s">
        <v>44</v>
      </c>
      <c r="F2151" t="str">
        <f>VLOOKUP(G2151,PC!B:D,2,FALSE)</f>
        <v>DESPESA OPERACIONAL</v>
      </c>
      <c r="G2151" s="4" t="s">
        <v>73</v>
      </c>
      <c r="H2151" s="1">
        <v>880.27</v>
      </c>
    </row>
    <row r="2152" spans="2:8" x14ac:dyDescent="0.2">
      <c r="B2152" t="str">
        <f>VLOOKUP(G2152,PC!B:D,3,FALSE)</f>
        <v>RECEITA</v>
      </c>
      <c r="C2152" s="22">
        <v>2023</v>
      </c>
      <c r="D2152" t="s">
        <v>44</v>
      </c>
      <c r="F2152" t="str">
        <f>VLOOKUP(G2152,PC!B:D,2,FALSE)</f>
        <v>RECEITA</v>
      </c>
      <c r="G2152" s="4" t="s">
        <v>64</v>
      </c>
      <c r="H2152" s="1">
        <v>20.23</v>
      </c>
    </row>
    <row r="2153" spans="2:8" x14ac:dyDescent="0.2">
      <c r="B2153" t="str">
        <f>VLOOKUP(G2153,PC!B:D,3,FALSE)</f>
        <v>CPV</v>
      </c>
      <c r="C2153" s="22">
        <v>2023</v>
      </c>
      <c r="D2153" t="s">
        <v>74</v>
      </c>
      <c r="E2153" t="s">
        <v>28</v>
      </c>
      <c r="F2153" t="str">
        <f>VLOOKUP(G2153,PC!B:D,2,FALSE)</f>
        <v>BEBIDAS</v>
      </c>
      <c r="G2153" s="4" t="s">
        <v>26</v>
      </c>
      <c r="H2153" s="1">
        <v>1022.61</v>
      </c>
    </row>
    <row r="2154" spans="2:8" x14ac:dyDescent="0.2">
      <c r="B2154" t="str">
        <f>VLOOKUP(G2154,PC!B:D,3,FALSE)</f>
        <v>CPV</v>
      </c>
      <c r="C2154" s="22">
        <v>2023</v>
      </c>
      <c r="D2154" t="s">
        <v>74</v>
      </c>
      <c r="E2154" t="s">
        <v>49</v>
      </c>
      <c r="F2154" t="str">
        <f>VLOOKUP(G2154,PC!B:D,2,FALSE)</f>
        <v>CIGARRO</v>
      </c>
      <c r="G2154" s="4" t="s">
        <v>52</v>
      </c>
      <c r="H2154" s="1">
        <v>5006.46</v>
      </c>
    </row>
    <row r="2155" spans="2:8" x14ac:dyDescent="0.2">
      <c r="B2155" t="str">
        <f>VLOOKUP(G2155,PC!B:D,3,FALSE)</f>
        <v>CPV</v>
      </c>
      <c r="C2155" s="22">
        <v>2023</v>
      </c>
      <c r="D2155" t="s">
        <v>74</v>
      </c>
      <c r="E2155" t="s">
        <v>129</v>
      </c>
      <c r="F2155" t="str">
        <f>VLOOKUP(G2155,PC!B:D,2,FALSE)</f>
        <v>COMIDA</v>
      </c>
      <c r="G2155" s="4" t="s">
        <v>18</v>
      </c>
      <c r="H2155" s="1">
        <v>43.5</v>
      </c>
    </row>
    <row r="2156" spans="2:8" x14ac:dyDescent="0.2">
      <c r="B2156" t="str">
        <f>VLOOKUP(G2156,PC!B:D,3,FALSE)</f>
        <v>CPV</v>
      </c>
      <c r="C2156" s="22">
        <v>2023</v>
      </c>
      <c r="D2156" t="s">
        <v>74</v>
      </c>
      <c r="E2156" t="s">
        <v>101</v>
      </c>
      <c r="F2156" t="str">
        <f>VLOOKUP(G2156,PC!B:D,2,FALSE)</f>
        <v>COMIDA</v>
      </c>
      <c r="G2156" s="4" t="s">
        <v>34</v>
      </c>
      <c r="H2156" s="1">
        <v>172.67</v>
      </c>
    </row>
    <row r="2157" spans="2:8" x14ac:dyDescent="0.2">
      <c r="B2157" t="str">
        <f>VLOOKUP(G2157,PC!B:D,3,FALSE)</f>
        <v>CPV</v>
      </c>
      <c r="C2157" s="22">
        <v>2023</v>
      </c>
      <c r="D2157" t="s">
        <v>74</v>
      </c>
      <c r="E2157" t="s">
        <v>24</v>
      </c>
      <c r="F2157" t="str">
        <f>VLOOKUP(G2157,PC!B:D,2,FALSE)</f>
        <v>COMIDA</v>
      </c>
      <c r="G2157" s="4" t="s">
        <v>33</v>
      </c>
      <c r="H2157" s="1">
        <v>790.54</v>
      </c>
    </row>
    <row r="2158" spans="2:8" x14ac:dyDescent="0.2">
      <c r="B2158" t="str">
        <f>VLOOKUP(G2158,PC!B:D,3,FALSE)</f>
        <v>CPV</v>
      </c>
      <c r="C2158" s="22">
        <v>2023</v>
      </c>
      <c r="D2158" t="s">
        <v>74</v>
      </c>
      <c r="E2158" t="s">
        <v>14</v>
      </c>
      <c r="F2158" t="str">
        <f>VLOOKUP(G2158,PC!B:D,2,FALSE)</f>
        <v>BEBIDAS</v>
      </c>
      <c r="G2158" s="4" t="s">
        <v>25</v>
      </c>
      <c r="H2158" s="1">
        <v>516.73</v>
      </c>
    </row>
    <row r="2159" spans="2:8" x14ac:dyDescent="0.2">
      <c r="B2159" t="str">
        <f>VLOOKUP(G2159,PC!B:D,3,FALSE)</f>
        <v>CPV</v>
      </c>
      <c r="C2159" s="22">
        <v>2023</v>
      </c>
      <c r="D2159" t="s">
        <v>74</v>
      </c>
      <c r="E2159" t="s">
        <v>100</v>
      </c>
      <c r="F2159" t="str">
        <f>VLOOKUP(G2159,PC!B:D,2,FALSE)</f>
        <v>SOBREMESA</v>
      </c>
      <c r="G2159" s="4" t="s">
        <v>23</v>
      </c>
      <c r="H2159" s="1">
        <v>96.58</v>
      </c>
    </row>
    <row r="2160" spans="2:8" x14ac:dyDescent="0.2">
      <c r="B2160" t="str">
        <f>VLOOKUP(G2160,PC!B:D,3,FALSE)</f>
        <v>CPV</v>
      </c>
      <c r="C2160" s="22">
        <v>2023</v>
      </c>
      <c r="D2160" t="s">
        <v>74</v>
      </c>
      <c r="E2160" t="s">
        <v>6</v>
      </c>
      <c r="F2160" t="str">
        <f>VLOOKUP(G2160,PC!B:D,2,FALSE)</f>
        <v>COMIDA</v>
      </c>
      <c r="G2160" s="4" t="s">
        <v>145</v>
      </c>
      <c r="H2160" s="1">
        <v>22.4</v>
      </c>
    </row>
    <row r="2161" spans="2:8" x14ac:dyDescent="0.2">
      <c r="B2161" t="str">
        <f>VLOOKUP(G2161,PC!B:D,3,FALSE)</f>
        <v>CPV</v>
      </c>
      <c r="C2161" s="22">
        <v>2023</v>
      </c>
      <c r="D2161" t="s">
        <v>74</v>
      </c>
      <c r="E2161" t="s">
        <v>16</v>
      </c>
      <c r="F2161" t="str">
        <f>VLOOKUP(G2161,PC!B:D,2,FALSE)</f>
        <v>COMIDA</v>
      </c>
      <c r="G2161" s="4" t="s">
        <v>12</v>
      </c>
      <c r="H2161" s="1">
        <v>347.41</v>
      </c>
    </row>
    <row r="2162" spans="2:8" x14ac:dyDescent="0.2">
      <c r="B2162" t="str">
        <f>VLOOKUP(G2162,PC!B:D,3,FALSE)</f>
        <v>CPV</v>
      </c>
      <c r="C2162" s="22">
        <v>2023</v>
      </c>
      <c r="D2162" t="s">
        <v>74</v>
      </c>
      <c r="E2162" t="s">
        <v>28</v>
      </c>
      <c r="F2162" t="str">
        <f>VLOOKUP(G2162,PC!B:D,2,FALSE)</f>
        <v>BEBIDAS</v>
      </c>
      <c r="G2162" s="4" t="s">
        <v>26</v>
      </c>
      <c r="H2162" s="1">
        <v>988.83</v>
      </c>
    </row>
    <row r="2163" spans="2:8" x14ac:dyDescent="0.2">
      <c r="B2163" t="str">
        <f>VLOOKUP(G2163,PC!B:D,3,FALSE)</f>
        <v>CPV</v>
      </c>
      <c r="C2163" s="22">
        <v>2023</v>
      </c>
      <c r="D2163" t="s">
        <v>74</v>
      </c>
      <c r="E2163" t="s">
        <v>30</v>
      </c>
      <c r="F2163" t="str">
        <f>VLOOKUP(G2163,PC!B:D,2,FALSE)</f>
        <v>SOBREMESA</v>
      </c>
      <c r="G2163" s="4" t="s">
        <v>23</v>
      </c>
      <c r="H2163" s="1">
        <v>341.31</v>
      </c>
    </row>
    <row r="2164" spans="2:8" x14ac:dyDescent="0.2">
      <c r="B2164" t="str">
        <f>VLOOKUP(G2164,PC!B:D,3,FALSE)</f>
        <v>CPV</v>
      </c>
      <c r="C2164" s="22">
        <v>2023</v>
      </c>
      <c r="D2164" t="s">
        <v>74</v>
      </c>
      <c r="E2164" t="s">
        <v>14</v>
      </c>
      <c r="F2164" t="str">
        <f>VLOOKUP(G2164,PC!B:D,2,FALSE)</f>
        <v>BEBIDAS</v>
      </c>
      <c r="G2164" s="4" t="s">
        <v>25</v>
      </c>
      <c r="H2164" s="1">
        <v>471.08</v>
      </c>
    </row>
    <row r="2165" spans="2:8" x14ac:dyDescent="0.2">
      <c r="B2165" t="str">
        <f>VLOOKUP(G2165,PC!B:D,3,FALSE)</f>
        <v>CPV</v>
      </c>
      <c r="C2165" s="22">
        <v>2023</v>
      </c>
      <c r="D2165" t="s">
        <v>74</v>
      </c>
      <c r="E2165" t="s">
        <v>160</v>
      </c>
      <c r="F2165" t="str">
        <f>VLOOKUP(G2165,PC!B:D,2,FALSE)</f>
        <v>OUTROS</v>
      </c>
      <c r="G2165" s="4" t="s">
        <v>37</v>
      </c>
      <c r="H2165" s="1">
        <v>309.55</v>
      </c>
    </row>
    <row r="2166" spans="2:8" x14ac:dyDescent="0.2">
      <c r="B2166" t="str">
        <f>VLOOKUP(G2166,PC!B:D,3,FALSE)</f>
        <v>CPV</v>
      </c>
      <c r="C2166" s="22">
        <v>2023</v>
      </c>
      <c r="D2166" t="s">
        <v>74</v>
      </c>
      <c r="E2166" t="s">
        <v>21</v>
      </c>
      <c r="F2166" t="str">
        <f>VLOOKUP(G2166,PC!B:D,2,FALSE)</f>
        <v>SOBREMESA</v>
      </c>
      <c r="G2166" s="4" t="s">
        <v>23</v>
      </c>
      <c r="H2166" s="1">
        <v>174.5</v>
      </c>
    </row>
    <row r="2167" spans="2:8" x14ac:dyDescent="0.2">
      <c r="B2167" t="str">
        <f>VLOOKUP(G2167,PC!B:D,3,FALSE)</f>
        <v>CPV</v>
      </c>
      <c r="C2167" s="22">
        <v>2023</v>
      </c>
      <c r="D2167" t="s">
        <v>74</v>
      </c>
      <c r="E2167" t="s">
        <v>156</v>
      </c>
      <c r="F2167" t="str">
        <f>VLOOKUP(G2167,PC!B:D,2,FALSE)</f>
        <v>BEBIDAS</v>
      </c>
      <c r="G2167" s="4" t="s">
        <v>48</v>
      </c>
      <c r="H2167" s="1">
        <v>127.3</v>
      </c>
    </row>
    <row r="2168" spans="2:8" x14ac:dyDescent="0.2">
      <c r="B2168" t="str">
        <f>VLOOKUP(G2168,PC!B:D,3,FALSE)</f>
        <v>CPV</v>
      </c>
      <c r="C2168" s="22">
        <v>2023</v>
      </c>
      <c r="D2168" t="s">
        <v>74</v>
      </c>
      <c r="E2168" t="s">
        <v>20</v>
      </c>
      <c r="F2168" t="str">
        <f>VLOOKUP(G2168,PC!B:D,2,FALSE)</f>
        <v>COMIDA</v>
      </c>
      <c r="G2168" s="4" t="s">
        <v>29</v>
      </c>
      <c r="H2168" s="1">
        <v>55.68</v>
      </c>
    </row>
    <row r="2169" spans="2:8" x14ac:dyDescent="0.2">
      <c r="B2169" t="str">
        <f>VLOOKUP(G2169,PC!B:D,3,FALSE)</f>
        <v>RECEITA</v>
      </c>
      <c r="C2169" s="22">
        <v>2023</v>
      </c>
      <c r="D2169" t="s">
        <v>74</v>
      </c>
      <c r="F2169" t="str">
        <f>VLOOKUP(G2169,PC!B:D,2,FALSE)</f>
        <v>RECEITA</v>
      </c>
      <c r="G2169" s="4" t="s">
        <v>83</v>
      </c>
      <c r="H2169" s="1">
        <v>29.5</v>
      </c>
    </row>
    <row r="2170" spans="2:8" x14ac:dyDescent="0.2">
      <c r="B2170" t="str">
        <f>VLOOKUP(G2170,PC!B:D,3,FALSE)</f>
        <v>CPV</v>
      </c>
      <c r="C2170" s="22">
        <v>2023</v>
      </c>
      <c r="D2170" t="s">
        <v>74</v>
      </c>
      <c r="E2170" t="s">
        <v>129</v>
      </c>
      <c r="F2170" t="str">
        <f>VLOOKUP(G2170,PC!B:D,2,FALSE)</f>
        <v>BEBIDAS</v>
      </c>
      <c r="G2170" s="4" t="s">
        <v>48</v>
      </c>
      <c r="H2170" s="1">
        <v>162</v>
      </c>
    </row>
    <row r="2171" spans="2:8" x14ac:dyDescent="0.2">
      <c r="B2171" t="str">
        <f>VLOOKUP(G2171,PC!B:D,3,FALSE)</f>
        <v>CPV</v>
      </c>
      <c r="C2171" s="22">
        <v>2023</v>
      </c>
      <c r="D2171" t="s">
        <v>74</v>
      </c>
      <c r="E2171" t="s">
        <v>5</v>
      </c>
      <c r="F2171" t="str">
        <f>VLOOKUP(G2171,PC!B:D,2,FALSE)</f>
        <v>COMIDA</v>
      </c>
      <c r="G2171" s="4" t="s">
        <v>18</v>
      </c>
      <c r="H2171" s="1">
        <v>204.51</v>
      </c>
    </row>
    <row r="2172" spans="2:8" x14ac:dyDescent="0.2">
      <c r="B2172" t="str">
        <f>VLOOKUP(G2172,PC!B:D,3,FALSE)</f>
        <v>CPV</v>
      </c>
      <c r="C2172" s="22">
        <v>2023</v>
      </c>
      <c r="D2172" t="s">
        <v>74</v>
      </c>
      <c r="E2172" t="s">
        <v>159</v>
      </c>
      <c r="F2172" t="str">
        <f>VLOOKUP(G2172,PC!B:D,2,FALSE)</f>
        <v>COMIDA</v>
      </c>
      <c r="G2172" s="4" t="s">
        <v>18</v>
      </c>
      <c r="H2172" s="1">
        <v>150.16999999999999</v>
      </c>
    </row>
    <row r="2173" spans="2:8" x14ac:dyDescent="0.2">
      <c r="B2173" t="str">
        <f>VLOOKUP(G2173,PC!B:D,3,FALSE)</f>
        <v>CPV</v>
      </c>
      <c r="C2173" s="22">
        <v>2023</v>
      </c>
      <c r="D2173" t="s">
        <v>74</v>
      </c>
      <c r="E2173" t="s">
        <v>40</v>
      </c>
      <c r="F2173" t="str">
        <f>VLOOKUP(G2173,PC!B:D,2,FALSE)</f>
        <v>BEBIDAS</v>
      </c>
      <c r="G2173" s="4" t="s">
        <v>26</v>
      </c>
      <c r="H2173" s="1">
        <v>24</v>
      </c>
    </row>
    <row r="2174" spans="2:8" x14ac:dyDescent="0.2">
      <c r="B2174" t="str">
        <f>VLOOKUP(G2174,PC!B:D,3,FALSE)</f>
        <v>CPV</v>
      </c>
      <c r="C2174" s="22">
        <v>2023</v>
      </c>
      <c r="D2174" t="s">
        <v>74</v>
      </c>
      <c r="E2174" t="s">
        <v>40</v>
      </c>
      <c r="F2174" t="str">
        <f>VLOOKUP(G2174,PC!B:D,2,FALSE)</f>
        <v>BEBIDAS</v>
      </c>
      <c r="G2174" s="4" t="s">
        <v>26</v>
      </c>
      <c r="H2174" s="1">
        <v>1486.3</v>
      </c>
    </row>
    <row r="2175" spans="2:8" x14ac:dyDescent="0.2">
      <c r="B2175" t="str">
        <f>VLOOKUP(G2175,PC!B:D,3,FALSE)</f>
        <v>CPV</v>
      </c>
      <c r="C2175" s="22">
        <v>2023</v>
      </c>
      <c r="D2175" t="s">
        <v>74</v>
      </c>
      <c r="E2175" t="s">
        <v>159</v>
      </c>
      <c r="F2175" t="str">
        <f>VLOOKUP(G2175,PC!B:D,2,FALSE)</f>
        <v>COMIDA</v>
      </c>
      <c r="G2175" s="4" t="s">
        <v>145</v>
      </c>
      <c r="H2175" s="1">
        <v>292.39999999999998</v>
      </c>
    </row>
    <row r="2176" spans="2:8" x14ac:dyDescent="0.2">
      <c r="B2176" t="str">
        <f>VLOOKUP(G2176,PC!B:D,3,FALSE)</f>
        <v>CPV</v>
      </c>
      <c r="C2176" s="22">
        <v>2023</v>
      </c>
      <c r="D2176" t="s">
        <v>74</v>
      </c>
      <c r="E2176" t="s">
        <v>96</v>
      </c>
      <c r="F2176" t="str">
        <f>VLOOKUP(G2176,PC!B:D,2,FALSE)</f>
        <v>LIMPEZA</v>
      </c>
      <c r="G2176" s="4" t="s">
        <v>43</v>
      </c>
      <c r="H2176" s="1">
        <v>184.23</v>
      </c>
    </row>
    <row r="2177" spans="2:8" x14ac:dyDescent="0.2">
      <c r="B2177" t="str">
        <f>VLOOKUP(G2177,PC!B:D,3,FALSE)</f>
        <v>CPV</v>
      </c>
      <c r="C2177" s="22">
        <v>2023</v>
      </c>
      <c r="D2177" t="s">
        <v>74</v>
      </c>
      <c r="E2177" t="s">
        <v>21</v>
      </c>
      <c r="F2177" t="str">
        <f>VLOOKUP(G2177,PC!B:D,2,FALSE)</f>
        <v>SOBREMESA</v>
      </c>
      <c r="G2177" s="4" t="s">
        <v>23</v>
      </c>
      <c r="H2177" s="1">
        <v>72.52</v>
      </c>
    </row>
    <row r="2178" spans="2:8" x14ac:dyDescent="0.2">
      <c r="B2178" t="str">
        <f>VLOOKUP(G2178,PC!B:D,3,FALSE)</f>
        <v>CPV</v>
      </c>
      <c r="C2178" s="22">
        <v>2023</v>
      </c>
      <c r="D2178" t="s">
        <v>74</v>
      </c>
      <c r="E2178" t="s">
        <v>28</v>
      </c>
      <c r="F2178" t="str">
        <f>VLOOKUP(G2178,PC!B:D,2,FALSE)</f>
        <v>BEBIDAS</v>
      </c>
      <c r="G2178" s="4" t="s">
        <v>26</v>
      </c>
      <c r="H2178" s="1">
        <v>1336.33</v>
      </c>
    </row>
    <row r="2179" spans="2:8" x14ac:dyDescent="0.2">
      <c r="B2179" t="str">
        <f>VLOOKUP(G2179,PC!B:D,3,FALSE)</f>
        <v>CPV</v>
      </c>
      <c r="C2179" s="22">
        <v>2023</v>
      </c>
      <c r="D2179" t="s">
        <v>74</v>
      </c>
      <c r="E2179" t="s">
        <v>28</v>
      </c>
      <c r="F2179" t="str">
        <f>VLOOKUP(G2179,PC!B:D,2,FALSE)</f>
        <v>BEBIDAS</v>
      </c>
      <c r="G2179" s="4" t="s">
        <v>25</v>
      </c>
      <c r="H2179" s="1">
        <v>42.22</v>
      </c>
    </row>
    <row r="2180" spans="2:8" x14ac:dyDescent="0.2">
      <c r="B2180" t="str">
        <f>VLOOKUP(G2180,PC!B:D,3,FALSE)</f>
        <v>RECEITA</v>
      </c>
      <c r="C2180" s="22">
        <v>2023</v>
      </c>
      <c r="D2180" t="s">
        <v>74</v>
      </c>
      <c r="F2180" t="str">
        <f>VLOOKUP(G2180,PC!B:D,2,FALSE)</f>
        <v>RECEITA</v>
      </c>
      <c r="G2180" s="4" t="s">
        <v>83</v>
      </c>
      <c r="H2180" s="1">
        <v>24.47</v>
      </c>
    </row>
    <row r="2181" spans="2:8" x14ac:dyDescent="0.2">
      <c r="B2181" t="str">
        <f>VLOOKUP(G2181,PC!B:D,3,FALSE)</f>
        <v>CPV</v>
      </c>
      <c r="C2181" s="22">
        <v>2023</v>
      </c>
      <c r="D2181" t="s">
        <v>74</v>
      </c>
      <c r="E2181" t="s">
        <v>97</v>
      </c>
      <c r="F2181" t="str">
        <f>VLOOKUP(G2181,PC!B:D,2,FALSE)</f>
        <v>OUTROS</v>
      </c>
      <c r="G2181" s="4" t="s">
        <v>37</v>
      </c>
      <c r="H2181" s="1">
        <v>559.55999999999995</v>
      </c>
    </row>
    <row r="2182" spans="2:8" x14ac:dyDescent="0.2">
      <c r="B2182" t="str">
        <f>VLOOKUP(G2182,PC!B:D,3,FALSE)</f>
        <v>RECEITA</v>
      </c>
      <c r="C2182" s="22">
        <v>2023</v>
      </c>
      <c r="D2182" t="s">
        <v>74</v>
      </c>
      <c r="F2182" t="str">
        <f>VLOOKUP(G2182,PC!B:D,2,FALSE)</f>
        <v>RECEITA</v>
      </c>
      <c r="G2182" s="4" t="s">
        <v>83</v>
      </c>
      <c r="H2182" s="1">
        <v>24.47</v>
      </c>
    </row>
    <row r="2183" spans="2:8" x14ac:dyDescent="0.2">
      <c r="B2183" t="str">
        <f>VLOOKUP(G2183,PC!B:D,3,FALSE)</f>
        <v>CPV</v>
      </c>
      <c r="C2183" s="22">
        <v>2023</v>
      </c>
      <c r="D2183" t="s">
        <v>74</v>
      </c>
      <c r="E2183" t="s">
        <v>27</v>
      </c>
      <c r="F2183" t="str">
        <f>VLOOKUP(G2183,PC!B:D,2,FALSE)</f>
        <v>COMIDA</v>
      </c>
      <c r="G2183" s="4" t="s">
        <v>12</v>
      </c>
      <c r="H2183" s="1">
        <v>197.9</v>
      </c>
    </row>
    <row r="2184" spans="2:8" x14ac:dyDescent="0.2">
      <c r="B2184" t="str">
        <f>VLOOKUP(G2184,PC!B:D,3,FALSE)</f>
        <v>CPV</v>
      </c>
      <c r="C2184" s="22">
        <v>2023</v>
      </c>
      <c r="D2184" t="s">
        <v>74</v>
      </c>
      <c r="E2184" t="s">
        <v>16</v>
      </c>
      <c r="F2184" t="str">
        <f>VLOOKUP(G2184,PC!B:D,2,FALSE)</f>
        <v>COMIDA</v>
      </c>
      <c r="G2184" s="4" t="s">
        <v>33</v>
      </c>
      <c r="H2184" s="1">
        <v>237.84</v>
      </c>
    </row>
    <row r="2185" spans="2:8" x14ac:dyDescent="0.2">
      <c r="B2185" t="str">
        <f>VLOOKUP(G2185,PC!B:D,3,FALSE)</f>
        <v>CPV</v>
      </c>
      <c r="C2185" s="22">
        <v>2023</v>
      </c>
      <c r="D2185" t="s">
        <v>74</v>
      </c>
      <c r="E2185" t="s">
        <v>6</v>
      </c>
      <c r="F2185" t="str">
        <f>VLOOKUP(G2185,PC!B:D,2,FALSE)</f>
        <v>COMIDA</v>
      </c>
      <c r="G2185" s="4" t="s">
        <v>145</v>
      </c>
      <c r="H2185" s="1">
        <v>65</v>
      </c>
    </row>
    <row r="2186" spans="2:8" x14ac:dyDescent="0.2">
      <c r="B2186" t="str">
        <f>VLOOKUP(G2186,PC!B:D,3,FALSE)</f>
        <v>CPV</v>
      </c>
      <c r="C2186" s="22">
        <v>2023</v>
      </c>
      <c r="D2186" t="s">
        <v>74</v>
      </c>
      <c r="E2186" t="s">
        <v>49</v>
      </c>
      <c r="F2186" t="str">
        <f>VLOOKUP(G2186,PC!B:D,2,FALSE)</f>
        <v>CIGARRO</v>
      </c>
      <c r="G2186" s="4" t="s">
        <v>52</v>
      </c>
      <c r="H2186" s="1">
        <v>6207.02</v>
      </c>
    </row>
    <row r="2187" spans="2:8" x14ac:dyDescent="0.2">
      <c r="B2187" t="str">
        <f>VLOOKUP(G2187,PC!B:D,3,FALSE)</f>
        <v>CPV</v>
      </c>
      <c r="C2187" s="22">
        <v>2023</v>
      </c>
      <c r="D2187" t="s">
        <v>74</v>
      </c>
      <c r="E2187" t="s">
        <v>21</v>
      </c>
      <c r="F2187" t="str">
        <f>VLOOKUP(G2187,PC!B:D,2,FALSE)</f>
        <v>SOBREMESA</v>
      </c>
      <c r="G2187" s="4" t="s">
        <v>23</v>
      </c>
      <c r="H2187" s="1">
        <v>235.82</v>
      </c>
    </row>
    <row r="2188" spans="2:8" x14ac:dyDescent="0.2">
      <c r="B2188" t="str">
        <f>VLOOKUP(G2188,PC!B:D,3,FALSE)</f>
        <v>CPV</v>
      </c>
      <c r="C2188" s="22">
        <v>2023</v>
      </c>
      <c r="D2188" t="s">
        <v>74</v>
      </c>
      <c r="E2188" t="s">
        <v>28</v>
      </c>
      <c r="F2188" t="str">
        <f>VLOOKUP(G2188,PC!B:D,2,FALSE)</f>
        <v>BEBIDAS</v>
      </c>
      <c r="G2188" s="4" t="s">
        <v>26</v>
      </c>
      <c r="H2188" s="1">
        <v>2080.44</v>
      </c>
    </row>
    <row r="2189" spans="2:8" x14ac:dyDescent="0.2">
      <c r="B2189" t="str">
        <f>VLOOKUP(G2189,PC!B:D,3,FALSE)</f>
        <v>CPV</v>
      </c>
      <c r="C2189" s="22">
        <v>2023</v>
      </c>
      <c r="D2189" t="s">
        <v>74</v>
      </c>
      <c r="E2189" t="s">
        <v>14</v>
      </c>
      <c r="F2189" t="str">
        <f>VLOOKUP(G2189,PC!B:D,2,FALSE)</f>
        <v>BEBIDAS</v>
      </c>
      <c r="G2189" s="4" t="s">
        <v>25</v>
      </c>
      <c r="H2189" s="1">
        <v>404.33</v>
      </c>
    </row>
    <row r="2190" spans="2:8" x14ac:dyDescent="0.2">
      <c r="B2190" t="str">
        <f>VLOOKUP(G2190,PC!B:D,3,FALSE)</f>
        <v>CPV</v>
      </c>
      <c r="C2190" s="22">
        <v>2023</v>
      </c>
      <c r="D2190" t="s">
        <v>74</v>
      </c>
      <c r="E2190" t="s">
        <v>24</v>
      </c>
      <c r="F2190" t="str">
        <f>VLOOKUP(G2190,PC!B:D,2,FALSE)</f>
        <v>COMIDA</v>
      </c>
      <c r="G2190" s="4" t="s">
        <v>33</v>
      </c>
      <c r="H2190" s="1">
        <v>187.47</v>
      </c>
    </row>
    <row r="2191" spans="2:8" x14ac:dyDescent="0.2">
      <c r="B2191" t="str">
        <f>VLOOKUP(G2191,PC!B:D,3,FALSE)</f>
        <v>CPV</v>
      </c>
      <c r="C2191" s="22">
        <v>2023</v>
      </c>
      <c r="D2191" t="s">
        <v>74</v>
      </c>
      <c r="E2191" t="s">
        <v>28</v>
      </c>
      <c r="F2191" t="str">
        <f>VLOOKUP(G2191,PC!B:D,2,FALSE)</f>
        <v>BEBIDAS</v>
      </c>
      <c r="G2191" s="4" t="s">
        <v>26</v>
      </c>
      <c r="H2191" s="1">
        <v>123.73</v>
      </c>
    </row>
    <row r="2192" spans="2:8" x14ac:dyDescent="0.2">
      <c r="B2192" t="str">
        <f>VLOOKUP(G2192,PC!B:D,3,FALSE)</f>
        <v>CPV</v>
      </c>
      <c r="C2192" s="22">
        <v>2023</v>
      </c>
      <c r="D2192" t="s">
        <v>74</v>
      </c>
      <c r="E2192" t="s">
        <v>78</v>
      </c>
      <c r="F2192" t="str">
        <f>VLOOKUP(G2192,PC!B:D,2,FALSE)</f>
        <v>CIGARRO</v>
      </c>
      <c r="G2192" s="4" t="s">
        <v>82</v>
      </c>
      <c r="H2192" s="1">
        <v>298.60000000000002</v>
      </c>
    </row>
    <row r="2193" spans="2:8" x14ac:dyDescent="0.2">
      <c r="B2193" t="str">
        <f>VLOOKUP(G2193,PC!B:D,3,FALSE)</f>
        <v>RECEITA</v>
      </c>
      <c r="C2193" s="22">
        <v>2023</v>
      </c>
      <c r="D2193" t="s">
        <v>74</v>
      </c>
      <c r="F2193" t="str">
        <f>VLOOKUP(G2193,PC!B:D,2,FALSE)</f>
        <v>RECEITA</v>
      </c>
      <c r="G2193" s="4" t="s">
        <v>83</v>
      </c>
      <c r="H2193" s="1">
        <v>49</v>
      </c>
    </row>
    <row r="2194" spans="2:8" x14ac:dyDescent="0.2">
      <c r="B2194" t="str">
        <f>VLOOKUP(G2194,PC!B:D,3,FALSE)</f>
        <v>CPV</v>
      </c>
      <c r="C2194" s="22">
        <v>2023</v>
      </c>
      <c r="D2194" t="s">
        <v>74</v>
      </c>
      <c r="E2194" t="s">
        <v>159</v>
      </c>
      <c r="F2194" t="str">
        <f>VLOOKUP(G2194,PC!B:D,2,FALSE)</f>
        <v>COMIDA</v>
      </c>
      <c r="G2194" s="4" t="s">
        <v>34</v>
      </c>
      <c r="H2194" s="1">
        <v>67.5</v>
      </c>
    </row>
    <row r="2195" spans="2:8" x14ac:dyDescent="0.2">
      <c r="B2195" t="str">
        <f>VLOOKUP(G2195,PC!B:D,3,FALSE)</f>
        <v>CPV</v>
      </c>
      <c r="C2195" s="22">
        <v>2023</v>
      </c>
      <c r="D2195" t="s">
        <v>74</v>
      </c>
      <c r="E2195" t="s">
        <v>35</v>
      </c>
      <c r="F2195" t="str">
        <f>VLOOKUP(G2195,PC!B:D,2,FALSE)</f>
        <v>BEBIDAS</v>
      </c>
      <c r="G2195" s="4" t="s">
        <v>39</v>
      </c>
      <c r="H2195" s="1">
        <f>426.72+305.64</f>
        <v>732.36</v>
      </c>
    </row>
    <row r="2196" spans="2:8" x14ac:dyDescent="0.2">
      <c r="B2196" t="str">
        <f>VLOOKUP(G2196,PC!B:D,3,FALSE)</f>
        <v>CPV</v>
      </c>
      <c r="C2196" s="22">
        <v>2023</v>
      </c>
      <c r="D2196" t="s">
        <v>74</v>
      </c>
      <c r="E2196" t="s">
        <v>35</v>
      </c>
      <c r="F2196" t="str">
        <f>VLOOKUP(G2196,PC!B:D,2,FALSE)</f>
        <v>OUTROS</v>
      </c>
      <c r="G2196" s="4" t="s">
        <v>37</v>
      </c>
      <c r="H2196" s="1">
        <f>1509.42-H2195</f>
        <v>777.06000000000006</v>
      </c>
    </row>
    <row r="2197" spans="2:8" x14ac:dyDescent="0.2">
      <c r="B2197" t="str">
        <f>VLOOKUP(G2197,PC!B:D,3,FALSE)</f>
        <v>CPV</v>
      </c>
      <c r="C2197" s="22">
        <v>2023</v>
      </c>
      <c r="D2197" t="s">
        <v>74</v>
      </c>
      <c r="E2197" t="s">
        <v>28</v>
      </c>
      <c r="F2197" t="str">
        <f>VLOOKUP(G2197,PC!B:D,2,FALSE)</f>
        <v>BEBIDAS</v>
      </c>
      <c r="G2197" s="4" t="s">
        <v>26</v>
      </c>
      <c r="H2197" s="1">
        <v>479.44</v>
      </c>
    </row>
    <row r="2198" spans="2:8" x14ac:dyDescent="0.2">
      <c r="B2198" t="str">
        <f>VLOOKUP(G2198,PC!B:D,3,FALSE)</f>
        <v>CPV</v>
      </c>
      <c r="C2198" s="22">
        <v>2023</v>
      </c>
      <c r="D2198" t="s">
        <v>74</v>
      </c>
      <c r="E2198" t="s">
        <v>28</v>
      </c>
      <c r="F2198" t="str">
        <f>VLOOKUP(G2198,PC!B:D,2,FALSE)</f>
        <v>BEBIDAS</v>
      </c>
      <c r="G2198" s="4" t="s">
        <v>26</v>
      </c>
      <c r="H2198" s="1">
        <v>79.84</v>
      </c>
    </row>
    <row r="2199" spans="2:8" x14ac:dyDescent="0.2">
      <c r="B2199" t="str">
        <f>VLOOKUP(G2199,PC!B:D,3,FALSE)</f>
        <v>CPV</v>
      </c>
      <c r="C2199" s="22">
        <v>2023</v>
      </c>
      <c r="D2199" t="s">
        <v>74</v>
      </c>
      <c r="E2199" t="s">
        <v>40</v>
      </c>
      <c r="F2199" t="str">
        <f>VLOOKUP(G2199,PC!B:D,2,FALSE)</f>
        <v>BEBIDAS</v>
      </c>
      <c r="G2199" s="4" t="s">
        <v>26</v>
      </c>
      <c r="H2199" s="1">
        <v>64</v>
      </c>
    </row>
    <row r="2200" spans="2:8" x14ac:dyDescent="0.2">
      <c r="B2200" t="str">
        <f>VLOOKUP(G2200,PC!B:D,3,FALSE)</f>
        <v>CPV</v>
      </c>
      <c r="C2200" s="22">
        <v>2023</v>
      </c>
      <c r="D2200" t="s">
        <v>74</v>
      </c>
      <c r="E2200" t="s">
        <v>24</v>
      </c>
      <c r="F2200" t="str">
        <f>VLOOKUP(G2200,PC!B:D,2,FALSE)</f>
        <v>COMIDA</v>
      </c>
      <c r="G2200" s="4" t="s">
        <v>33</v>
      </c>
      <c r="H2200" s="1">
        <v>174.87</v>
      </c>
    </row>
    <row r="2201" spans="2:8" x14ac:dyDescent="0.2">
      <c r="B2201" t="str">
        <f>VLOOKUP(G2201,PC!B:D,3,FALSE)</f>
        <v>CPV</v>
      </c>
      <c r="C2201" s="22">
        <v>2023</v>
      </c>
      <c r="D2201" t="s">
        <v>74</v>
      </c>
      <c r="E2201" t="s">
        <v>129</v>
      </c>
      <c r="F2201" t="str">
        <f>VLOOKUP(G2201,PC!B:D,2,FALSE)</f>
        <v>COMIDA</v>
      </c>
      <c r="G2201" s="4" t="s">
        <v>18</v>
      </c>
      <c r="H2201" s="1">
        <v>32</v>
      </c>
    </row>
    <row r="2202" spans="2:8" x14ac:dyDescent="0.2">
      <c r="B2202" t="str">
        <f>VLOOKUP(G2202,PC!B:D,3,FALSE)</f>
        <v>CPV</v>
      </c>
      <c r="C2202" s="22">
        <v>2023</v>
      </c>
      <c r="D2202" t="s">
        <v>74</v>
      </c>
      <c r="E2202" t="s">
        <v>14</v>
      </c>
      <c r="F2202" t="str">
        <f>VLOOKUP(G2202,PC!B:D,2,FALSE)</f>
        <v>BEBIDAS</v>
      </c>
      <c r="G2202" s="4" t="s">
        <v>26</v>
      </c>
      <c r="H2202" s="1">
        <v>618.96</v>
      </c>
    </row>
    <row r="2203" spans="2:8" x14ac:dyDescent="0.2">
      <c r="B2203" t="str">
        <f>VLOOKUP(G2203,PC!B:D,3,FALSE)</f>
        <v>CPV</v>
      </c>
      <c r="C2203" s="22">
        <v>2023</v>
      </c>
      <c r="D2203" t="s">
        <v>74</v>
      </c>
      <c r="E2203" t="s">
        <v>14</v>
      </c>
      <c r="F2203" t="str">
        <f>VLOOKUP(G2203,PC!B:D,2,FALSE)</f>
        <v>BEBIDAS</v>
      </c>
      <c r="G2203" s="4" t="s">
        <v>25</v>
      </c>
      <c r="H2203" s="1">
        <v>646.96</v>
      </c>
    </row>
    <row r="2204" spans="2:8" x14ac:dyDescent="0.2">
      <c r="B2204" t="str">
        <f>VLOOKUP(G2204,PC!B:D,3,FALSE)</f>
        <v>CPV</v>
      </c>
      <c r="C2204" s="22">
        <v>2023</v>
      </c>
      <c r="D2204" t="s">
        <v>74</v>
      </c>
      <c r="E2204" t="s">
        <v>14</v>
      </c>
      <c r="F2204" t="str">
        <f>VLOOKUP(G2204,PC!B:D,2,FALSE)</f>
        <v>BEBIDAS</v>
      </c>
      <c r="G2204" s="4" t="s">
        <v>26</v>
      </c>
      <c r="H2204" s="1">
        <v>394</v>
      </c>
    </row>
    <row r="2205" spans="2:8" x14ac:dyDescent="0.2">
      <c r="B2205" t="str">
        <f>VLOOKUP(G2205,PC!B:D,3,FALSE)</f>
        <v>CPV</v>
      </c>
      <c r="C2205" s="22">
        <v>2023</v>
      </c>
      <c r="D2205" t="s">
        <v>74</v>
      </c>
      <c r="E2205" t="s">
        <v>14</v>
      </c>
      <c r="F2205" t="str">
        <f>VLOOKUP(G2205,PC!B:D,2,FALSE)</f>
        <v>BEBIDAS</v>
      </c>
      <c r="G2205" s="4" t="s">
        <v>46</v>
      </c>
      <c r="H2205" s="1">
        <f>756.27-H2204</f>
        <v>362.27</v>
      </c>
    </row>
    <row r="2206" spans="2:8" x14ac:dyDescent="0.2">
      <c r="B2206" t="str">
        <f>VLOOKUP(G2206,PC!B:D,3,FALSE)</f>
        <v>CPV</v>
      </c>
      <c r="C2206" s="22">
        <v>2023</v>
      </c>
      <c r="D2206" t="s">
        <v>74</v>
      </c>
      <c r="E2206" t="s">
        <v>14</v>
      </c>
      <c r="F2206" t="str">
        <f>VLOOKUP(G2206,PC!B:D,2,FALSE)</f>
        <v>BEBIDAS</v>
      </c>
      <c r="G2206" s="4" t="s">
        <v>25</v>
      </c>
      <c r="H2206" s="1">
        <v>1008.1</v>
      </c>
    </row>
    <row r="2207" spans="2:8" x14ac:dyDescent="0.2">
      <c r="B2207" t="str">
        <f>VLOOKUP(G2207,PC!B:D,3,FALSE)</f>
        <v>CPV</v>
      </c>
      <c r="C2207" s="22">
        <v>2023</v>
      </c>
      <c r="D2207" t="s">
        <v>74</v>
      </c>
      <c r="E2207" t="s">
        <v>14</v>
      </c>
      <c r="F2207" t="str">
        <f>VLOOKUP(G2207,PC!B:D,2,FALSE)</f>
        <v>BEBIDAS</v>
      </c>
      <c r="G2207" s="4" t="s">
        <v>25</v>
      </c>
      <c r="H2207" s="1">
        <v>124.2</v>
      </c>
    </row>
    <row r="2208" spans="2:8" x14ac:dyDescent="0.2">
      <c r="B2208" t="str">
        <f>VLOOKUP(G2208,PC!B:D,3,FALSE)</f>
        <v>CPV</v>
      </c>
      <c r="C2208" s="22">
        <v>2023</v>
      </c>
      <c r="D2208" t="s">
        <v>74</v>
      </c>
      <c r="E2208" t="s">
        <v>45</v>
      </c>
      <c r="F2208" t="str">
        <f>VLOOKUP(G2208,PC!B:D,2,FALSE)</f>
        <v>COMIDA</v>
      </c>
      <c r="G2208" s="4" t="s">
        <v>38</v>
      </c>
      <c r="H2208" s="1">
        <v>1108.1400000000001</v>
      </c>
    </row>
    <row r="2209" spans="2:8" x14ac:dyDescent="0.2">
      <c r="B2209" t="str">
        <f>VLOOKUP(G2209,PC!B:D,3,FALSE)</f>
        <v>CPV</v>
      </c>
      <c r="C2209" s="22">
        <v>2023</v>
      </c>
      <c r="D2209" t="s">
        <v>74</v>
      </c>
      <c r="E2209" t="s">
        <v>28</v>
      </c>
      <c r="F2209" t="str">
        <f>VLOOKUP(G2209,PC!B:D,2,FALSE)</f>
        <v>BEBIDAS</v>
      </c>
      <c r="G2209" s="4" t="s">
        <v>26</v>
      </c>
      <c r="H2209" s="1">
        <v>3384.41</v>
      </c>
    </row>
    <row r="2210" spans="2:8" x14ac:dyDescent="0.2">
      <c r="B2210" t="str">
        <f>VLOOKUP(G2210,PC!B:D,3,FALSE)</f>
        <v>CPV</v>
      </c>
      <c r="C2210" s="22">
        <v>2023</v>
      </c>
      <c r="D2210" t="s">
        <v>74</v>
      </c>
      <c r="E2210" t="s">
        <v>28</v>
      </c>
      <c r="F2210" t="str">
        <f>VLOOKUP(G2210,PC!B:D,2,FALSE)</f>
        <v>BEBIDAS</v>
      </c>
      <c r="G2210" s="4" t="s">
        <v>26</v>
      </c>
      <c r="H2210" s="1">
        <v>135.97</v>
      </c>
    </row>
    <row r="2211" spans="2:8" x14ac:dyDescent="0.2">
      <c r="B2211" t="str">
        <f>VLOOKUP(G2211,PC!B:D,3,FALSE)</f>
        <v>CPV</v>
      </c>
      <c r="C2211" s="22">
        <v>2023</v>
      </c>
      <c r="D2211" t="s">
        <v>74</v>
      </c>
      <c r="E2211" t="s">
        <v>35</v>
      </c>
      <c r="F2211" t="str">
        <f>VLOOKUP(G2211,PC!B:D,2,FALSE)</f>
        <v>COMIDA</v>
      </c>
      <c r="G2211" s="4" t="s">
        <v>38</v>
      </c>
      <c r="H2211" s="1">
        <v>1000</v>
      </c>
    </row>
    <row r="2212" spans="2:8" x14ac:dyDescent="0.2">
      <c r="B2212" t="str">
        <f>VLOOKUP(G2212,PC!B:D,3,FALSE)</f>
        <v>CPV</v>
      </c>
      <c r="C2212" s="22">
        <v>2023</v>
      </c>
      <c r="D2212" t="s">
        <v>74</v>
      </c>
      <c r="E2212" t="s">
        <v>35</v>
      </c>
      <c r="F2212" t="str">
        <f>VLOOKUP(G2212,PC!B:D,2,FALSE)</f>
        <v>LIMPEZA</v>
      </c>
      <c r="G2212" s="4" t="s">
        <v>43</v>
      </c>
      <c r="H2212" s="1">
        <v>500</v>
      </c>
    </row>
    <row r="2213" spans="2:8" x14ac:dyDescent="0.2">
      <c r="B2213" t="str">
        <f>VLOOKUP(G2213,PC!B:D,3,FALSE)</f>
        <v>CPV</v>
      </c>
      <c r="C2213" s="22">
        <v>2023</v>
      </c>
      <c r="D2213" t="s">
        <v>74</v>
      </c>
      <c r="E2213" t="s">
        <v>35</v>
      </c>
      <c r="F2213" t="str">
        <f>VLOOKUP(G2213,PC!B:D,2,FALSE)</f>
        <v>HIGIENE</v>
      </c>
      <c r="G2213" s="4" t="s">
        <v>36</v>
      </c>
      <c r="H2213" s="1">
        <f>2621-H2212-H2211</f>
        <v>1121</v>
      </c>
    </row>
    <row r="2214" spans="2:8" x14ac:dyDescent="0.2">
      <c r="B2214" t="str">
        <f>VLOOKUP(G2214,PC!B:D,3,FALSE)</f>
        <v>CPV</v>
      </c>
      <c r="C2214" s="22">
        <v>2023</v>
      </c>
      <c r="D2214" t="s">
        <v>74</v>
      </c>
      <c r="E2214" t="s">
        <v>20</v>
      </c>
      <c r="F2214" t="str">
        <f>VLOOKUP(G2214,PC!B:D,2,FALSE)</f>
        <v>COMIDA</v>
      </c>
      <c r="G2214" s="4" t="s">
        <v>29</v>
      </c>
      <c r="H2214" s="1">
        <v>85.8</v>
      </c>
    </row>
    <row r="2215" spans="2:8" x14ac:dyDescent="0.2">
      <c r="B2215" t="str">
        <f>VLOOKUP(G2215,PC!B:D,3,FALSE)</f>
        <v>CPV</v>
      </c>
      <c r="C2215" s="22">
        <v>2023</v>
      </c>
      <c r="D2215" t="s">
        <v>74</v>
      </c>
      <c r="E2215" t="s">
        <v>28</v>
      </c>
      <c r="F2215" t="str">
        <f>VLOOKUP(G2215,PC!B:D,2,FALSE)</f>
        <v>BEBIDAS</v>
      </c>
      <c r="G2215" s="4" t="s">
        <v>26</v>
      </c>
      <c r="H2215" s="1">
        <v>611.17999999999995</v>
      </c>
    </row>
    <row r="2216" spans="2:8" x14ac:dyDescent="0.2">
      <c r="B2216" t="str">
        <f>VLOOKUP(G2216,PC!B:D,3,FALSE)</f>
        <v>CPV</v>
      </c>
      <c r="C2216" s="22">
        <v>2023</v>
      </c>
      <c r="D2216" t="s">
        <v>74</v>
      </c>
      <c r="E2216" t="s">
        <v>6</v>
      </c>
      <c r="F2216" t="str">
        <f>VLOOKUP(G2216,PC!B:D,2,FALSE)</f>
        <v>COMIDA</v>
      </c>
      <c r="G2216" s="4" t="s">
        <v>145</v>
      </c>
      <c r="H2216" s="1">
        <v>49.2</v>
      </c>
    </row>
    <row r="2217" spans="2:8" x14ac:dyDescent="0.2">
      <c r="B2217" t="str">
        <f>VLOOKUP(G2217,PC!B:D,3,FALSE)</f>
        <v>CPV</v>
      </c>
      <c r="C2217" s="22">
        <v>2023</v>
      </c>
      <c r="D2217" t="s">
        <v>74</v>
      </c>
      <c r="E2217" t="s">
        <v>16</v>
      </c>
      <c r="F2217" t="str">
        <f>VLOOKUP(G2217,PC!B:D,2,FALSE)</f>
        <v>COMIDA</v>
      </c>
      <c r="G2217" s="4" t="s">
        <v>12</v>
      </c>
      <c r="H2217" s="1">
        <v>279.19</v>
      </c>
    </row>
    <row r="2218" spans="2:8" x14ac:dyDescent="0.2">
      <c r="B2218" t="str">
        <f>VLOOKUP(G2218,PC!B:D,3,FALSE)</f>
        <v>CPV</v>
      </c>
      <c r="C2218" s="22">
        <v>2023</v>
      </c>
      <c r="D2218" t="s">
        <v>74</v>
      </c>
      <c r="E2218" t="s">
        <v>5</v>
      </c>
      <c r="F2218" t="str">
        <f>VLOOKUP(G2218,PC!B:D,2,FALSE)</f>
        <v>COMIDA</v>
      </c>
      <c r="G2218" s="4" t="s">
        <v>18</v>
      </c>
      <c r="H2218" s="1">
        <v>306.94</v>
      </c>
    </row>
    <row r="2219" spans="2:8" x14ac:dyDescent="0.2">
      <c r="B2219" t="str">
        <f>VLOOKUP(G2219,PC!B:D,3,FALSE)</f>
        <v>CPV</v>
      </c>
      <c r="C2219" s="22">
        <v>2023</v>
      </c>
      <c r="D2219" t="s">
        <v>74</v>
      </c>
      <c r="E2219" t="s">
        <v>27</v>
      </c>
      <c r="F2219" t="str">
        <f>VLOOKUP(G2219,PC!B:D,2,FALSE)</f>
        <v>COMIDA</v>
      </c>
      <c r="G2219" s="4" t="s">
        <v>12</v>
      </c>
      <c r="H2219" s="1">
        <v>184.12</v>
      </c>
    </row>
    <row r="2220" spans="2:8" x14ac:dyDescent="0.2">
      <c r="B2220" t="str">
        <f>VLOOKUP(G2220,PC!B:D,3,FALSE)</f>
        <v>CPV</v>
      </c>
      <c r="C2220" s="22">
        <v>2023</v>
      </c>
      <c r="D2220" t="s">
        <v>74</v>
      </c>
      <c r="E2220" t="s">
        <v>78</v>
      </c>
      <c r="F2220" t="str">
        <f>VLOOKUP(G2220,PC!B:D,2,FALSE)</f>
        <v>CIGARRO</v>
      </c>
      <c r="G2220" s="4" t="s">
        <v>82</v>
      </c>
      <c r="H2220" s="1">
        <v>248.06</v>
      </c>
    </row>
    <row r="2221" spans="2:8" x14ac:dyDescent="0.2">
      <c r="B2221" t="str">
        <f>VLOOKUP(G2221,PC!B:D,3,FALSE)</f>
        <v>CPV</v>
      </c>
      <c r="C2221" s="22">
        <v>2023</v>
      </c>
      <c r="D2221" t="s">
        <v>74</v>
      </c>
      <c r="E2221" t="s">
        <v>159</v>
      </c>
      <c r="F2221" t="str">
        <f>VLOOKUP(G2221,PC!B:D,2,FALSE)</f>
        <v>OUTROS</v>
      </c>
      <c r="G2221" s="4" t="s">
        <v>37</v>
      </c>
      <c r="H2221" s="1">
        <v>263.74</v>
      </c>
    </row>
    <row r="2222" spans="2:8" x14ac:dyDescent="0.2">
      <c r="B2222" t="str">
        <f>VLOOKUP(G2222,PC!B:D,3,FALSE)</f>
        <v>CPV</v>
      </c>
      <c r="C2222" s="22">
        <v>2023</v>
      </c>
      <c r="D2222" t="s">
        <v>74</v>
      </c>
      <c r="E2222" t="s">
        <v>28</v>
      </c>
      <c r="F2222" t="str">
        <f>VLOOKUP(G2222,PC!B:D,2,FALSE)</f>
        <v>BEBIDAS</v>
      </c>
      <c r="G2222" s="4" t="s">
        <v>26</v>
      </c>
      <c r="H2222" s="1">
        <v>3940.03</v>
      </c>
    </row>
    <row r="2223" spans="2:8" x14ac:dyDescent="0.2">
      <c r="B2223" t="str">
        <f>VLOOKUP(G2223,PC!B:D,3,FALSE)</f>
        <v>CPV</v>
      </c>
      <c r="C2223" s="22">
        <v>2023</v>
      </c>
      <c r="D2223" t="s">
        <v>74</v>
      </c>
      <c r="E2223" t="s">
        <v>14</v>
      </c>
      <c r="F2223" t="str">
        <f>VLOOKUP(G2223,PC!B:D,2,FALSE)</f>
        <v>BEBIDAS</v>
      </c>
      <c r="G2223" s="4" t="s">
        <v>25</v>
      </c>
      <c r="H2223" s="1">
        <v>372.93</v>
      </c>
    </row>
    <row r="2224" spans="2:8" x14ac:dyDescent="0.2">
      <c r="B2224" t="str">
        <f>VLOOKUP(G2224,PC!B:D,3,FALSE)</f>
        <v>CPV</v>
      </c>
      <c r="C2224" s="22">
        <v>2023</v>
      </c>
      <c r="D2224" t="s">
        <v>74</v>
      </c>
      <c r="E2224" t="s">
        <v>14</v>
      </c>
      <c r="F2224" t="str">
        <f>VLOOKUP(G2224,PC!B:D,2,FALSE)</f>
        <v>BEBIDAS</v>
      </c>
      <c r="G2224" s="4" t="s">
        <v>25</v>
      </c>
      <c r="H2224" s="1">
        <v>382.71</v>
      </c>
    </row>
    <row r="2225" spans="2:8" x14ac:dyDescent="0.2">
      <c r="B2225" t="str">
        <f>VLOOKUP(G2225,PC!B:D,3,FALSE)</f>
        <v>CPV</v>
      </c>
      <c r="C2225" s="22">
        <v>2023</v>
      </c>
      <c r="D2225" t="s">
        <v>74</v>
      </c>
      <c r="E2225" t="s">
        <v>28</v>
      </c>
      <c r="F2225" t="str">
        <f>VLOOKUP(G2225,PC!B:D,2,FALSE)</f>
        <v>BEBIDAS</v>
      </c>
      <c r="G2225" s="4" t="s">
        <v>26</v>
      </c>
      <c r="H2225" s="1">
        <v>908.86</v>
      </c>
    </row>
    <row r="2226" spans="2:8" x14ac:dyDescent="0.2">
      <c r="B2226" t="str">
        <f>VLOOKUP(G2226,PC!B:D,3,FALSE)</f>
        <v>CPV</v>
      </c>
      <c r="C2226" s="22">
        <v>2023</v>
      </c>
      <c r="D2226" t="s">
        <v>74</v>
      </c>
      <c r="E2226" t="s">
        <v>14</v>
      </c>
      <c r="F2226" t="str">
        <f>VLOOKUP(G2226,PC!B:D,2,FALSE)</f>
        <v>BEBIDAS</v>
      </c>
      <c r="G2226" s="4" t="s">
        <v>25</v>
      </c>
      <c r="H2226" s="1">
        <v>279.01</v>
      </c>
    </row>
    <row r="2227" spans="2:8" x14ac:dyDescent="0.2">
      <c r="B2227" t="str">
        <f>VLOOKUP(G2227,PC!B:D,3,FALSE)</f>
        <v>CPV</v>
      </c>
      <c r="C2227" s="22">
        <v>2023</v>
      </c>
      <c r="D2227" t="s">
        <v>74</v>
      </c>
      <c r="E2227" t="s">
        <v>21</v>
      </c>
      <c r="F2227" t="str">
        <f>VLOOKUP(G2227,PC!B:D,2,FALSE)</f>
        <v>COMIDA</v>
      </c>
      <c r="G2227" s="4" t="s">
        <v>18</v>
      </c>
      <c r="H2227" s="1">
        <v>177.96</v>
      </c>
    </row>
    <row r="2228" spans="2:8" x14ac:dyDescent="0.2">
      <c r="B2228" t="str">
        <f>VLOOKUP(G2228,PC!B:D,3,FALSE)</f>
        <v>CPV</v>
      </c>
      <c r="C2228" s="22">
        <v>2023</v>
      </c>
      <c r="D2228" t="s">
        <v>74</v>
      </c>
      <c r="E2228" t="s">
        <v>28</v>
      </c>
      <c r="F2228" t="str">
        <f>VLOOKUP(G2228,PC!B:D,2,FALSE)</f>
        <v>BEBIDAS</v>
      </c>
      <c r="G2228" s="4" t="s">
        <v>26</v>
      </c>
      <c r="H2228" s="1">
        <v>479.44</v>
      </c>
    </row>
    <row r="2229" spans="2:8" x14ac:dyDescent="0.2">
      <c r="B2229" t="str">
        <f>VLOOKUP(G2229,PC!B:D,3,FALSE)</f>
        <v>CPV</v>
      </c>
      <c r="C2229" s="22">
        <v>2023</v>
      </c>
      <c r="D2229" t="s">
        <v>74</v>
      </c>
      <c r="E2229" t="s">
        <v>40</v>
      </c>
      <c r="F2229" t="str">
        <f>VLOOKUP(G2229,PC!B:D,2,FALSE)</f>
        <v>BEBIDAS</v>
      </c>
      <c r="G2229" s="4" t="s">
        <v>26</v>
      </c>
      <c r="H2229" s="1">
        <v>255.53</v>
      </c>
    </row>
    <row r="2230" spans="2:8" x14ac:dyDescent="0.2">
      <c r="B2230" t="str">
        <f>VLOOKUP(G2230,PC!B:D,3,FALSE)</f>
        <v>CPV</v>
      </c>
      <c r="C2230" s="22">
        <v>2023</v>
      </c>
      <c r="D2230" t="s">
        <v>74</v>
      </c>
      <c r="E2230" t="s">
        <v>165</v>
      </c>
      <c r="F2230" t="str">
        <f>VLOOKUP(G2230,PC!B:D,2,FALSE)</f>
        <v>COMIDA</v>
      </c>
      <c r="G2230" s="4" t="s">
        <v>33</v>
      </c>
      <c r="H2230" s="1">
        <v>526.21</v>
      </c>
    </row>
    <row r="2231" spans="2:8" x14ac:dyDescent="0.2">
      <c r="B2231" t="str">
        <f>VLOOKUP(G2231,PC!B:D,3,FALSE)</f>
        <v>CPV</v>
      </c>
      <c r="C2231" s="22">
        <v>2023</v>
      </c>
      <c r="D2231" t="s">
        <v>74</v>
      </c>
      <c r="E2231" t="s">
        <v>165</v>
      </c>
      <c r="F2231" t="str">
        <f>VLOOKUP(G2231,PC!B:D,2,FALSE)</f>
        <v>COMIDA</v>
      </c>
      <c r="G2231" s="4" t="s">
        <v>33</v>
      </c>
      <c r="H2231" s="1">
        <v>232.37</v>
      </c>
    </row>
    <row r="2232" spans="2:8" x14ac:dyDescent="0.2">
      <c r="B2232" t="e">
        <f>VLOOKUP(G2232,PC!B:D,3,FALSE)</f>
        <v>#N/A</v>
      </c>
      <c r="C2232" s="22">
        <v>2023</v>
      </c>
      <c r="D2232" t="s">
        <v>74</v>
      </c>
      <c r="E2232" t="s">
        <v>20</v>
      </c>
      <c r="F2232" t="e">
        <f>VLOOKUP(G2232,PC!B:D,2,FALSE)</f>
        <v>#N/A</v>
      </c>
      <c r="G2232" s="4" t="s">
        <v>200</v>
      </c>
      <c r="H2232" s="1">
        <v>116.3</v>
      </c>
    </row>
    <row r="2233" spans="2:8" x14ac:dyDescent="0.2">
      <c r="B2233" t="str">
        <f>VLOOKUP(G2233,PC!B:D,3,FALSE)</f>
        <v>CPV</v>
      </c>
      <c r="C2233" s="22">
        <v>2023</v>
      </c>
      <c r="D2233" t="s">
        <v>74</v>
      </c>
      <c r="E2233" t="s">
        <v>129</v>
      </c>
      <c r="F2233" t="str">
        <f>VLOOKUP(G2233,PC!B:D,2,FALSE)</f>
        <v>BEBIDAS</v>
      </c>
      <c r="G2233" s="4" t="s">
        <v>48</v>
      </c>
      <c r="H2233" s="1">
        <v>184.8</v>
      </c>
    </row>
    <row r="2234" spans="2:8" x14ac:dyDescent="0.2">
      <c r="B2234" t="str">
        <f>VLOOKUP(G2234,PC!B:D,3,FALSE)</f>
        <v>CPV</v>
      </c>
      <c r="C2234" s="22">
        <v>2023</v>
      </c>
      <c r="D2234" t="s">
        <v>74</v>
      </c>
      <c r="E2234" t="s">
        <v>129</v>
      </c>
      <c r="F2234" t="str">
        <f>VLOOKUP(G2234,PC!B:D,2,FALSE)</f>
        <v>BEBIDAS</v>
      </c>
      <c r="G2234" s="4" t="s">
        <v>51</v>
      </c>
      <c r="H2234" s="1">
        <v>18</v>
      </c>
    </row>
    <row r="2235" spans="2:8" x14ac:dyDescent="0.2">
      <c r="B2235" t="str">
        <f>VLOOKUP(G2235,PC!B:D,3,FALSE)</f>
        <v>CPV</v>
      </c>
      <c r="C2235" s="22">
        <v>2023</v>
      </c>
      <c r="D2235" t="s">
        <v>74</v>
      </c>
      <c r="E2235" t="s">
        <v>129</v>
      </c>
      <c r="F2235" t="str">
        <f>VLOOKUP(G2235,PC!B:D,2,FALSE)</f>
        <v>COMIDA</v>
      </c>
      <c r="G2235" s="4" t="s">
        <v>18</v>
      </c>
      <c r="H2235" s="1">
        <v>35</v>
      </c>
    </row>
    <row r="2236" spans="2:8" x14ac:dyDescent="0.2">
      <c r="B2236" t="str">
        <f>VLOOKUP(G2236,PC!B:D,3,FALSE)</f>
        <v>CPV</v>
      </c>
      <c r="C2236" s="22">
        <v>2023</v>
      </c>
      <c r="D2236" t="s">
        <v>74</v>
      </c>
      <c r="E2236" t="s">
        <v>129</v>
      </c>
      <c r="F2236" t="str">
        <f>VLOOKUP(G2236,PC!B:D,2,FALSE)</f>
        <v>CIGARRO</v>
      </c>
      <c r="G2236" s="4" t="s">
        <v>53</v>
      </c>
      <c r="H2236" s="1">
        <v>280</v>
      </c>
    </row>
    <row r="2237" spans="2:8" x14ac:dyDescent="0.2">
      <c r="B2237" t="str">
        <f>VLOOKUP(G2237,PC!B:D,3,FALSE)</f>
        <v>CPV</v>
      </c>
      <c r="C2237" s="22">
        <v>2023</v>
      </c>
      <c r="D2237" t="s">
        <v>74</v>
      </c>
      <c r="E2237" t="s">
        <v>129</v>
      </c>
      <c r="F2237" t="str">
        <f>VLOOKUP(G2237,PC!B:D,2,FALSE)</f>
        <v>COMIDA</v>
      </c>
      <c r="G2237" s="4" t="s">
        <v>155</v>
      </c>
      <c r="H2237" s="1">
        <v>370</v>
      </c>
    </row>
    <row r="2238" spans="2:8" x14ac:dyDescent="0.2">
      <c r="B2238" t="str">
        <f>VLOOKUP(G2238,PC!B:D,3,FALSE)</f>
        <v>CPV</v>
      </c>
      <c r="C2238" s="22">
        <v>2023</v>
      </c>
      <c r="D2238" t="s">
        <v>74</v>
      </c>
      <c r="E2238" t="s">
        <v>129</v>
      </c>
      <c r="F2238" t="str">
        <f>VLOOKUP(G2238,PC!B:D,2,FALSE)</f>
        <v>BEBIDAS</v>
      </c>
      <c r="G2238" s="4" t="s">
        <v>48</v>
      </c>
      <c r="H2238" s="1">
        <v>143.5</v>
      </c>
    </row>
    <row r="2239" spans="2:8" x14ac:dyDescent="0.2">
      <c r="B2239" t="str">
        <f>VLOOKUP(G2239,PC!B:D,3,FALSE)</f>
        <v>CPV</v>
      </c>
      <c r="C2239" s="22">
        <v>2023</v>
      </c>
      <c r="D2239" t="s">
        <v>74</v>
      </c>
      <c r="E2239" t="s">
        <v>129</v>
      </c>
      <c r="F2239" t="str">
        <f>VLOOKUP(G2239,PC!B:D,2,FALSE)</f>
        <v>LIMPEZA</v>
      </c>
      <c r="G2239" s="4" t="s">
        <v>43</v>
      </c>
      <c r="H2239" s="1">
        <v>84</v>
      </c>
    </row>
    <row r="2240" spans="2:8" x14ac:dyDescent="0.2">
      <c r="B2240" t="str">
        <f>VLOOKUP(G2240,PC!B:D,3,FALSE)</f>
        <v>SERV. PUBLICOS</v>
      </c>
      <c r="C2240" s="22">
        <v>2023</v>
      </c>
      <c r="D2240" t="s">
        <v>74</v>
      </c>
      <c r="E2240" t="s">
        <v>129</v>
      </c>
      <c r="F2240" t="str">
        <f>VLOOKUP(G2240,PC!B:D,2,FALSE)</f>
        <v>SERV. PUBLICOS</v>
      </c>
      <c r="G2240" s="4" t="s">
        <v>104</v>
      </c>
      <c r="H2240" s="1">
        <v>346</v>
      </c>
    </row>
    <row r="2241" spans="2:10" x14ac:dyDescent="0.2">
      <c r="B2241" t="str">
        <f>VLOOKUP(G2241,PC!B:D,3,FALSE)</f>
        <v>CPV</v>
      </c>
      <c r="C2241" s="22">
        <v>2023</v>
      </c>
      <c r="D2241" t="s">
        <v>74</v>
      </c>
      <c r="E2241" t="s">
        <v>129</v>
      </c>
      <c r="F2241" t="str">
        <f>VLOOKUP(G2241,PC!B:D,2,FALSE)</f>
        <v>COMIDA</v>
      </c>
      <c r="G2241" s="4" t="s">
        <v>12</v>
      </c>
      <c r="H2241" s="1">
        <v>70</v>
      </c>
    </row>
    <row r="2242" spans="2:10" x14ac:dyDescent="0.2">
      <c r="B2242" t="str">
        <f>VLOOKUP(G2242,PC!B:D,3,FALSE)</f>
        <v>CPV</v>
      </c>
      <c r="C2242" s="22">
        <v>2023</v>
      </c>
      <c r="D2242" t="s">
        <v>74</v>
      </c>
      <c r="E2242" t="s">
        <v>129</v>
      </c>
      <c r="F2242" t="str">
        <f>VLOOKUP(G2242,PC!B:D,2,FALSE)</f>
        <v>COMIDA</v>
      </c>
      <c r="G2242" s="4" t="s">
        <v>18</v>
      </c>
      <c r="H2242" s="1">
        <v>61.6</v>
      </c>
    </row>
    <row r="2243" spans="2:10" x14ac:dyDescent="0.2">
      <c r="B2243" t="str">
        <f>VLOOKUP(G2243,PC!B:D,3,FALSE)</f>
        <v>DESPESA OPERACIONAL</v>
      </c>
      <c r="C2243" s="22">
        <v>2023</v>
      </c>
      <c r="D2243" t="s">
        <v>74</v>
      </c>
      <c r="E2243" t="s">
        <v>129</v>
      </c>
      <c r="F2243" t="str">
        <f>VLOOKUP(G2243,PC!B:D,2,FALSE)</f>
        <v>DESPESA OPERACIONAL</v>
      </c>
      <c r="G2243" s="4" t="s">
        <v>70</v>
      </c>
      <c r="H2243" s="1">
        <v>92</v>
      </c>
    </row>
    <row r="2244" spans="2:10" x14ac:dyDescent="0.2">
      <c r="B2244" t="str">
        <f>VLOOKUP(G2244,PC!B:D,3,FALSE)</f>
        <v>CPV</v>
      </c>
      <c r="C2244" s="22">
        <v>2023</v>
      </c>
      <c r="D2244" t="s">
        <v>74</v>
      </c>
      <c r="E2244" t="s">
        <v>129</v>
      </c>
      <c r="F2244" t="str">
        <f>VLOOKUP(G2244,PC!B:D,2,FALSE)</f>
        <v>COMIDA</v>
      </c>
      <c r="G2244" s="4" t="s">
        <v>12</v>
      </c>
      <c r="H2244" s="1">
        <v>500</v>
      </c>
    </row>
    <row r="2245" spans="2:10" x14ac:dyDescent="0.2">
      <c r="B2245" t="str">
        <f>VLOOKUP(G2245,PC!B:D,3,FALSE)</f>
        <v>CPV</v>
      </c>
      <c r="C2245" s="22">
        <v>2023</v>
      </c>
      <c r="D2245" t="s">
        <v>74</v>
      </c>
      <c r="E2245" t="s">
        <v>129</v>
      </c>
      <c r="F2245" t="str">
        <f>VLOOKUP(G2245,PC!B:D,2,FALSE)</f>
        <v>SOBREMESA</v>
      </c>
      <c r="G2245" s="4" t="s">
        <v>7</v>
      </c>
      <c r="H2245" s="1">
        <v>318</v>
      </c>
    </row>
    <row r="2246" spans="2:10" x14ac:dyDescent="0.2">
      <c r="B2246" t="str">
        <f>VLOOKUP(G2246,PC!B:D,3,FALSE)</f>
        <v>CPV</v>
      </c>
      <c r="C2246" s="22">
        <v>2023</v>
      </c>
      <c r="D2246" t="s">
        <v>74</v>
      </c>
      <c r="E2246" t="s">
        <v>129</v>
      </c>
      <c r="F2246" t="str">
        <f>VLOOKUP(G2246,PC!B:D,2,FALSE)</f>
        <v>COMIDA</v>
      </c>
      <c r="G2246" s="4" t="s">
        <v>12</v>
      </c>
      <c r="H2246" s="1">
        <v>82</v>
      </c>
    </row>
    <row r="2247" spans="2:10" x14ac:dyDescent="0.2">
      <c r="B2247" t="str">
        <f>VLOOKUP(G2247,PC!B:D,3,FALSE)</f>
        <v>CPV</v>
      </c>
      <c r="C2247" s="22">
        <v>2023</v>
      </c>
      <c r="D2247" t="s">
        <v>74</v>
      </c>
      <c r="E2247" t="s">
        <v>129</v>
      </c>
      <c r="F2247" t="str">
        <f>VLOOKUP(G2247,PC!B:D,2,FALSE)</f>
        <v>COMIDA</v>
      </c>
      <c r="G2247" s="4" t="s">
        <v>145</v>
      </c>
      <c r="H2247" s="1">
        <v>48</v>
      </c>
    </row>
    <row r="2248" spans="2:10" x14ac:dyDescent="0.2">
      <c r="B2248" t="str">
        <f>VLOOKUP(G2248,PC!B:D,3,FALSE)</f>
        <v>CPV</v>
      </c>
      <c r="C2248" s="22">
        <v>2023</v>
      </c>
      <c r="D2248" t="s">
        <v>74</v>
      </c>
      <c r="E2248" t="s">
        <v>129</v>
      </c>
      <c r="F2248" t="str">
        <f>VLOOKUP(G2248,PC!B:D,2,FALSE)</f>
        <v>SOBREMESA</v>
      </c>
      <c r="G2248" s="4" t="s">
        <v>7</v>
      </c>
      <c r="H2248" s="1">
        <v>82</v>
      </c>
    </row>
    <row r="2249" spans="2:10" x14ac:dyDescent="0.2">
      <c r="B2249" t="str">
        <f>VLOOKUP(G2249,PC!B:D,3,FALSE)</f>
        <v>CPV</v>
      </c>
      <c r="C2249" s="22">
        <v>2023</v>
      </c>
      <c r="D2249" t="s">
        <v>74</v>
      </c>
      <c r="E2249" t="s">
        <v>129</v>
      </c>
      <c r="F2249" t="str">
        <f>VLOOKUP(G2249,PC!B:D,2,FALSE)</f>
        <v>BEBIDAS</v>
      </c>
      <c r="G2249" s="4" t="s">
        <v>39</v>
      </c>
      <c r="H2249" s="1">
        <v>141</v>
      </c>
    </row>
    <row r="2250" spans="2:10" x14ac:dyDescent="0.2">
      <c r="B2250" t="str">
        <f>VLOOKUP(G2250,PC!B:D,3,FALSE)</f>
        <v>CPV</v>
      </c>
      <c r="C2250" s="22">
        <v>2023</v>
      </c>
      <c r="D2250" t="s">
        <v>74</v>
      </c>
      <c r="E2250" t="s">
        <v>129</v>
      </c>
      <c r="F2250" t="str">
        <f>VLOOKUP(G2250,PC!B:D,2,FALSE)</f>
        <v>CIGARRO</v>
      </c>
      <c r="G2250" s="4" t="s">
        <v>57</v>
      </c>
      <c r="H2250" s="1">
        <v>1000</v>
      </c>
    </row>
    <row r="2251" spans="2:10" x14ac:dyDescent="0.2">
      <c r="B2251" t="str">
        <f>VLOOKUP(G2251,PC!B:D,3,FALSE)</f>
        <v>CPV</v>
      </c>
      <c r="C2251" s="22">
        <v>2023</v>
      </c>
      <c r="D2251" t="s">
        <v>74</v>
      </c>
      <c r="E2251" t="s">
        <v>129</v>
      </c>
      <c r="F2251" t="str">
        <f>VLOOKUP(G2251,PC!B:D,2,FALSE)</f>
        <v>CIGARRO</v>
      </c>
      <c r="G2251" s="4" t="s">
        <v>131</v>
      </c>
      <c r="H2251" s="1">
        <v>361</v>
      </c>
    </row>
    <row r="2252" spans="2:10" x14ac:dyDescent="0.2">
      <c r="B2252" t="str">
        <f>VLOOKUP(G2252,PC!B:D,3,FALSE)</f>
        <v>CPV</v>
      </c>
      <c r="C2252" s="22">
        <v>2023</v>
      </c>
      <c r="D2252" t="s">
        <v>74</v>
      </c>
      <c r="E2252" t="s">
        <v>129</v>
      </c>
      <c r="F2252" t="str">
        <f>VLOOKUP(G2252,PC!B:D,2,FALSE)</f>
        <v>COMIDA</v>
      </c>
      <c r="G2252" s="4" t="s">
        <v>18</v>
      </c>
      <c r="H2252" s="1">
        <v>49.5</v>
      </c>
    </row>
    <row r="2253" spans="2:10" x14ac:dyDescent="0.2">
      <c r="B2253" t="str">
        <f>VLOOKUP(G2253,PC!B:D,3,FALSE)</f>
        <v>CPV</v>
      </c>
      <c r="C2253" s="22">
        <v>2023</v>
      </c>
      <c r="D2253" t="s">
        <v>74</v>
      </c>
      <c r="E2253" t="s">
        <v>129</v>
      </c>
      <c r="F2253" t="str">
        <f>VLOOKUP(G2253,PC!B:D,2,FALSE)</f>
        <v>OUTROS</v>
      </c>
      <c r="G2253" s="4" t="s">
        <v>149</v>
      </c>
      <c r="H2253" s="1">
        <v>96.75</v>
      </c>
    </row>
    <row r="2254" spans="2:10" x14ac:dyDescent="0.2">
      <c r="B2254" t="str">
        <f>VLOOKUP(G2254,PC!B:D,3,FALSE)</f>
        <v>CPV</v>
      </c>
      <c r="C2254" s="22">
        <v>2023</v>
      </c>
      <c r="D2254" t="s">
        <v>74</v>
      </c>
      <c r="E2254" t="s">
        <v>129</v>
      </c>
      <c r="F2254" t="str">
        <f>VLOOKUP(G2254,PC!B:D,2,FALSE)</f>
        <v>SOBREMESA</v>
      </c>
      <c r="G2254" s="4" t="s">
        <v>7</v>
      </c>
      <c r="H2254" s="1">
        <v>34</v>
      </c>
    </row>
    <row r="2255" spans="2:10" x14ac:dyDescent="0.2">
      <c r="B2255" t="str">
        <f>VLOOKUP(G2255,PC!B:D,3,FALSE)</f>
        <v>CPV</v>
      </c>
      <c r="C2255" s="22">
        <v>2023</v>
      </c>
      <c r="D2255" t="s">
        <v>74</v>
      </c>
      <c r="E2255" t="s">
        <v>129</v>
      </c>
      <c r="F2255" t="str">
        <f>VLOOKUP(G2255,PC!B:D,2,FALSE)</f>
        <v>LIMPEZA</v>
      </c>
      <c r="G2255" s="4" t="s">
        <v>43</v>
      </c>
      <c r="H2255" s="1">
        <v>347.3</v>
      </c>
    </row>
    <row r="2256" spans="2:10" x14ac:dyDescent="0.2">
      <c r="B2256" t="str">
        <f>VLOOKUP(G2256,PC!B:D,3,FALSE)</f>
        <v>CPV</v>
      </c>
      <c r="C2256" s="22">
        <v>2023</v>
      </c>
      <c r="D2256" t="s">
        <v>74</v>
      </c>
      <c r="E2256" t="s">
        <v>129</v>
      </c>
      <c r="F2256" t="str">
        <f>VLOOKUP(G2256,PC!B:D,2,FALSE)</f>
        <v>BEBIDAS</v>
      </c>
      <c r="G2256" s="4" t="s">
        <v>39</v>
      </c>
      <c r="H2256" s="1">
        <v>105</v>
      </c>
      <c r="J2256" t="s">
        <v>128</v>
      </c>
    </row>
    <row r="2257" spans="2:8" x14ac:dyDescent="0.2">
      <c r="B2257" t="str">
        <f>VLOOKUP(G2257,PC!B:D,3,FALSE)</f>
        <v>CPV</v>
      </c>
      <c r="C2257" s="22">
        <v>2023</v>
      </c>
      <c r="D2257" t="s">
        <v>74</v>
      </c>
      <c r="E2257" t="s">
        <v>129</v>
      </c>
      <c r="F2257" t="str">
        <f>VLOOKUP(G2257,PC!B:D,2,FALSE)</f>
        <v>COMIDA</v>
      </c>
      <c r="G2257" s="4" t="s">
        <v>12</v>
      </c>
      <c r="H2257" s="1">
        <v>30</v>
      </c>
    </row>
    <row r="2258" spans="2:8" x14ac:dyDescent="0.2">
      <c r="B2258" t="str">
        <f>VLOOKUP(G2258,PC!B:D,3,FALSE)</f>
        <v>CPV</v>
      </c>
      <c r="C2258" s="22">
        <v>2023</v>
      </c>
      <c r="D2258" t="s">
        <v>74</v>
      </c>
      <c r="E2258" t="s">
        <v>129</v>
      </c>
      <c r="F2258" t="str">
        <f>VLOOKUP(G2258,PC!B:D,2,FALSE)</f>
        <v>COMIDA</v>
      </c>
      <c r="G2258" s="4" t="s">
        <v>12</v>
      </c>
      <c r="H2258" s="1">
        <v>183</v>
      </c>
    </row>
    <row r="2259" spans="2:8" x14ac:dyDescent="0.2">
      <c r="B2259" t="str">
        <f>VLOOKUP(G2259,PC!B:D,3,FALSE)</f>
        <v>CPV</v>
      </c>
      <c r="C2259" s="22">
        <v>2023</v>
      </c>
      <c r="D2259" t="s">
        <v>74</v>
      </c>
      <c r="E2259" t="s">
        <v>129</v>
      </c>
      <c r="F2259" t="str">
        <f>VLOOKUP(G2259,PC!B:D,2,FALSE)</f>
        <v>BEBIDAS</v>
      </c>
      <c r="G2259" s="4" t="s">
        <v>48</v>
      </c>
      <c r="H2259" s="1">
        <v>184.9</v>
      </c>
    </row>
    <row r="2260" spans="2:8" x14ac:dyDescent="0.2">
      <c r="B2260" t="str">
        <f>VLOOKUP(G2260,PC!B:D,3,FALSE)</f>
        <v>CPV</v>
      </c>
      <c r="C2260" s="22">
        <v>2023</v>
      </c>
      <c r="D2260" t="s">
        <v>74</v>
      </c>
      <c r="E2260" t="s">
        <v>129</v>
      </c>
      <c r="F2260" t="str">
        <f>VLOOKUP(G2260,PC!B:D,2,FALSE)</f>
        <v>LIMPEZA</v>
      </c>
      <c r="G2260" s="4" t="s">
        <v>43</v>
      </c>
      <c r="H2260" s="1">
        <v>85</v>
      </c>
    </row>
    <row r="2261" spans="2:8" x14ac:dyDescent="0.2">
      <c r="B2261" t="str">
        <f>VLOOKUP(G2261,PC!B:D,3,FALSE)</f>
        <v>CPV</v>
      </c>
      <c r="C2261" s="22">
        <v>2023</v>
      </c>
      <c r="D2261" t="s">
        <v>74</v>
      </c>
      <c r="E2261" t="s">
        <v>129</v>
      </c>
      <c r="F2261" t="str">
        <f>VLOOKUP(G2261,PC!B:D,2,FALSE)</f>
        <v>COMIDA</v>
      </c>
      <c r="G2261" s="4" t="s">
        <v>12</v>
      </c>
      <c r="H2261" s="1">
        <v>52</v>
      </c>
    </row>
    <row r="2262" spans="2:8" x14ac:dyDescent="0.2">
      <c r="B2262" t="str">
        <f>VLOOKUP(G2262,PC!B:D,3,FALSE)</f>
        <v>CPV</v>
      </c>
      <c r="C2262" s="22">
        <v>2023</v>
      </c>
      <c r="D2262" t="s">
        <v>74</v>
      </c>
      <c r="E2262" t="s">
        <v>129</v>
      </c>
      <c r="F2262" t="str">
        <f>VLOOKUP(G2262,PC!B:D,2,FALSE)</f>
        <v>COMIDA</v>
      </c>
      <c r="G2262" s="4" t="s">
        <v>12</v>
      </c>
      <c r="H2262" s="1">
        <v>62</v>
      </c>
    </row>
    <row r="2263" spans="2:8" x14ac:dyDescent="0.2">
      <c r="B2263" t="str">
        <f>VLOOKUP(G2263,PC!B:D,3,FALSE)</f>
        <v>CPV</v>
      </c>
      <c r="C2263" s="22">
        <v>2023</v>
      </c>
      <c r="D2263" t="s">
        <v>74</v>
      </c>
      <c r="E2263" t="s">
        <v>129</v>
      </c>
      <c r="F2263" t="str">
        <f>VLOOKUP(G2263,PC!B:D,2,FALSE)</f>
        <v>BEBIDAS</v>
      </c>
      <c r="G2263" s="4" t="s">
        <v>39</v>
      </c>
      <c r="H2263" s="1">
        <v>244.9</v>
      </c>
    </row>
    <row r="2264" spans="2:8" x14ac:dyDescent="0.2">
      <c r="B2264" t="str">
        <f>VLOOKUP(G2264,PC!B:D,3,FALSE)</f>
        <v>CPV</v>
      </c>
      <c r="C2264" s="22">
        <v>2023</v>
      </c>
      <c r="D2264" t="s">
        <v>74</v>
      </c>
      <c r="E2264" t="s">
        <v>129</v>
      </c>
      <c r="F2264" t="str">
        <f>VLOOKUP(G2264,PC!B:D,2,FALSE)</f>
        <v>CIGARRO</v>
      </c>
      <c r="G2264" s="4" t="s">
        <v>57</v>
      </c>
      <c r="H2264" s="1">
        <v>832</v>
      </c>
    </row>
    <row r="2265" spans="2:8" x14ac:dyDescent="0.2">
      <c r="B2265" t="str">
        <f>VLOOKUP(G2265,PC!B:D,3,FALSE)</f>
        <v>CPV</v>
      </c>
      <c r="C2265" s="22">
        <v>2023</v>
      </c>
      <c r="D2265" t="s">
        <v>74</v>
      </c>
      <c r="E2265" t="s">
        <v>129</v>
      </c>
      <c r="F2265" t="str">
        <f>VLOOKUP(G2265,PC!B:D,2,FALSE)</f>
        <v>CIGARRO</v>
      </c>
      <c r="G2265" s="4" t="s">
        <v>55</v>
      </c>
      <c r="H2265" s="1">
        <v>57</v>
      </c>
    </row>
    <row r="2266" spans="2:8" x14ac:dyDescent="0.2">
      <c r="B2266" t="str">
        <f>VLOOKUP(G2266,PC!B:D,3,FALSE)</f>
        <v>CPV</v>
      </c>
      <c r="C2266" s="22">
        <v>2023</v>
      </c>
      <c r="D2266" t="s">
        <v>74</v>
      </c>
      <c r="E2266" t="s">
        <v>129</v>
      </c>
      <c r="F2266" t="str">
        <f>VLOOKUP(G2266,PC!B:D,2,FALSE)</f>
        <v>BEBIDAS</v>
      </c>
      <c r="G2266" s="4" t="s">
        <v>48</v>
      </c>
      <c r="H2266" s="1">
        <v>80</v>
      </c>
    </row>
    <row r="2267" spans="2:8" x14ac:dyDescent="0.2">
      <c r="B2267" t="str">
        <f>VLOOKUP(G2267,PC!B:D,3,FALSE)</f>
        <v>CPV</v>
      </c>
      <c r="C2267" s="22">
        <v>2023</v>
      </c>
      <c r="D2267" t="s">
        <v>74</v>
      </c>
      <c r="E2267" t="s">
        <v>129</v>
      </c>
      <c r="F2267" t="str">
        <f>VLOOKUP(G2267,PC!B:D,2,FALSE)</f>
        <v>COMIDA</v>
      </c>
      <c r="G2267" s="4" t="s">
        <v>12</v>
      </c>
      <c r="H2267" s="1">
        <v>500</v>
      </c>
    </row>
    <row r="2268" spans="2:8" x14ac:dyDescent="0.2">
      <c r="B2268" t="str">
        <f>VLOOKUP(G2268,PC!B:D,3,FALSE)</f>
        <v>CPV</v>
      </c>
      <c r="C2268" s="22">
        <v>2023</v>
      </c>
      <c r="D2268" t="s">
        <v>74</v>
      </c>
      <c r="E2268" t="s">
        <v>129</v>
      </c>
      <c r="F2268" t="str">
        <f>VLOOKUP(G2268,PC!B:D,2,FALSE)</f>
        <v>SOBREMESA</v>
      </c>
      <c r="G2268" s="4" t="s">
        <v>7</v>
      </c>
      <c r="H2268" s="1">
        <v>187</v>
      </c>
    </row>
    <row r="2269" spans="2:8" x14ac:dyDescent="0.2">
      <c r="B2269" t="str">
        <f>VLOOKUP(G2269,PC!B:D,3,FALSE)</f>
        <v>CPV</v>
      </c>
      <c r="C2269" s="22">
        <v>2023</v>
      </c>
      <c r="D2269" t="s">
        <v>74</v>
      </c>
      <c r="E2269" t="s">
        <v>129</v>
      </c>
      <c r="F2269" t="str">
        <f>VLOOKUP(G2269,PC!B:D,2,FALSE)</f>
        <v>CIGARRO</v>
      </c>
      <c r="G2269" s="4" t="s">
        <v>57</v>
      </c>
      <c r="H2269" s="1">
        <v>809</v>
      </c>
    </row>
    <row r="2270" spans="2:8" x14ac:dyDescent="0.2">
      <c r="B2270" t="str">
        <f>VLOOKUP(G2270,PC!B:D,3,FALSE)</f>
        <v>CPV</v>
      </c>
      <c r="C2270" s="22">
        <v>2023</v>
      </c>
      <c r="D2270" t="s">
        <v>74</v>
      </c>
      <c r="E2270" t="s">
        <v>129</v>
      </c>
      <c r="F2270" t="str">
        <f>VLOOKUP(G2270,PC!B:D,2,FALSE)</f>
        <v>COMIDA</v>
      </c>
      <c r="G2270" s="4" t="s">
        <v>146</v>
      </c>
      <c r="H2270" s="1">
        <v>120.5</v>
      </c>
    </row>
    <row r="2271" spans="2:8" x14ac:dyDescent="0.2">
      <c r="B2271" t="str">
        <f>VLOOKUP(G2271,PC!B:D,3,FALSE)</f>
        <v>CPV</v>
      </c>
      <c r="C2271" s="22">
        <v>2023</v>
      </c>
      <c r="D2271" t="s">
        <v>74</v>
      </c>
      <c r="E2271" t="s">
        <v>129</v>
      </c>
      <c r="F2271" t="str">
        <f>VLOOKUP(G2271,PC!B:D,2,FALSE)</f>
        <v>BEBIDAS</v>
      </c>
      <c r="G2271" s="4" t="s">
        <v>46</v>
      </c>
      <c r="H2271" s="1">
        <v>183</v>
      </c>
    </row>
    <row r="2272" spans="2:8" x14ac:dyDescent="0.2">
      <c r="B2272" t="str">
        <f>VLOOKUP(G2272,PC!B:D,3,FALSE)</f>
        <v>CPV</v>
      </c>
      <c r="C2272" s="22">
        <v>2023</v>
      </c>
      <c r="D2272" t="s">
        <v>74</v>
      </c>
      <c r="E2272" t="s">
        <v>129</v>
      </c>
      <c r="F2272" t="str">
        <f>VLOOKUP(G2272,PC!B:D,2,FALSE)</f>
        <v>SOBREMESA</v>
      </c>
      <c r="G2272" s="4" t="s">
        <v>8</v>
      </c>
      <c r="H2272" s="1">
        <v>137</v>
      </c>
    </row>
    <row r="2273" spans="2:8" x14ac:dyDescent="0.2">
      <c r="B2273" t="str">
        <f>VLOOKUP(G2273,PC!B:D,3,FALSE)</f>
        <v>CPV</v>
      </c>
      <c r="C2273" s="22">
        <v>2023</v>
      </c>
      <c r="D2273" t="s">
        <v>74</v>
      </c>
      <c r="E2273" t="s">
        <v>129</v>
      </c>
      <c r="F2273" t="str">
        <f>VLOOKUP(G2273,PC!B:D,2,FALSE)</f>
        <v>COMIDA</v>
      </c>
      <c r="G2273" s="4" t="s">
        <v>12</v>
      </c>
      <c r="H2273" s="1">
        <v>180</v>
      </c>
    </row>
    <row r="2274" spans="2:8" x14ac:dyDescent="0.2">
      <c r="B2274" t="str">
        <f>VLOOKUP(G2274,PC!B:D,3,FALSE)</f>
        <v>CPV</v>
      </c>
      <c r="C2274" s="22">
        <v>2023</v>
      </c>
      <c r="D2274" t="s">
        <v>74</v>
      </c>
      <c r="E2274" t="s">
        <v>129</v>
      </c>
      <c r="F2274" t="str">
        <f>VLOOKUP(G2274,PC!B:D,2,FALSE)</f>
        <v>COMIDA</v>
      </c>
      <c r="G2274" s="4" t="s">
        <v>145</v>
      </c>
      <c r="H2274" s="1">
        <v>35.200000000000003</v>
      </c>
    </row>
    <row r="2275" spans="2:8" x14ac:dyDescent="0.2">
      <c r="B2275" t="str">
        <f>VLOOKUP(G2275,PC!B:D,3,FALSE)</f>
        <v>CPV</v>
      </c>
      <c r="C2275" s="22">
        <v>2023</v>
      </c>
      <c r="D2275" t="s">
        <v>74</v>
      </c>
      <c r="E2275" t="s">
        <v>129</v>
      </c>
      <c r="F2275" t="str">
        <f>VLOOKUP(G2275,PC!B:D,2,FALSE)</f>
        <v>COMIDA</v>
      </c>
      <c r="G2275" s="4" t="s">
        <v>38</v>
      </c>
      <c r="H2275" s="1">
        <v>326</v>
      </c>
    </row>
    <row r="2276" spans="2:8" x14ac:dyDescent="0.2">
      <c r="B2276" t="str">
        <f>VLOOKUP(G2276,PC!B:D,3,FALSE)</f>
        <v>DESCONTO DE FATURAMENTO</v>
      </c>
      <c r="C2276" s="22">
        <v>2023</v>
      </c>
      <c r="D2276" t="s">
        <v>44</v>
      </c>
      <c r="E2276" t="s">
        <v>129</v>
      </c>
      <c r="F2276" t="str">
        <f>VLOOKUP(G2276,PC!B:D,2,FALSE)</f>
        <v>IMPOSTO</v>
      </c>
      <c r="G2276" s="4" t="s">
        <v>158</v>
      </c>
      <c r="H2276" s="1">
        <v>479.15</v>
      </c>
    </row>
    <row r="2277" spans="2:8" x14ac:dyDescent="0.2">
      <c r="B2277" t="str">
        <f>VLOOKUP(G2277,PC!B:D,3,FALSE)</f>
        <v>DESPESA PESSOAL</v>
      </c>
      <c r="C2277" s="22">
        <v>2023</v>
      </c>
      <c r="D2277" t="s">
        <v>44</v>
      </c>
      <c r="E2277" t="s">
        <v>129</v>
      </c>
      <c r="F2277" t="str">
        <f>VLOOKUP(G2277,PC!B:D,2,FALSE)</f>
        <v>DESPESA PESSOAL</v>
      </c>
      <c r="G2277" s="4" t="s">
        <v>68</v>
      </c>
      <c r="H2277" s="1">
        <v>632.47</v>
      </c>
    </row>
    <row r="2278" spans="2:8" x14ac:dyDescent="0.2">
      <c r="B2278" t="str">
        <f>VLOOKUP(G2278,PC!B:D,3,FALSE)</f>
        <v>DESPESA FINANCEIRA</v>
      </c>
      <c r="C2278" s="22">
        <v>2023</v>
      </c>
      <c r="D2278" t="s">
        <v>44</v>
      </c>
      <c r="E2278" t="s">
        <v>129</v>
      </c>
      <c r="F2278" t="str">
        <f>VLOOKUP(G2278,PC!B:D,2,FALSE)</f>
        <v>DESPESA FINANCEIRA</v>
      </c>
      <c r="G2278" s="4" t="s">
        <v>90</v>
      </c>
      <c r="H2278" s="1">
        <v>627.75</v>
      </c>
    </row>
    <row r="2279" spans="2:8" x14ac:dyDescent="0.2">
      <c r="B2279" t="str">
        <f>VLOOKUP(G2279,PC!B:D,3,FALSE)</f>
        <v>DESCONTO DE FATURAMENTO</v>
      </c>
      <c r="C2279" s="22">
        <v>2023</v>
      </c>
      <c r="D2279" t="s">
        <v>44</v>
      </c>
      <c r="E2279" t="s">
        <v>129</v>
      </c>
      <c r="F2279" t="str">
        <f>VLOOKUP(G2279,PC!B:D,2,FALSE)</f>
        <v>IMPOSTO</v>
      </c>
      <c r="G2279" s="4" t="s">
        <v>88</v>
      </c>
      <c r="H2279" s="1">
        <v>4480.6000000000004</v>
      </c>
    </row>
    <row r="2280" spans="2:8" x14ac:dyDescent="0.2">
      <c r="B2280" t="str">
        <f>VLOOKUP(G2280,PC!B:D,3,FALSE)</f>
        <v>CPV</v>
      </c>
      <c r="C2280" s="22">
        <v>2023</v>
      </c>
      <c r="D2280" t="s">
        <v>74</v>
      </c>
      <c r="E2280" t="s">
        <v>129</v>
      </c>
      <c r="F2280" t="str">
        <f>VLOOKUP(G2280,PC!B:D,2,FALSE)</f>
        <v>COMIDA</v>
      </c>
      <c r="G2280" s="4" t="s">
        <v>12</v>
      </c>
      <c r="H2280" s="1">
        <v>500</v>
      </c>
    </row>
    <row r="2281" spans="2:8" x14ac:dyDescent="0.2">
      <c r="B2281" t="str">
        <f>VLOOKUP(G2281,PC!B:D,3,FALSE)</f>
        <v>CPV</v>
      </c>
      <c r="C2281" s="22">
        <v>2023</v>
      </c>
      <c r="D2281" t="s">
        <v>74</v>
      </c>
      <c r="E2281" t="s">
        <v>129</v>
      </c>
      <c r="F2281" t="str">
        <f>VLOOKUP(G2281,PC!B:D,2,FALSE)</f>
        <v>COMIDA</v>
      </c>
      <c r="G2281" s="4" t="s">
        <v>22</v>
      </c>
      <c r="H2281" s="1">
        <v>90</v>
      </c>
    </row>
    <row r="2282" spans="2:8" x14ac:dyDescent="0.2">
      <c r="B2282" t="str">
        <f>VLOOKUP(G2282,PC!B:D,3,FALSE)</f>
        <v>CPV</v>
      </c>
      <c r="C2282" s="22">
        <v>2023</v>
      </c>
      <c r="D2282" t="s">
        <v>74</v>
      </c>
      <c r="E2282" t="s">
        <v>129</v>
      </c>
      <c r="F2282" t="str">
        <f>VLOOKUP(G2282,PC!B:D,2,FALSE)</f>
        <v>CIGARRO</v>
      </c>
      <c r="G2282" s="4" t="s">
        <v>57</v>
      </c>
      <c r="H2282" s="1">
        <v>80</v>
      </c>
    </row>
    <row r="2283" spans="2:8" x14ac:dyDescent="0.2">
      <c r="B2283" t="str">
        <f>VLOOKUP(G2283,PC!B:D,3,FALSE)</f>
        <v>CPV</v>
      </c>
      <c r="C2283" s="22">
        <v>2023</v>
      </c>
      <c r="D2283" t="s">
        <v>74</v>
      </c>
      <c r="E2283" t="s">
        <v>129</v>
      </c>
      <c r="F2283" t="str">
        <f>VLOOKUP(G2283,PC!B:D,2,FALSE)</f>
        <v>COMIDA</v>
      </c>
      <c r="G2283" s="4" t="s">
        <v>18</v>
      </c>
      <c r="H2283" s="1">
        <v>41</v>
      </c>
    </row>
    <row r="2284" spans="2:8" x14ac:dyDescent="0.2">
      <c r="B2284" t="str">
        <f>VLOOKUP(G2284,PC!B:D,3,FALSE)</f>
        <v>CPV</v>
      </c>
      <c r="C2284" s="22">
        <v>2023</v>
      </c>
      <c r="D2284" t="s">
        <v>74</v>
      </c>
      <c r="E2284" t="s">
        <v>129</v>
      </c>
      <c r="F2284" t="str">
        <f>VLOOKUP(G2284,PC!B:D,2,FALSE)</f>
        <v>COMIDA</v>
      </c>
      <c r="G2284" s="4" t="s">
        <v>18</v>
      </c>
      <c r="H2284" s="1">
        <v>70.5</v>
      </c>
    </row>
    <row r="2285" spans="2:8" x14ac:dyDescent="0.2">
      <c r="B2285" t="str">
        <f>VLOOKUP(G2285,PC!B:D,3,FALSE)</f>
        <v>CPV</v>
      </c>
      <c r="C2285" s="22">
        <v>2023</v>
      </c>
      <c r="D2285" t="s">
        <v>74</v>
      </c>
      <c r="E2285" t="s">
        <v>129</v>
      </c>
      <c r="F2285" t="str">
        <f>VLOOKUP(G2285,PC!B:D,2,FALSE)</f>
        <v>COMIDA</v>
      </c>
      <c r="G2285" s="4" t="s">
        <v>12</v>
      </c>
      <c r="H2285" s="1">
        <v>114</v>
      </c>
    </row>
    <row r="2286" spans="2:8" x14ac:dyDescent="0.2">
      <c r="B2286" t="str">
        <f>VLOOKUP(G2286,PC!B:D,3,FALSE)</f>
        <v>CPV</v>
      </c>
      <c r="C2286" s="22">
        <v>2023</v>
      </c>
      <c r="D2286" t="s">
        <v>74</v>
      </c>
      <c r="E2286" t="s">
        <v>129</v>
      </c>
      <c r="F2286" t="str">
        <f>VLOOKUP(G2286,PC!B:D,2,FALSE)</f>
        <v>SOBREMESA</v>
      </c>
      <c r="G2286" s="4" t="s">
        <v>7</v>
      </c>
      <c r="H2286" s="1">
        <v>221</v>
      </c>
    </row>
    <row r="2287" spans="2:8" x14ac:dyDescent="0.2">
      <c r="B2287" t="str">
        <f>VLOOKUP(G2287,PC!B:D,3,FALSE)</f>
        <v>CPV</v>
      </c>
      <c r="C2287" s="22">
        <v>2023</v>
      </c>
      <c r="D2287" t="s">
        <v>74</v>
      </c>
      <c r="E2287" t="s">
        <v>129</v>
      </c>
      <c r="F2287" t="str">
        <f>VLOOKUP(G2287,PC!B:D,2,FALSE)</f>
        <v>COMIDA</v>
      </c>
      <c r="G2287" s="4" t="s">
        <v>33</v>
      </c>
      <c r="H2287" s="1">
        <v>42</v>
      </c>
    </row>
    <row r="2288" spans="2:8" x14ac:dyDescent="0.2">
      <c r="B2288" t="str">
        <f>VLOOKUP(G2288,PC!B:D,3,FALSE)</f>
        <v>CPV</v>
      </c>
      <c r="C2288" s="22">
        <v>2023</v>
      </c>
      <c r="D2288" t="s">
        <v>74</v>
      </c>
      <c r="E2288" t="s">
        <v>129</v>
      </c>
      <c r="F2288" t="str">
        <f>VLOOKUP(G2288,PC!B:D,2,FALSE)</f>
        <v>COMIDA</v>
      </c>
      <c r="G2288" s="4" t="s">
        <v>155</v>
      </c>
      <c r="H2288" s="1">
        <v>375</v>
      </c>
    </row>
    <row r="2289" spans="2:9" x14ac:dyDescent="0.2">
      <c r="B2289" t="str">
        <f>VLOOKUP(G2289,PC!B:D,3,FALSE)</f>
        <v>CPV</v>
      </c>
      <c r="C2289" s="22">
        <v>2023</v>
      </c>
      <c r="D2289" t="s">
        <v>74</v>
      </c>
      <c r="E2289" t="s">
        <v>129</v>
      </c>
      <c r="F2289" t="str">
        <f>VLOOKUP(G2289,PC!B:D,2,FALSE)</f>
        <v>COMIDA</v>
      </c>
      <c r="G2289" s="4" t="s">
        <v>12</v>
      </c>
      <c r="H2289" s="1">
        <v>147</v>
      </c>
    </row>
    <row r="2290" spans="2:9" x14ac:dyDescent="0.2">
      <c r="B2290" t="str">
        <f>VLOOKUP(G2290,PC!B:D,3,FALSE)</f>
        <v>DESPESA OPERACIONAL</v>
      </c>
      <c r="C2290" s="22">
        <v>2023</v>
      </c>
      <c r="D2290" t="s">
        <v>74</v>
      </c>
      <c r="E2290" t="s">
        <v>129</v>
      </c>
      <c r="F2290" t="str">
        <f>VLOOKUP(G2290,PC!B:D,2,FALSE)</f>
        <v>DESPESA OPERACIONAL</v>
      </c>
      <c r="G2290" s="4" t="s">
        <v>70</v>
      </c>
      <c r="H2290" s="1">
        <v>104</v>
      </c>
    </row>
    <row r="2291" spans="2:9" x14ac:dyDescent="0.2">
      <c r="B2291" t="str">
        <f>VLOOKUP(G2291,PC!B:D,3,FALSE)</f>
        <v>CPV</v>
      </c>
      <c r="C2291" s="22">
        <v>2023</v>
      </c>
      <c r="D2291" t="s">
        <v>74</v>
      </c>
      <c r="E2291" t="s">
        <v>129</v>
      </c>
      <c r="F2291" t="str">
        <f>VLOOKUP(G2291,PC!B:D,2,FALSE)</f>
        <v>COMIDA</v>
      </c>
      <c r="G2291" s="4" t="s">
        <v>12</v>
      </c>
      <c r="H2291" s="1">
        <v>163.30000000000001</v>
      </c>
    </row>
    <row r="2292" spans="2:9" x14ac:dyDescent="0.2">
      <c r="B2292" t="str">
        <f>VLOOKUP(G2292,PC!B:D,3,FALSE)</f>
        <v>CPV</v>
      </c>
      <c r="C2292" s="22">
        <v>2023</v>
      </c>
      <c r="D2292" t="s">
        <v>74</v>
      </c>
      <c r="E2292" t="s">
        <v>129</v>
      </c>
      <c r="F2292" t="str">
        <f>VLOOKUP(G2292,PC!B:D,2,FALSE)</f>
        <v>COMIDA</v>
      </c>
      <c r="G2292" s="4" t="s">
        <v>145</v>
      </c>
      <c r="H2292" s="1">
        <v>66.8</v>
      </c>
    </row>
    <row r="2293" spans="2:9" x14ac:dyDescent="0.2">
      <c r="B2293" t="str">
        <f>VLOOKUP(G2293,PC!B:D,3,FALSE)</f>
        <v>CPV</v>
      </c>
      <c r="C2293" s="22">
        <v>2023</v>
      </c>
      <c r="D2293" t="s">
        <v>74</v>
      </c>
      <c r="E2293" t="s">
        <v>129</v>
      </c>
      <c r="F2293" t="str">
        <f>VLOOKUP(G2293,PC!B:D,2,FALSE)</f>
        <v>CIGARRO</v>
      </c>
      <c r="G2293" s="4" t="s">
        <v>57</v>
      </c>
      <c r="H2293" s="1">
        <v>1011</v>
      </c>
    </row>
    <row r="2294" spans="2:9" x14ac:dyDescent="0.2">
      <c r="B2294" t="str">
        <f>VLOOKUP(G2294,PC!B:D,3,FALSE)</f>
        <v>CPV</v>
      </c>
      <c r="C2294" s="22">
        <v>2023</v>
      </c>
      <c r="D2294" t="s">
        <v>74</v>
      </c>
      <c r="E2294" t="s">
        <v>129</v>
      </c>
      <c r="F2294" t="str">
        <f>VLOOKUP(G2294,PC!B:D,2,FALSE)</f>
        <v>COMIDA</v>
      </c>
      <c r="G2294" s="4" t="s">
        <v>12</v>
      </c>
      <c r="H2294" s="1">
        <v>36</v>
      </c>
    </row>
    <row r="2295" spans="2:9" x14ac:dyDescent="0.2">
      <c r="B2295" t="str">
        <f>VLOOKUP(G2295,PC!B:D,3,FALSE)</f>
        <v>CPV</v>
      </c>
      <c r="C2295" s="22">
        <v>2023</v>
      </c>
      <c r="D2295" t="s">
        <v>74</v>
      </c>
      <c r="E2295" t="s">
        <v>129</v>
      </c>
      <c r="F2295" t="str">
        <f>VLOOKUP(G2295,PC!B:D,2,FALSE)</f>
        <v>COMIDA</v>
      </c>
      <c r="G2295" s="4" t="s">
        <v>12</v>
      </c>
      <c r="H2295" s="1">
        <v>213</v>
      </c>
    </row>
    <row r="2296" spans="2:9" x14ac:dyDescent="0.2">
      <c r="B2296" t="str">
        <f>VLOOKUP(G2296,PC!B:D,3,FALSE)</f>
        <v>CPV</v>
      </c>
      <c r="C2296" s="22">
        <v>2023</v>
      </c>
      <c r="D2296" t="s">
        <v>74</v>
      </c>
      <c r="E2296" t="s">
        <v>129</v>
      </c>
      <c r="F2296" t="str">
        <f>VLOOKUP(G2296,PC!B:D,2,FALSE)</f>
        <v>COMIDA</v>
      </c>
      <c r="G2296" s="4" t="s">
        <v>155</v>
      </c>
      <c r="H2296" s="1">
        <v>460</v>
      </c>
    </row>
    <row r="2297" spans="2:9" x14ac:dyDescent="0.2">
      <c r="B2297" t="str">
        <f>VLOOKUP(G2297,PC!B:D,3,FALSE)</f>
        <v>CPV</v>
      </c>
      <c r="C2297" s="22">
        <v>2023</v>
      </c>
      <c r="D2297" t="s">
        <v>74</v>
      </c>
      <c r="E2297" t="s">
        <v>129</v>
      </c>
      <c r="F2297" t="str">
        <f>VLOOKUP(G2297,PC!B:D,2,FALSE)</f>
        <v>COMIDA</v>
      </c>
      <c r="G2297" s="4" t="s">
        <v>146</v>
      </c>
      <c r="H2297" s="1">
        <v>90</v>
      </c>
    </row>
    <row r="2298" spans="2:9" x14ac:dyDescent="0.2">
      <c r="B2298" t="str">
        <f>VLOOKUP(G2298,PC!B:D,3,FALSE)</f>
        <v>CPV</v>
      </c>
      <c r="C2298" s="22">
        <v>2023</v>
      </c>
      <c r="D2298" t="s">
        <v>74</v>
      </c>
      <c r="E2298" t="s">
        <v>129</v>
      </c>
      <c r="F2298" t="str">
        <f>VLOOKUP(G2298,PC!B:D,2,FALSE)</f>
        <v>OUTROS</v>
      </c>
      <c r="G2298" s="4" t="s">
        <v>58</v>
      </c>
      <c r="H2298" s="1">
        <v>150</v>
      </c>
    </row>
    <row r="2299" spans="2:9" x14ac:dyDescent="0.2">
      <c r="B2299" t="str">
        <f>VLOOKUP(G2299,PC!B:D,3,FALSE)</f>
        <v>CPV</v>
      </c>
      <c r="C2299" s="22">
        <v>2023</v>
      </c>
      <c r="D2299" t="s">
        <v>74</v>
      </c>
      <c r="E2299" t="s">
        <v>129</v>
      </c>
      <c r="F2299" t="str">
        <f>VLOOKUP(G2299,PC!B:D,2,FALSE)</f>
        <v>SOBREMESA</v>
      </c>
      <c r="G2299" s="4" t="s">
        <v>7</v>
      </c>
      <c r="H2299" s="1">
        <v>82</v>
      </c>
    </row>
    <row r="2300" spans="2:9" x14ac:dyDescent="0.2">
      <c r="B2300" t="str">
        <f>VLOOKUP(G2300,PC!B:D,3,FALSE)</f>
        <v>CPV</v>
      </c>
      <c r="C2300" s="22">
        <v>2023</v>
      </c>
      <c r="D2300" t="s">
        <v>74</v>
      </c>
      <c r="E2300" t="s">
        <v>129</v>
      </c>
      <c r="F2300" t="str">
        <f>VLOOKUP(G2300,PC!B:D,2,FALSE)</f>
        <v>COMIDA</v>
      </c>
      <c r="G2300" s="4" t="s">
        <v>33</v>
      </c>
      <c r="H2300" s="1">
        <v>250</v>
      </c>
    </row>
    <row r="2301" spans="2:9" x14ac:dyDescent="0.2">
      <c r="B2301" t="str">
        <f>VLOOKUP(G2301,PC!B:D,3,FALSE)</f>
        <v>CPV</v>
      </c>
      <c r="C2301" s="22">
        <v>2023</v>
      </c>
      <c r="D2301" t="s">
        <v>74</v>
      </c>
      <c r="E2301" t="s">
        <v>129</v>
      </c>
      <c r="F2301" t="str">
        <f>VLOOKUP(G2301,PC!B:D,2,FALSE)</f>
        <v>OUTROS</v>
      </c>
      <c r="G2301" s="4" t="s">
        <v>37</v>
      </c>
      <c r="H2301" s="1">
        <v>50</v>
      </c>
    </row>
    <row r="2302" spans="2:9" x14ac:dyDescent="0.2">
      <c r="B2302" t="str">
        <f>VLOOKUP(G2302,PC!B:D,3,FALSE)</f>
        <v>CPV</v>
      </c>
      <c r="C2302" s="22">
        <v>2023</v>
      </c>
      <c r="D2302" t="s">
        <v>74</v>
      </c>
      <c r="E2302" t="s">
        <v>129</v>
      </c>
      <c r="F2302" t="str">
        <f>VLOOKUP(G2302,PC!B:D,2,FALSE)</f>
        <v>BEBIDAS</v>
      </c>
      <c r="G2302" s="4" t="s">
        <v>48</v>
      </c>
      <c r="H2302" s="1">
        <f>184.8*2</f>
        <v>369.6</v>
      </c>
      <c r="I2302" s="8"/>
    </row>
    <row r="2303" spans="2:9" x14ac:dyDescent="0.2">
      <c r="B2303" t="str">
        <f>VLOOKUP(G2303,PC!B:D,3,FALSE)</f>
        <v>CPV</v>
      </c>
      <c r="C2303" s="22">
        <v>2023</v>
      </c>
      <c r="D2303" t="s">
        <v>74</v>
      </c>
      <c r="E2303" t="s">
        <v>159</v>
      </c>
      <c r="F2303" t="str">
        <f>VLOOKUP(G2303,PC!B:D,2,FALSE)</f>
        <v>COMIDA</v>
      </c>
      <c r="G2303" s="4" t="s">
        <v>145</v>
      </c>
      <c r="H2303" s="1">
        <v>151.6</v>
      </c>
    </row>
    <row r="2304" spans="2:9" x14ac:dyDescent="0.2">
      <c r="B2304" t="str">
        <f>VLOOKUP(G2304,PC!B:D,3,FALSE)</f>
        <v>CPV</v>
      </c>
      <c r="C2304" s="22">
        <v>2023</v>
      </c>
      <c r="D2304" t="s">
        <v>74</v>
      </c>
      <c r="E2304" t="s">
        <v>78</v>
      </c>
      <c r="F2304" t="str">
        <f>VLOOKUP(G2304,PC!B:D,2,FALSE)</f>
        <v>CIGARRO</v>
      </c>
      <c r="G2304" s="4" t="s">
        <v>82</v>
      </c>
      <c r="H2304" s="1">
        <v>91.88</v>
      </c>
    </row>
    <row r="2305" spans="2:8" x14ac:dyDescent="0.2">
      <c r="B2305" t="str">
        <f>VLOOKUP(G2305,PC!B:D,3,FALSE)</f>
        <v>CPV</v>
      </c>
      <c r="C2305" s="22">
        <v>2023</v>
      </c>
      <c r="D2305" t="s">
        <v>74</v>
      </c>
      <c r="E2305" t="s">
        <v>28</v>
      </c>
      <c r="F2305" t="str">
        <f>VLOOKUP(G2305,PC!B:D,2,FALSE)</f>
        <v>BEBIDAS</v>
      </c>
      <c r="G2305" s="4" t="s">
        <v>26</v>
      </c>
      <c r="H2305" s="1">
        <v>4068.04</v>
      </c>
    </row>
    <row r="2306" spans="2:8" x14ac:dyDescent="0.2">
      <c r="B2306" t="str">
        <f>VLOOKUP(G2306,PC!B:D,3,FALSE)</f>
        <v>CPV</v>
      </c>
      <c r="C2306" s="22">
        <v>2023</v>
      </c>
      <c r="D2306" t="s">
        <v>74</v>
      </c>
      <c r="E2306" t="s">
        <v>129</v>
      </c>
      <c r="F2306" t="str">
        <f>VLOOKUP(G2306,PC!B:D,2,FALSE)</f>
        <v>COMIDA</v>
      </c>
      <c r="G2306" s="4" t="s">
        <v>18</v>
      </c>
      <c r="H2306" s="1">
        <v>58</v>
      </c>
    </row>
    <row r="2307" spans="2:8" x14ac:dyDescent="0.2">
      <c r="B2307" t="str">
        <f>VLOOKUP(G2307,PC!B:D,3,FALSE)</f>
        <v>CPV</v>
      </c>
      <c r="C2307" s="22">
        <v>2023</v>
      </c>
      <c r="D2307" t="s">
        <v>74</v>
      </c>
      <c r="E2307" t="s">
        <v>30</v>
      </c>
      <c r="F2307" t="str">
        <f>VLOOKUP(G2307,PC!B:D,2,FALSE)</f>
        <v>SOBREMESA</v>
      </c>
      <c r="G2307" s="4" t="s">
        <v>23</v>
      </c>
      <c r="H2307" s="1">
        <v>261.37</v>
      </c>
    </row>
    <row r="2308" spans="2:8" x14ac:dyDescent="0.2">
      <c r="B2308" t="str">
        <f>VLOOKUP(G2308,PC!B:D,3,FALSE)</f>
        <v>CPV</v>
      </c>
      <c r="C2308" s="22">
        <v>2023</v>
      </c>
      <c r="D2308" t="s">
        <v>74</v>
      </c>
      <c r="E2308" t="s">
        <v>156</v>
      </c>
      <c r="F2308" t="str">
        <f>VLOOKUP(G2308,PC!B:D,2,FALSE)</f>
        <v>BEBIDAS</v>
      </c>
      <c r="G2308" s="4" t="s">
        <v>26</v>
      </c>
      <c r="H2308" s="1">
        <v>330.55</v>
      </c>
    </row>
    <row r="2309" spans="2:8" x14ac:dyDescent="0.2">
      <c r="B2309" t="str">
        <f>VLOOKUP(G2309,PC!B:D,3,FALSE)</f>
        <v>CPV</v>
      </c>
      <c r="C2309" s="22">
        <v>2023</v>
      </c>
      <c r="D2309" t="s">
        <v>74</v>
      </c>
      <c r="E2309" t="s">
        <v>28</v>
      </c>
      <c r="F2309" t="str">
        <f>VLOOKUP(G2309,PC!B:D,2,FALSE)</f>
        <v>BEBIDAS</v>
      </c>
      <c r="G2309" s="4" t="s">
        <v>26</v>
      </c>
      <c r="H2309" s="1">
        <v>271.94</v>
      </c>
    </row>
    <row r="2310" spans="2:8" x14ac:dyDescent="0.2">
      <c r="B2310" t="str">
        <f>VLOOKUP(G2310,PC!B:D,3,FALSE)</f>
        <v>CPV</v>
      </c>
      <c r="C2310" s="22">
        <v>2023</v>
      </c>
      <c r="D2310" t="s">
        <v>74</v>
      </c>
      <c r="E2310" t="s">
        <v>28</v>
      </c>
      <c r="F2310" t="str">
        <f>VLOOKUP(G2310,PC!B:D,2,FALSE)</f>
        <v>BEBIDAS</v>
      </c>
      <c r="G2310" s="4" t="s">
        <v>26</v>
      </c>
      <c r="H2310" s="1">
        <v>1172.5899999999999</v>
      </c>
    </row>
    <row r="2311" spans="2:8" x14ac:dyDescent="0.2">
      <c r="B2311" t="str">
        <f>VLOOKUP(G2311,PC!B:D,3,FALSE)</f>
        <v>CPV</v>
      </c>
      <c r="C2311" s="22">
        <v>2023</v>
      </c>
      <c r="D2311" t="s">
        <v>74</v>
      </c>
      <c r="E2311" t="s">
        <v>40</v>
      </c>
      <c r="F2311" t="str">
        <f>VLOOKUP(G2311,PC!B:D,2,FALSE)</f>
        <v>BEBIDAS</v>
      </c>
      <c r="G2311" s="4" t="s">
        <v>26</v>
      </c>
      <c r="H2311" s="1">
        <v>145.66</v>
      </c>
    </row>
    <row r="2312" spans="2:8" x14ac:dyDescent="0.2">
      <c r="B2312" t="str">
        <f>VLOOKUP(G2312,PC!B:D,3,FALSE)</f>
        <v>CPV</v>
      </c>
      <c r="C2312" s="22">
        <v>2023</v>
      </c>
      <c r="D2312" t="s">
        <v>74</v>
      </c>
      <c r="E2312" t="s">
        <v>20</v>
      </c>
      <c r="F2312" t="str">
        <f>VLOOKUP(G2312,PC!B:D,2,FALSE)</f>
        <v>COMIDA</v>
      </c>
      <c r="G2312" s="4" t="s">
        <v>29</v>
      </c>
      <c r="H2312" s="1">
        <v>141.6</v>
      </c>
    </row>
    <row r="2313" spans="2:8" x14ac:dyDescent="0.2">
      <c r="B2313" t="str">
        <f>VLOOKUP(G2313,PC!B:D,3,FALSE)</f>
        <v>CPV</v>
      </c>
      <c r="C2313" s="22">
        <v>2023</v>
      </c>
      <c r="D2313" t="s">
        <v>74</v>
      </c>
      <c r="E2313" t="s">
        <v>160</v>
      </c>
      <c r="F2313" t="str">
        <f>VLOOKUP(G2313,PC!B:D,2,FALSE)</f>
        <v>OUTROS</v>
      </c>
      <c r="G2313" s="4" t="s">
        <v>37</v>
      </c>
      <c r="H2313" s="1">
        <v>231.32</v>
      </c>
    </row>
    <row r="2314" spans="2:8" x14ac:dyDescent="0.2">
      <c r="B2314" t="str">
        <f>VLOOKUP(G2314,PC!B:D,3,FALSE)</f>
        <v>CPV</v>
      </c>
      <c r="C2314" s="22">
        <v>2023</v>
      </c>
      <c r="D2314" t="s">
        <v>74</v>
      </c>
      <c r="E2314" t="s">
        <v>28</v>
      </c>
      <c r="F2314" t="str">
        <f>VLOOKUP(G2314,PC!B:D,2,FALSE)</f>
        <v>BEBIDAS</v>
      </c>
      <c r="G2314" s="4" t="s">
        <v>26</v>
      </c>
      <c r="H2314" s="1">
        <v>920.64</v>
      </c>
    </row>
    <row r="2315" spans="2:8" x14ac:dyDescent="0.2">
      <c r="B2315" t="str">
        <f>VLOOKUP(G2315,PC!B:D,3,FALSE)</f>
        <v>CPV</v>
      </c>
      <c r="C2315" s="22">
        <v>2023</v>
      </c>
      <c r="D2315" t="s">
        <v>74</v>
      </c>
      <c r="E2315" t="s">
        <v>95</v>
      </c>
      <c r="F2315" t="str">
        <f>VLOOKUP(G2315,PC!B:D,2,FALSE)</f>
        <v>BEBIDAS</v>
      </c>
      <c r="G2315" s="4" t="s">
        <v>144</v>
      </c>
      <c r="H2315" s="1">
        <v>460.82</v>
      </c>
    </row>
    <row r="2316" spans="2:8" x14ac:dyDescent="0.2">
      <c r="B2316" t="str">
        <f>VLOOKUP(G2316,PC!B:D,3,FALSE)</f>
        <v>CPV</v>
      </c>
      <c r="C2316" s="22">
        <v>2023</v>
      </c>
      <c r="D2316" t="s">
        <v>74</v>
      </c>
      <c r="E2316" t="s">
        <v>45</v>
      </c>
      <c r="F2316" t="str">
        <f>VLOOKUP(G2316,PC!B:D,2,FALSE)</f>
        <v>SOBREMESA</v>
      </c>
      <c r="G2316" s="4" t="s">
        <v>47</v>
      </c>
      <c r="H2316" s="1">
        <v>827.94</v>
      </c>
    </row>
    <row r="2317" spans="2:8" x14ac:dyDescent="0.2">
      <c r="B2317" t="str">
        <f>VLOOKUP(G2317,PC!B:D,3,FALSE)</f>
        <v>CPV</v>
      </c>
      <c r="C2317" s="22">
        <v>2023</v>
      </c>
      <c r="D2317" t="s">
        <v>74</v>
      </c>
      <c r="E2317" t="s">
        <v>45</v>
      </c>
      <c r="F2317" t="str">
        <f>VLOOKUP(G2317,PC!B:D,2,FALSE)</f>
        <v>OUTROS</v>
      </c>
      <c r="G2317" s="4" t="s">
        <v>37</v>
      </c>
      <c r="H2317" s="1">
        <v>904.61</v>
      </c>
    </row>
    <row r="2318" spans="2:8" x14ac:dyDescent="0.2">
      <c r="B2318" t="str">
        <f>VLOOKUP(G2318,PC!B:D,3,FALSE)</f>
        <v>CPV</v>
      </c>
      <c r="C2318" s="22">
        <v>2023</v>
      </c>
      <c r="D2318" t="s">
        <v>74</v>
      </c>
      <c r="E2318" t="s">
        <v>100</v>
      </c>
      <c r="F2318" t="str">
        <f>VLOOKUP(G2318,PC!B:D,2,FALSE)</f>
        <v>SOBREMESA</v>
      </c>
      <c r="G2318" s="4" t="s">
        <v>47</v>
      </c>
      <c r="H2318" s="1">
        <v>110.95</v>
      </c>
    </row>
    <row r="2319" spans="2:8" x14ac:dyDescent="0.2">
      <c r="B2319" t="str">
        <f>VLOOKUP(G2319,PC!B:D,3,FALSE)</f>
        <v>CPV</v>
      </c>
      <c r="C2319" s="22">
        <v>2023</v>
      </c>
      <c r="D2319" t="s">
        <v>74</v>
      </c>
      <c r="E2319" t="s">
        <v>6</v>
      </c>
      <c r="F2319" t="str">
        <f>VLOOKUP(G2319,PC!B:D,2,FALSE)</f>
        <v>COMIDA</v>
      </c>
      <c r="G2319" s="4" t="s">
        <v>145</v>
      </c>
      <c r="H2319" s="1">
        <v>65</v>
      </c>
    </row>
    <row r="2320" spans="2:8" x14ac:dyDescent="0.2">
      <c r="B2320" s="25" t="str">
        <f>VLOOKUP(G2320,PC!B:D,3,FALSE)</f>
        <v>CPV</v>
      </c>
      <c r="C2320" s="22">
        <v>2023</v>
      </c>
      <c r="D2320" t="s">
        <v>74</v>
      </c>
      <c r="E2320" s="25" t="s">
        <v>16</v>
      </c>
      <c r="F2320" s="25" t="str">
        <f>VLOOKUP(G2320,PC!B:D,2,FALSE)</f>
        <v>COMIDA</v>
      </c>
      <c r="G2320" s="26" t="s">
        <v>12</v>
      </c>
      <c r="H2320" s="27">
        <v>508.51</v>
      </c>
    </row>
    <row r="2321" spans="2:8" x14ac:dyDescent="0.2">
      <c r="B2321" t="str">
        <f>VLOOKUP(G2321,PC!B:D,3,FALSE)</f>
        <v>CPV</v>
      </c>
      <c r="C2321" s="22">
        <v>2023</v>
      </c>
      <c r="D2321" t="s">
        <v>74</v>
      </c>
      <c r="E2321" t="s">
        <v>49</v>
      </c>
      <c r="F2321" t="str">
        <f>VLOOKUP(G2321,PC!B:D,2,FALSE)</f>
        <v>CIGARRO</v>
      </c>
      <c r="G2321" s="4" t="s">
        <v>52</v>
      </c>
      <c r="H2321" s="1">
        <v>11331.85</v>
      </c>
    </row>
    <row r="2322" spans="2:8" x14ac:dyDescent="0.2">
      <c r="B2322" t="str">
        <f>VLOOKUP(G2322,PC!B:D,3,FALSE)</f>
        <v>CPV</v>
      </c>
      <c r="C2322" s="22">
        <v>2023</v>
      </c>
      <c r="D2322" t="s">
        <v>74</v>
      </c>
      <c r="E2322" t="s">
        <v>156</v>
      </c>
      <c r="F2322" t="str">
        <f>VLOOKUP(G2322,PC!B:D,2,FALSE)</f>
        <v>BEBIDAS</v>
      </c>
      <c r="G2322" s="4" t="s">
        <v>41</v>
      </c>
      <c r="H2322" s="1">
        <v>190.73</v>
      </c>
    </row>
    <row r="2323" spans="2:8" x14ac:dyDescent="0.2">
      <c r="B2323" t="str">
        <f>VLOOKUP(G2323,PC!B:D,3,FALSE)</f>
        <v>RECEITA</v>
      </c>
      <c r="C2323" s="22">
        <v>2023</v>
      </c>
      <c r="D2323" t="s">
        <v>74</v>
      </c>
      <c r="F2323" t="str">
        <f>VLOOKUP(G2323,PC!B:D,2,FALSE)</f>
        <v>RECEITA</v>
      </c>
      <c r="G2323" s="4" t="s">
        <v>83</v>
      </c>
      <c r="H2323" s="1">
        <v>11.45</v>
      </c>
    </row>
    <row r="2324" spans="2:8" x14ac:dyDescent="0.2">
      <c r="B2324" t="str">
        <f>VLOOKUP(G2324,PC!B:D,3,FALSE)</f>
        <v>CPV</v>
      </c>
      <c r="C2324" s="22">
        <v>2023</v>
      </c>
      <c r="D2324" t="s">
        <v>74</v>
      </c>
      <c r="E2324" t="s">
        <v>14</v>
      </c>
      <c r="F2324" t="str">
        <f>VLOOKUP(G2324,PC!B:D,2,FALSE)</f>
        <v>BEBIDAS</v>
      </c>
      <c r="G2324" s="4" t="s">
        <v>25</v>
      </c>
      <c r="H2324" s="1">
        <v>719.72</v>
      </c>
    </row>
    <row r="2325" spans="2:8" x14ac:dyDescent="0.2">
      <c r="B2325" t="str">
        <f>VLOOKUP(G2325,PC!B:D,3,FALSE)</f>
        <v>CPV</v>
      </c>
      <c r="C2325" s="22">
        <v>2023</v>
      </c>
      <c r="D2325" t="s">
        <v>74</v>
      </c>
      <c r="E2325" t="s">
        <v>14</v>
      </c>
      <c r="F2325" t="str">
        <f>VLOOKUP(G2325,PC!B:D,2,FALSE)</f>
        <v>BEBIDAS</v>
      </c>
      <c r="G2325" s="4" t="s">
        <v>26</v>
      </c>
      <c r="H2325" s="1">
        <v>309.48</v>
      </c>
    </row>
    <row r="2326" spans="2:8" x14ac:dyDescent="0.2">
      <c r="B2326" t="str">
        <f>VLOOKUP(G2326,PC!B:D,3,FALSE)</f>
        <v>CPV</v>
      </c>
      <c r="C2326" s="22">
        <v>2023</v>
      </c>
      <c r="D2326" t="s">
        <v>74</v>
      </c>
      <c r="E2326" t="s">
        <v>45</v>
      </c>
      <c r="F2326" t="str">
        <f>VLOOKUP(G2326,PC!B:D,2,FALSE)</f>
        <v>COMIDA</v>
      </c>
      <c r="G2326" s="4" t="s">
        <v>38</v>
      </c>
      <c r="H2326" s="1">
        <v>787.45</v>
      </c>
    </row>
    <row r="2327" spans="2:8" x14ac:dyDescent="0.2">
      <c r="B2327" t="str">
        <f>VLOOKUP(G2327,PC!B:D,3,FALSE)</f>
        <v>CPV</v>
      </c>
      <c r="C2327" s="22">
        <v>2023</v>
      </c>
      <c r="D2327" t="s">
        <v>74</v>
      </c>
      <c r="E2327" t="s">
        <v>163</v>
      </c>
      <c r="F2327" t="str">
        <f>VLOOKUP(G2327,PC!B:D,2,FALSE)</f>
        <v>OUTROS</v>
      </c>
      <c r="G2327" s="4" t="s">
        <v>37</v>
      </c>
      <c r="H2327" s="1">
        <v>762.54</v>
      </c>
    </row>
    <row r="2328" spans="2:8" x14ac:dyDescent="0.2">
      <c r="B2328" t="str">
        <f>VLOOKUP(G2328,PC!B:D,3,FALSE)</f>
        <v>CPV</v>
      </c>
      <c r="C2328" s="22">
        <v>2023</v>
      </c>
      <c r="D2328" t="s">
        <v>74</v>
      </c>
      <c r="E2328" t="s">
        <v>175</v>
      </c>
      <c r="F2328" t="str">
        <f>VLOOKUP(G2328,PC!B:D,2,FALSE)</f>
        <v>BEBIDAS</v>
      </c>
      <c r="G2328" s="4" t="s">
        <v>25</v>
      </c>
      <c r="H2328" s="1">
        <v>240</v>
      </c>
    </row>
    <row r="2329" spans="2:8" x14ac:dyDescent="0.2">
      <c r="B2329" t="str">
        <f>VLOOKUP(G2329,PC!B:D,3,FALSE)</f>
        <v>RECEITA</v>
      </c>
      <c r="C2329" s="22">
        <v>2023</v>
      </c>
      <c r="D2329" t="s">
        <v>74</v>
      </c>
      <c r="F2329" t="str">
        <f>VLOOKUP(G2329,PC!B:D,2,FALSE)</f>
        <v>RECEITA</v>
      </c>
      <c r="G2329" s="4" t="s">
        <v>83</v>
      </c>
      <c r="H2329" s="1">
        <v>48</v>
      </c>
    </row>
    <row r="2330" spans="2:8" x14ac:dyDescent="0.2">
      <c r="B2330" t="str">
        <f>VLOOKUP(G2330,PC!B:D,3,FALSE)</f>
        <v>CPV</v>
      </c>
      <c r="C2330" s="22">
        <v>2023</v>
      </c>
      <c r="D2330" t="s">
        <v>74</v>
      </c>
      <c r="E2330" t="s">
        <v>14</v>
      </c>
      <c r="F2330" t="str">
        <f>VLOOKUP(G2330,PC!B:D,2,FALSE)</f>
        <v>BEBIDAS</v>
      </c>
      <c r="G2330" s="4" t="s">
        <v>46</v>
      </c>
      <c r="H2330" s="1">
        <v>795.53</v>
      </c>
    </row>
    <row r="2331" spans="2:8" x14ac:dyDescent="0.2">
      <c r="B2331" t="str">
        <f>VLOOKUP(G2331,PC!B:D,3,FALSE)</f>
        <v>DESPESA OPERACIONAL</v>
      </c>
      <c r="C2331" s="22">
        <v>2023</v>
      </c>
      <c r="D2331" t="s">
        <v>74</v>
      </c>
      <c r="F2331" t="str">
        <f>VLOOKUP(G2331,PC!B:D,2,FALSE)</f>
        <v>DESPESA OPERACIONAL</v>
      </c>
      <c r="G2331" s="4" t="s">
        <v>70</v>
      </c>
      <c r="H2331" s="1">
        <v>174</v>
      </c>
    </row>
    <row r="2332" spans="2:8" x14ac:dyDescent="0.2">
      <c r="B2332" t="str">
        <f>VLOOKUP(G2332,PC!B:D,3,FALSE)</f>
        <v>CPV</v>
      </c>
      <c r="C2332" s="22">
        <v>2023</v>
      </c>
      <c r="D2332" t="s">
        <v>74</v>
      </c>
      <c r="E2332" t="s">
        <v>129</v>
      </c>
      <c r="F2332" t="str">
        <f>VLOOKUP(G2332,PC!B:D,2,FALSE)</f>
        <v>COMIDA</v>
      </c>
      <c r="G2332" s="4" t="s">
        <v>12</v>
      </c>
      <c r="H2332" s="1">
        <v>103</v>
      </c>
    </row>
    <row r="2333" spans="2:8" x14ac:dyDescent="0.2">
      <c r="B2333" t="str">
        <f>VLOOKUP(G2333,PC!B:D,3,FALSE)</f>
        <v>CPV</v>
      </c>
      <c r="C2333" s="22">
        <v>2023</v>
      </c>
      <c r="D2333" t="s">
        <v>74</v>
      </c>
      <c r="E2333" t="s">
        <v>129</v>
      </c>
      <c r="F2333" t="str">
        <f>VLOOKUP(G2333,PC!B:D,2,FALSE)</f>
        <v>COMIDA</v>
      </c>
      <c r="G2333" s="4" t="s">
        <v>155</v>
      </c>
      <c r="H2333" s="1">
        <v>435</v>
      </c>
    </row>
    <row r="2334" spans="2:8" x14ac:dyDescent="0.2">
      <c r="B2334" t="str">
        <f>VLOOKUP(G2334,PC!B:D,3,FALSE)</f>
        <v>CPV</v>
      </c>
      <c r="C2334" s="22">
        <v>2023</v>
      </c>
      <c r="D2334" t="s">
        <v>74</v>
      </c>
      <c r="E2334" t="s">
        <v>129</v>
      </c>
      <c r="F2334" t="str">
        <f>VLOOKUP(G2334,PC!B:D,2,FALSE)</f>
        <v>COMIDA</v>
      </c>
      <c r="G2334" s="4" t="s">
        <v>12</v>
      </c>
      <c r="H2334" s="1">
        <v>427</v>
      </c>
    </row>
    <row r="2335" spans="2:8" x14ac:dyDescent="0.2">
      <c r="B2335" t="str">
        <f>VLOOKUP(G2335,PC!B:D,3,FALSE)</f>
        <v>CPV</v>
      </c>
      <c r="C2335" s="22">
        <v>2023</v>
      </c>
      <c r="D2335" t="s">
        <v>74</v>
      </c>
      <c r="E2335" t="s">
        <v>129</v>
      </c>
      <c r="F2335" t="str">
        <f>VLOOKUP(G2335,PC!B:D,2,FALSE)</f>
        <v>CIGARRO</v>
      </c>
      <c r="G2335" s="4" t="s">
        <v>53</v>
      </c>
      <c r="H2335" s="1">
        <v>280</v>
      </c>
    </row>
    <row r="2336" spans="2:8" x14ac:dyDescent="0.2">
      <c r="B2336" t="str">
        <f>VLOOKUP(G2336,PC!B:D,3,FALSE)</f>
        <v>CPV</v>
      </c>
      <c r="C2336" s="22">
        <v>2023</v>
      </c>
      <c r="D2336" t="s">
        <v>74</v>
      </c>
      <c r="E2336" t="s">
        <v>129</v>
      </c>
      <c r="F2336" t="str">
        <f>VLOOKUP(G2336,PC!B:D,2,FALSE)</f>
        <v>OUTROS</v>
      </c>
      <c r="G2336" s="4" t="s">
        <v>37</v>
      </c>
      <c r="H2336" s="1">
        <v>353.25</v>
      </c>
    </row>
    <row r="2337" spans="2:8" x14ac:dyDescent="0.2">
      <c r="B2337" t="str">
        <f>VLOOKUP(G2337,PC!B:D,3,FALSE)</f>
        <v>CPV</v>
      </c>
      <c r="C2337" s="22">
        <v>2023</v>
      </c>
      <c r="D2337" t="s">
        <v>74</v>
      </c>
      <c r="E2337" t="s">
        <v>129</v>
      </c>
      <c r="F2337" t="str">
        <f>VLOOKUP(G2337,PC!B:D,2,FALSE)</f>
        <v>COMIDA</v>
      </c>
      <c r="G2337" s="4" t="s">
        <v>145</v>
      </c>
      <c r="H2337" s="1">
        <v>40.200000000000003</v>
      </c>
    </row>
    <row r="2338" spans="2:8" x14ac:dyDescent="0.2">
      <c r="B2338" t="str">
        <f>VLOOKUP(G2338,PC!B:D,3,FALSE)</f>
        <v>CPV</v>
      </c>
      <c r="C2338" s="22">
        <v>2023</v>
      </c>
      <c r="D2338" t="s">
        <v>74</v>
      </c>
      <c r="E2338" t="s">
        <v>129</v>
      </c>
      <c r="F2338" t="str">
        <f>VLOOKUP(G2338,PC!B:D,2,FALSE)</f>
        <v>CIGARRO</v>
      </c>
      <c r="G2338" s="4" t="s">
        <v>57</v>
      </c>
      <c r="H2338" s="1">
        <v>954</v>
      </c>
    </row>
    <row r="2339" spans="2:8" x14ac:dyDescent="0.2">
      <c r="B2339" t="str">
        <f>VLOOKUP(G2339,PC!B:D,3,FALSE)</f>
        <v>CPV</v>
      </c>
      <c r="C2339" s="22">
        <v>2023</v>
      </c>
      <c r="D2339" t="s">
        <v>74</v>
      </c>
      <c r="E2339" t="s">
        <v>129</v>
      </c>
      <c r="F2339" t="str">
        <f>VLOOKUP(G2339,PC!B:D,2,FALSE)</f>
        <v>OUTROS</v>
      </c>
      <c r="G2339" s="4" t="s">
        <v>37</v>
      </c>
      <c r="H2339" s="1">
        <v>134</v>
      </c>
    </row>
    <row r="2340" spans="2:8" x14ac:dyDescent="0.2">
      <c r="B2340" t="str">
        <f>VLOOKUP(G2340,PC!B:D,3,FALSE)</f>
        <v>CPV</v>
      </c>
      <c r="C2340" s="22">
        <v>2023</v>
      </c>
      <c r="D2340" t="s">
        <v>74</v>
      </c>
      <c r="E2340" t="s">
        <v>129</v>
      </c>
      <c r="F2340" t="str">
        <f>VLOOKUP(G2340,PC!B:D,2,FALSE)</f>
        <v>COMIDA</v>
      </c>
      <c r="G2340" s="4" t="s">
        <v>145</v>
      </c>
      <c r="H2340" s="1">
        <v>99</v>
      </c>
    </row>
    <row r="2341" spans="2:8" x14ac:dyDescent="0.2">
      <c r="B2341" t="str">
        <f>VLOOKUP(G2341,PC!B:D,3,FALSE)</f>
        <v>CPV</v>
      </c>
      <c r="C2341" s="22">
        <v>2023</v>
      </c>
      <c r="D2341" t="s">
        <v>74</v>
      </c>
      <c r="E2341" t="s">
        <v>129</v>
      </c>
      <c r="F2341" t="str">
        <f>VLOOKUP(G2341,PC!B:D,2,FALSE)</f>
        <v>SOBREMESA</v>
      </c>
      <c r="G2341" s="4" t="s">
        <v>75</v>
      </c>
      <c r="H2341" s="1">
        <v>811.07</v>
      </c>
    </row>
    <row r="2342" spans="2:8" x14ac:dyDescent="0.2">
      <c r="B2342" t="str">
        <f>VLOOKUP(G2342,PC!B:D,3,FALSE)</f>
        <v>CPV</v>
      </c>
      <c r="C2342" s="22">
        <v>2023</v>
      </c>
      <c r="D2342" t="s">
        <v>74</v>
      </c>
      <c r="E2342" t="s">
        <v>129</v>
      </c>
      <c r="F2342" t="str">
        <f>VLOOKUP(G2342,PC!B:D,2,FALSE)</f>
        <v>BEBIDAS</v>
      </c>
      <c r="G2342" s="4" t="s">
        <v>48</v>
      </c>
      <c r="H2342" s="1">
        <v>454</v>
      </c>
    </row>
    <row r="2343" spans="2:8" x14ac:dyDescent="0.2">
      <c r="B2343" t="str">
        <f>VLOOKUP(G2343,PC!B:D,3,FALSE)</f>
        <v>CPV</v>
      </c>
      <c r="C2343" s="22">
        <v>2023</v>
      </c>
      <c r="D2343" t="s">
        <v>74</v>
      </c>
      <c r="E2343" t="s">
        <v>129</v>
      </c>
      <c r="F2343" t="str">
        <f>VLOOKUP(G2343,PC!B:D,2,FALSE)</f>
        <v>COMIDA</v>
      </c>
      <c r="G2343" s="4" t="s">
        <v>152</v>
      </c>
      <c r="H2343" s="1">
        <v>154</v>
      </c>
    </row>
    <row r="2344" spans="2:8" x14ac:dyDescent="0.2">
      <c r="B2344" t="str">
        <f>VLOOKUP(G2344,PC!B:D,3,FALSE)</f>
        <v>CPV</v>
      </c>
      <c r="C2344" s="22">
        <v>2023</v>
      </c>
      <c r="D2344" t="s">
        <v>74</v>
      </c>
      <c r="E2344" t="s">
        <v>129</v>
      </c>
      <c r="F2344" t="str">
        <f>VLOOKUP(G2344,PC!B:D,2,FALSE)</f>
        <v>SOBREMESA</v>
      </c>
      <c r="G2344" s="4" t="s">
        <v>7</v>
      </c>
      <c r="H2344" s="1">
        <v>312</v>
      </c>
    </row>
    <row r="2345" spans="2:8" x14ac:dyDescent="0.2">
      <c r="B2345" t="str">
        <f>VLOOKUP(G2345,PC!B:D,3,FALSE)</f>
        <v>DESPESA OPERACIONAL</v>
      </c>
      <c r="C2345" s="22">
        <v>2023</v>
      </c>
      <c r="D2345" t="s">
        <v>74</v>
      </c>
      <c r="F2345" t="str">
        <f>VLOOKUP(G2345,PC!B:D,2,FALSE)</f>
        <v>DESPESA OPERACIONAL</v>
      </c>
      <c r="G2345" s="4" t="s">
        <v>73</v>
      </c>
      <c r="H2345" s="1">
        <f>1338.72+531.3+725.07+725.07+1392.48161633+1400+920.85+1079.68+1318.19</f>
        <v>9431.3616163300012</v>
      </c>
    </row>
    <row r="2346" spans="2:8" x14ac:dyDescent="0.2">
      <c r="B2346" t="str">
        <f>VLOOKUP(G2346,PC!B:D,3,FALSE)</f>
        <v>RECEITA</v>
      </c>
      <c r="C2346" s="22">
        <v>2023</v>
      </c>
      <c r="D2346" t="s">
        <v>74</v>
      </c>
      <c r="F2346" t="str">
        <f>VLOOKUP(G2346,PC!B:D,2,FALSE)</f>
        <v>RECEITA</v>
      </c>
      <c r="G2346" s="4" t="s">
        <v>64</v>
      </c>
      <c r="H2346" s="1">
        <f>30.31+24.82+19.55+32.2+37.17+32.02+33.35+12.2</f>
        <v>221.62</v>
      </c>
    </row>
    <row r="2347" spans="2:8" x14ac:dyDescent="0.2">
      <c r="B2347" t="str">
        <f>VLOOKUP(G2347,PC!B:D,3,FALSE)</f>
        <v>CPV</v>
      </c>
      <c r="C2347" s="22">
        <v>2023</v>
      </c>
      <c r="D2347" t="s">
        <v>74</v>
      </c>
      <c r="E2347" t="s">
        <v>77</v>
      </c>
      <c r="F2347" t="str">
        <f>VLOOKUP(G2347,PC!B:D,2,FALSE)</f>
        <v>OUTROS</v>
      </c>
      <c r="G2347" s="4" t="s">
        <v>37</v>
      </c>
      <c r="H2347" s="1">
        <f>909.22+1100.37+989.46+538.91+623.99</f>
        <v>4161.95</v>
      </c>
    </row>
    <row r="2348" spans="2:8" x14ac:dyDescent="0.2">
      <c r="B2348" t="str">
        <f>VLOOKUP(G2348,PC!B:D,3,FALSE)</f>
        <v>CPV</v>
      </c>
      <c r="C2348" s="22">
        <v>2023</v>
      </c>
      <c r="D2348" t="s">
        <v>74</v>
      </c>
      <c r="E2348" t="s">
        <v>89</v>
      </c>
      <c r="F2348" t="str">
        <f>VLOOKUP(G2348,PC!B:D,2,FALSE)</f>
        <v>OUTROS</v>
      </c>
      <c r="G2348" s="4" t="s">
        <v>37</v>
      </c>
      <c r="H2348" s="1">
        <f>564.5+489.16+499.17+29.12+580.26+484.23</f>
        <v>2646.44</v>
      </c>
    </row>
    <row r="2349" spans="2:8" x14ac:dyDescent="0.2">
      <c r="B2349" t="str">
        <f>VLOOKUP(G2349,PC!B:D,3,FALSE)</f>
        <v>RECEITA</v>
      </c>
      <c r="C2349" s="22">
        <v>2023</v>
      </c>
      <c r="D2349" t="s">
        <v>74</v>
      </c>
      <c r="F2349" t="str">
        <f>VLOOKUP(G2349,PC!B:D,2,FALSE)</f>
        <v>RECEITA</v>
      </c>
      <c r="G2349" s="4" t="s">
        <v>54</v>
      </c>
      <c r="H2349" s="1">
        <f>62+244.9+32+33+45</f>
        <v>416.9</v>
      </c>
    </row>
    <row r="2350" spans="2:8" x14ac:dyDescent="0.2">
      <c r="B2350" t="str">
        <f>VLOOKUP(G2350,PC!B:D,3,FALSE)</f>
        <v>RECEITA</v>
      </c>
      <c r="C2350" s="22">
        <v>2023</v>
      </c>
      <c r="D2350" t="s">
        <v>74</v>
      </c>
      <c r="F2350" t="str">
        <f>VLOOKUP(G2350,PC!B:D,2,FALSE)</f>
        <v>RECEITA</v>
      </c>
      <c r="G2350" s="4" t="s">
        <v>54</v>
      </c>
      <c r="H2350" s="1">
        <v>1300</v>
      </c>
    </row>
    <row r="2351" spans="2:8" x14ac:dyDescent="0.2">
      <c r="B2351" t="str">
        <f>VLOOKUP(G2351,PC!B:D,3,FALSE)</f>
        <v>RECEITA</v>
      </c>
      <c r="C2351" s="22">
        <v>2023</v>
      </c>
      <c r="D2351" t="s">
        <v>74</v>
      </c>
      <c r="F2351" t="str">
        <f>VLOOKUP(G2351,PC!B:D,2,FALSE)</f>
        <v>RECEITA</v>
      </c>
      <c r="G2351" s="4" t="s">
        <v>54</v>
      </c>
      <c r="H2351" s="1">
        <v>1100</v>
      </c>
    </row>
    <row r="2352" spans="2:8" x14ac:dyDescent="0.2">
      <c r="B2352" t="str">
        <f>VLOOKUP(G2352,PC!B:D,3,FALSE)</f>
        <v>RECEITA</v>
      </c>
      <c r="C2352" s="22">
        <v>2023</v>
      </c>
      <c r="D2352" t="s">
        <v>74</v>
      </c>
      <c r="F2352" t="str">
        <f>VLOOKUP(G2352,PC!B:D,2,FALSE)</f>
        <v>RECEITA</v>
      </c>
      <c r="G2352" s="4" t="s">
        <v>54</v>
      </c>
      <c r="H2352" s="1">
        <v>400</v>
      </c>
    </row>
    <row r="2353" spans="2:9" x14ac:dyDescent="0.2">
      <c r="B2353" t="str">
        <f>VLOOKUP(G2353,PC!B:D,3,FALSE)</f>
        <v>RECEITA</v>
      </c>
      <c r="C2353" s="22">
        <v>2023</v>
      </c>
      <c r="D2353" t="s">
        <v>74</v>
      </c>
      <c r="F2353" t="str">
        <f>VLOOKUP(G2353,PC!B:D,2,FALSE)</f>
        <v>RECEITA</v>
      </c>
      <c r="G2353" s="4" t="s">
        <v>54</v>
      </c>
      <c r="H2353" s="1">
        <v>1200</v>
      </c>
    </row>
    <row r="2354" spans="2:9" x14ac:dyDescent="0.2">
      <c r="B2354" t="str">
        <f>VLOOKUP(G2354,PC!B:D,3,FALSE)</f>
        <v>RECEITA</v>
      </c>
      <c r="C2354" s="22">
        <v>2023</v>
      </c>
      <c r="D2354" t="s">
        <v>74</v>
      </c>
      <c r="F2354" t="str">
        <f>VLOOKUP(G2354,PC!B:D,2,FALSE)</f>
        <v>RECEITA</v>
      </c>
      <c r="G2354" s="4" t="s">
        <v>54</v>
      </c>
      <c r="H2354" s="1">
        <f>143+18+116.3</f>
        <v>277.3</v>
      </c>
    </row>
    <row r="2355" spans="2:9" x14ac:dyDescent="0.2">
      <c r="B2355" t="str">
        <f>VLOOKUP(G2355,PC!B:D,3,FALSE)</f>
        <v>RECEITA</v>
      </c>
      <c r="C2355" s="22">
        <v>2023</v>
      </c>
      <c r="D2355" t="s">
        <v>74</v>
      </c>
      <c r="F2355" t="str">
        <f>VLOOKUP(G2355,PC!B:D,2,FALSE)</f>
        <v>RECEITA</v>
      </c>
      <c r="G2355" s="4" t="s">
        <v>54</v>
      </c>
      <c r="H2355" s="1">
        <v>2250</v>
      </c>
    </row>
    <row r="2356" spans="2:9" x14ac:dyDescent="0.2">
      <c r="B2356" t="str">
        <f>VLOOKUP(G2356,PC!B:D,3,FALSE)</f>
        <v>RECEITA</v>
      </c>
      <c r="C2356" s="22">
        <v>2023</v>
      </c>
      <c r="D2356" t="s">
        <v>74</v>
      </c>
      <c r="F2356" t="str">
        <f>VLOOKUP(G2356,PC!B:D,2,FALSE)</f>
        <v>RECEITA</v>
      </c>
      <c r="G2356" s="4" t="s">
        <v>54</v>
      </c>
      <c r="H2356" s="1">
        <f>120+236+300+184.8+84</f>
        <v>924.8</v>
      </c>
      <c r="I2356" s="4"/>
    </row>
    <row r="2357" spans="2:9" x14ac:dyDescent="0.2">
      <c r="B2357" t="str">
        <f>VLOOKUP(G2357,PC!B:D,3,FALSE)</f>
        <v>RECEITA</v>
      </c>
      <c r="C2357" s="22">
        <v>2023</v>
      </c>
      <c r="D2357" t="s">
        <v>74</v>
      </c>
      <c r="F2357" t="str">
        <f>VLOOKUP(G2357,PC!B:D,2,FALSE)</f>
        <v>RECEITA</v>
      </c>
      <c r="G2357" s="4" t="s">
        <v>54</v>
      </c>
      <c r="H2357" s="1">
        <f>1050+2100</f>
        <v>3150</v>
      </c>
    </row>
    <row r="2358" spans="2:9" x14ac:dyDescent="0.2">
      <c r="B2358" t="str">
        <f>VLOOKUP(G2358,PC!B:D,3,FALSE)</f>
        <v>DESPESA PESSOAL</v>
      </c>
      <c r="C2358" s="22">
        <v>2023</v>
      </c>
      <c r="D2358" t="s">
        <v>74</v>
      </c>
      <c r="F2358" t="str">
        <f>VLOOKUP(G2358,PC!B:D,2,FALSE)</f>
        <v>DESPESA PESSOAL</v>
      </c>
      <c r="G2358" s="4" t="s">
        <v>56</v>
      </c>
      <c r="H2358" s="1">
        <v>300</v>
      </c>
    </row>
    <row r="2359" spans="2:9" x14ac:dyDescent="0.2">
      <c r="B2359" t="str">
        <f>VLOOKUP(G2359,PC!B:D,3,FALSE)</f>
        <v>DESPESA PESSOAL</v>
      </c>
      <c r="C2359" s="22">
        <v>2023</v>
      </c>
      <c r="D2359" t="s">
        <v>74</v>
      </c>
      <c r="F2359" t="str">
        <f>VLOOKUP(G2359,PC!B:D,2,FALSE)</f>
        <v>DESPESA PESSOAL</v>
      </c>
      <c r="G2359" s="4" t="s">
        <v>68</v>
      </c>
      <c r="H2359" s="1">
        <v>120</v>
      </c>
    </row>
    <row r="2360" spans="2:9" x14ac:dyDescent="0.2">
      <c r="B2360" t="str">
        <f>VLOOKUP(G2360,PC!B:D,3,FALSE)</f>
        <v>DESPESA PESSOAL</v>
      </c>
      <c r="C2360" s="22">
        <v>2023</v>
      </c>
      <c r="D2360" t="s">
        <v>74</v>
      </c>
      <c r="F2360" t="str">
        <f>VLOOKUP(G2360,PC!B:D,2,FALSE)</f>
        <v>DESPESA PESSOAL</v>
      </c>
      <c r="G2360" s="4" t="s">
        <v>56</v>
      </c>
      <c r="H2360" s="1">
        <v>350</v>
      </c>
    </row>
    <row r="2361" spans="2:9" x14ac:dyDescent="0.2">
      <c r="B2361" t="str">
        <f>VLOOKUP(G2361,PC!B:D,3,FALSE)</f>
        <v>RECEITA</v>
      </c>
      <c r="C2361" s="22">
        <v>2023</v>
      </c>
      <c r="D2361" t="s">
        <v>74</v>
      </c>
      <c r="F2361" t="str">
        <f>VLOOKUP(G2361,PC!B:D,2,FALSE)</f>
        <v>RECEITA</v>
      </c>
      <c r="G2361" s="4" t="s">
        <v>54</v>
      </c>
      <c r="H2361" s="1">
        <v>2200</v>
      </c>
    </row>
    <row r="2362" spans="2:9" x14ac:dyDescent="0.2">
      <c r="B2362" t="str">
        <f>VLOOKUP(G2362,PC!B:D,3,FALSE)</f>
        <v>RECEITA</v>
      </c>
      <c r="C2362" s="22">
        <v>2023</v>
      </c>
      <c r="D2362" t="s">
        <v>74</v>
      </c>
      <c r="F2362" t="str">
        <f>VLOOKUP(G2362,PC!B:D,2,FALSE)</f>
        <v>RECEITA</v>
      </c>
      <c r="G2362" s="4" t="s">
        <v>54</v>
      </c>
      <c r="H2362" s="1">
        <f>120+350+500</f>
        <v>970</v>
      </c>
    </row>
    <row r="2363" spans="2:9" x14ac:dyDescent="0.2">
      <c r="B2363" t="str">
        <f>VLOOKUP(G2363,PC!B:D,3,FALSE)</f>
        <v>DESPESA PESSOAL</v>
      </c>
      <c r="C2363" s="22">
        <v>2023</v>
      </c>
      <c r="D2363" t="s">
        <v>74</v>
      </c>
      <c r="F2363" t="str">
        <f>VLOOKUP(G2363,PC!B:D,2,FALSE)</f>
        <v>DESPESA PESSOAL</v>
      </c>
      <c r="G2363" s="4" t="s">
        <v>124</v>
      </c>
      <c r="H2363" s="1">
        <v>500</v>
      </c>
    </row>
    <row r="2364" spans="2:9" x14ac:dyDescent="0.2">
      <c r="B2364" t="str">
        <f>VLOOKUP(G2364,PC!B:D,3,FALSE)</f>
        <v>DESPESA PESSOAL</v>
      </c>
      <c r="C2364" s="22">
        <v>2023</v>
      </c>
      <c r="D2364" t="s">
        <v>74</v>
      </c>
      <c r="F2364" t="str">
        <f>VLOOKUP(G2364,PC!B:D,2,FALSE)</f>
        <v>DESPESA PESSOAL</v>
      </c>
      <c r="G2364" s="4" t="s">
        <v>68</v>
      </c>
      <c r="H2364" s="1">
        <v>120</v>
      </c>
    </row>
    <row r="2365" spans="2:9" x14ac:dyDescent="0.2">
      <c r="B2365" t="str">
        <f>VLOOKUP(G2365,PC!B:D,3,FALSE)</f>
        <v>RECEITA</v>
      </c>
      <c r="C2365" s="22">
        <v>2023</v>
      </c>
      <c r="D2365" t="s">
        <v>74</v>
      </c>
      <c r="F2365" t="str">
        <f>VLOOKUP(G2365,PC!B:D,2,FALSE)</f>
        <v>RECEITA</v>
      </c>
      <c r="G2365" s="4" t="s">
        <v>54</v>
      </c>
      <c r="H2365" s="1">
        <f>120+1200+1200</f>
        <v>2520</v>
      </c>
    </row>
    <row r="2366" spans="2:9" x14ac:dyDescent="0.2">
      <c r="B2366" t="str">
        <f>VLOOKUP(G2366,PC!B:D,3,FALSE)</f>
        <v>RECEITA</v>
      </c>
      <c r="C2366" s="22">
        <v>2023</v>
      </c>
      <c r="D2366" t="s">
        <v>74</v>
      </c>
      <c r="F2366" t="str">
        <f>VLOOKUP(G2366,PC!B:D,2,FALSE)</f>
        <v>RECEITA</v>
      </c>
      <c r="G2366" s="4" t="s">
        <v>59</v>
      </c>
      <c r="H2366" s="1">
        <v>2400</v>
      </c>
    </row>
    <row r="2367" spans="2:9" x14ac:dyDescent="0.2">
      <c r="B2367" t="str">
        <f>VLOOKUP(G2367,PC!B:D,3,FALSE)</f>
        <v>RECEITA</v>
      </c>
      <c r="C2367" s="22">
        <v>2023</v>
      </c>
      <c r="D2367" t="s">
        <v>74</v>
      </c>
      <c r="F2367" t="str">
        <f>VLOOKUP(G2367,PC!B:D,2,FALSE)</f>
        <v>RECEITA</v>
      </c>
      <c r="G2367" s="4" t="s">
        <v>54</v>
      </c>
      <c r="H2367" s="1">
        <f>35+280+370+61.6</f>
        <v>746.6</v>
      </c>
    </row>
    <row r="2368" spans="2:9" x14ac:dyDescent="0.2">
      <c r="B2368" t="str">
        <f>VLOOKUP(G2368,PC!B:D,3,FALSE)</f>
        <v>RECEITA</v>
      </c>
      <c r="C2368" s="22">
        <v>2023</v>
      </c>
      <c r="D2368" t="s">
        <v>74</v>
      </c>
      <c r="F2368" t="str">
        <f>VLOOKUP(G2368,PC!B:D,2,FALSE)</f>
        <v>RECEITA</v>
      </c>
      <c r="G2368" s="4" t="s">
        <v>54</v>
      </c>
      <c r="H2368" s="1">
        <v>400</v>
      </c>
    </row>
    <row r="2369" spans="2:8" x14ac:dyDescent="0.2">
      <c r="B2369" t="str">
        <f>VLOOKUP(G2369,PC!B:D,3,FALSE)</f>
        <v>RECEITA</v>
      </c>
      <c r="C2369" s="22">
        <v>2023</v>
      </c>
      <c r="D2369" t="s">
        <v>74</v>
      </c>
      <c r="F2369" t="str">
        <f>VLOOKUP(G2369,PC!B:D,2,FALSE)</f>
        <v>RECEITA</v>
      </c>
      <c r="G2369" s="4" t="s">
        <v>54</v>
      </c>
      <c r="H2369" s="1">
        <v>1200</v>
      </c>
    </row>
    <row r="2370" spans="2:8" x14ac:dyDescent="0.2">
      <c r="B2370" t="str">
        <f>VLOOKUP(G2370,PC!B:D,3,FALSE)</f>
        <v>DESPESA PESSOAL</v>
      </c>
      <c r="C2370" s="22">
        <v>2023</v>
      </c>
      <c r="D2370" t="s">
        <v>44</v>
      </c>
      <c r="F2370" t="str">
        <f>VLOOKUP(G2370,PC!B:D,2,FALSE)</f>
        <v>DESPESA PESSOAL</v>
      </c>
      <c r="G2370" s="4" t="s">
        <v>56</v>
      </c>
      <c r="H2370" s="1">
        <v>640</v>
      </c>
    </row>
    <row r="2371" spans="2:8" x14ac:dyDescent="0.2">
      <c r="B2371" t="str">
        <f>VLOOKUP(G2371,PC!B:D,3,FALSE)</f>
        <v>RECEITA</v>
      </c>
      <c r="C2371" s="22">
        <v>2023</v>
      </c>
      <c r="D2371" t="s">
        <v>74</v>
      </c>
      <c r="F2371" t="str">
        <f>VLOOKUP(G2371,PC!B:D,2,FALSE)</f>
        <v>RECEITA</v>
      </c>
      <c r="G2371" s="4" t="s">
        <v>54</v>
      </c>
      <c r="H2371" s="1">
        <v>640</v>
      </c>
    </row>
    <row r="2372" spans="2:8" x14ac:dyDescent="0.2">
      <c r="B2372" t="str">
        <f>VLOOKUP(G2372,PC!B:D,3,FALSE)</f>
        <v>RECEITA</v>
      </c>
      <c r="C2372" s="22">
        <v>2023</v>
      </c>
      <c r="D2372" t="s">
        <v>74</v>
      </c>
      <c r="F2372" t="str">
        <f>VLOOKUP(G2372,PC!B:D,2,FALSE)</f>
        <v>RECEITA</v>
      </c>
      <c r="G2372" s="4" t="s">
        <v>54</v>
      </c>
      <c r="H2372" s="1">
        <f>312+70+82+92+500+48+82</f>
        <v>1186</v>
      </c>
    </row>
    <row r="2373" spans="2:8" x14ac:dyDescent="0.2">
      <c r="B2373" t="str">
        <f>VLOOKUP(G2373,PC!B:D,3,FALSE)</f>
        <v>RECEITA</v>
      </c>
      <c r="C2373" s="22">
        <v>2023</v>
      </c>
      <c r="D2373" t="s">
        <v>74</v>
      </c>
      <c r="F2373" t="str">
        <f>VLOOKUP(G2373,PC!B:D,2,FALSE)</f>
        <v>RECEITA</v>
      </c>
      <c r="G2373" s="4" t="s">
        <v>54</v>
      </c>
      <c r="H2373" s="1">
        <v>1000</v>
      </c>
    </row>
    <row r="2374" spans="2:8" x14ac:dyDescent="0.2">
      <c r="B2374" t="str">
        <f>VLOOKUP(G2374,PC!B:D,3,FALSE)</f>
        <v>RECEITA</v>
      </c>
      <c r="C2374" s="22">
        <v>2023</v>
      </c>
      <c r="D2374" t="s">
        <v>74</v>
      </c>
      <c r="F2374" t="str">
        <f>VLOOKUP(G2374,PC!B:D,2,FALSE)</f>
        <v>RECEITA</v>
      </c>
      <c r="G2374" s="4" t="s">
        <v>54</v>
      </c>
      <c r="H2374" s="1">
        <v>1500</v>
      </c>
    </row>
    <row r="2375" spans="2:8" x14ac:dyDescent="0.2">
      <c r="B2375" t="str">
        <f>VLOOKUP(G2375,PC!B:D,3,FALSE)</f>
        <v>RECEITA</v>
      </c>
      <c r="C2375" s="22">
        <v>2023</v>
      </c>
      <c r="D2375" t="s">
        <v>74</v>
      </c>
      <c r="F2375" t="str">
        <f>VLOOKUP(G2375,PC!B:D,2,FALSE)</f>
        <v>RECEITA</v>
      </c>
      <c r="G2375" s="4" t="s">
        <v>54</v>
      </c>
      <c r="H2375" s="1">
        <f>141+307+49.5+1361+34</f>
        <v>1892.5</v>
      </c>
    </row>
    <row r="2376" spans="2:8" x14ac:dyDescent="0.2">
      <c r="B2376" t="str">
        <f>VLOOKUP(G2376,PC!B:D,3,FALSE)</f>
        <v>RECEITA</v>
      </c>
      <c r="C2376" s="22">
        <v>2023</v>
      </c>
      <c r="D2376" t="s">
        <v>74</v>
      </c>
      <c r="F2376" t="str">
        <f>VLOOKUP(G2376,PC!B:D,2,FALSE)</f>
        <v>RECEITA</v>
      </c>
      <c r="G2376" s="4" t="s">
        <v>54</v>
      </c>
      <c r="H2376" s="1">
        <v>600</v>
      </c>
    </row>
    <row r="2377" spans="2:8" x14ac:dyDescent="0.2">
      <c r="B2377" t="str">
        <f>VLOOKUP(G2377,PC!B:D,3,FALSE)</f>
        <v>RECEITA</v>
      </c>
      <c r="C2377" s="22">
        <v>2023</v>
      </c>
      <c r="D2377" t="s">
        <v>74</v>
      </c>
      <c r="F2377" t="str">
        <f>VLOOKUP(G2377,PC!B:D,2,FALSE)</f>
        <v>RECEITA</v>
      </c>
      <c r="G2377" s="4" t="s">
        <v>54</v>
      </c>
      <c r="H2377" s="1">
        <f>2700</f>
        <v>2700</v>
      </c>
    </row>
    <row r="2378" spans="2:8" x14ac:dyDescent="0.2">
      <c r="B2378" t="str">
        <f>VLOOKUP(G2378,PC!B:D,3,FALSE)</f>
        <v>RECEITA</v>
      </c>
      <c r="C2378" s="22">
        <v>2023</v>
      </c>
      <c r="D2378" t="s">
        <v>74</v>
      </c>
      <c r="F2378" t="str">
        <f>VLOOKUP(G2378,PC!B:D,2,FALSE)</f>
        <v>RECEITA</v>
      </c>
      <c r="G2378" s="4" t="s">
        <v>54</v>
      </c>
      <c r="H2378" s="1">
        <f>105+183+96.97+347+32.9+85.8+184</f>
        <v>1034.67</v>
      </c>
    </row>
    <row r="2379" spans="2:8" x14ac:dyDescent="0.2">
      <c r="B2379" t="str">
        <f>VLOOKUP(G2379,PC!B:D,3,FALSE)</f>
        <v>RECEITA</v>
      </c>
      <c r="C2379" s="22">
        <v>2023</v>
      </c>
      <c r="D2379" t="s">
        <v>74</v>
      </c>
      <c r="F2379" t="str">
        <f>VLOOKUP(G2379,PC!B:D,2,FALSE)</f>
        <v>RECEITA</v>
      </c>
      <c r="G2379" s="4" t="s">
        <v>54</v>
      </c>
      <c r="H2379" s="1">
        <f>2100+800</f>
        <v>2900</v>
      </c>
    </row>
    <row r="2380" spans="2:8" x14ac:dyDescent="0.2">
      <c r="B2380" t="str">
        <f>VLOOKUP(G2380,PC!B:D,3,FALSE)</f>
        <v>RECEITA</v>
      </c>
      <c r="C2380" s="22">
        <v>2023</v>
      </c>
      <c r="D2380" t="s">
        <v>74</v>
      </c>
      <c r="F2380" t="str">
        <f>VLOOKUP(G2380,PC!B:D,2,FALSE)</f>
        <v>RECEITA</v>
      </c>
      <c r="G2380" s="4" t="s">
        <v>59</v>
      </c>
      <c r="H2380" s="1">
        <v>293</v>
      </c>
    </row>
    <row r="2381" spans="2:8" x14ac:dyDescent="0.2">
      <c r="B2381" t="str">
        <f>VLOOKUP(G2381,PC!B:D,3,FALSE)</f>
        <v>RECEITA</v>
      </c>
      <c r="C2381" s="22">
        <v>2023</v>
      </c>
      <c r="D2381" t="s">
        <v>74</v>
      </c>
      <c r="F2381" t="str">
        <f>VLOOKUP(G2381,PC!B:D,2,FALSE)</f>
        <v>RECEITA</v>
      </c>
      <c r="G2381" s="4" t="s">
        <v>54</v>
      </c>
      <c r="H2381" s="1">
        <f>300+30</f>
        <v>330</v>
      </c>
    </row>
    <row r="2382" spans="2:8" x14ac:dyDescent="0.2">
      <c r="B2382" t="str">
        <f>VLOOKUP(G2382,PC!B:D,3,FALSE)</f>
        <v>DESPESA PESSOAL</v>
      </c>
      <c r="C2382" s="22">
        <v>2023</v>
      </c>
      <c r="D2382" t="s">
        <v>74</v>
      </c>
      <c r="F2382" t="str">
        <f>VLOOKUP(G2382,PC!B:D,2,FALSE)</f>
        <v>DESPESA PESSOAL</v>
      </c>
      <c r="G2382" s="4" t="s">
        <v>56</v>
      </c>
      <c r="H2382" s="1">
        <v>300</v>
      </c>
    </row>
    <row r="2383" spans="2:8" x14ac:dyDescent="0.2">
      <c r="B2383" t="str">
        <f>VLOOKUP(G2383,PC!B:D,3,FALSE)</f>
        <v>RECEITA</v>
      </c>
      <c r="C2383" s="22">
        <v>2023</v>
      </c>
      <c r="D2383" t="s">
        <v>74</v>
      </c>
      <c r="F2383" t="str">
        <f>VLOOKUP(G2383,PC!B:D,2,FALSE)</f>
        <v>RECEITA</v>
      </c>
      <c r="G2383" s="4" t="s">
        <v>54</v>
      </c>
      <c r="H2383" s="1">
        <f>1700+2100+800</f>
        <v>4600</v>
      </c>
    </row>
    <row r="2384" spans="2:8" x14ac:dyDescent="0.2">
      <c r="B2384" t="str">
        <f>VLOOKUP(G2384,PC!B:D,3,FALSE)</f>
        <v>RECEITA</v>
      </c>
      <c r="C2384" s="22">
        <v>2023</v>
      </c>
      <c r="D2384" t="s">
        <v>74</v>
      </c>
      <c r="F2384" t="str">
        <f>VLOOKUP(G2384,PC!B:D,2,FALSE)</f>
        <v>RECEITA</v>
      </c>
      <c r="G2384" s="4" t="s">
        <v>54</v>
      </c>
      <c r="H2384" s="1">
        <f>322+350</f>
        <v>672</v>
      </c>
    </row>
    <row r="2385" spans="2:9" x14ac:dyDescent="0.2">
      <c r="B2385" t="str">
        <f>VLOOKUP(G2385,PC!B:D,3,FALSE)</f>
        <v>CPV</v>
      </c>
      <c r="C2385" s="22">
        <v>2023</v>
      </c>
      <c r="D2385" t="s">
        <v>74</v>
      </c>
      <c r="F2385" t="str">
        <f>VLOOKUP(G2385,PC!B:D,2,FALSE)</f>
        <v>CIGARRO</v>
      </c>
      <c r="G2385" s="4" t="s">
        <v>131</v>
      </c>
      <c r="H2385" s="1">
        <v>322</v>
      </c>
    </row>
    <row r="2386" spans="2:9" x14ac:dyDescent="0.2">
      <c r="B2386" t="str">
        <f>VLOOKUP(G2386,PC!B:D,3,FALSE)</f>
        <v>DESPESA PESSOAL</v>
      </c>
      <c r="C2386" s="22">
        <v>2023</v>
      </c>
      <c r="D2386" t="s">
        <v>74</v>
      </c>
      <c r="F2386" t="str">
        <f>VLOOKUP(G2386,PC!B:D,2,FALSE)</f>
        <v>DESPESA PESSOAL</v>
      </c>
      <c r="G2386" s="4" t="s">
        <v>56</v>
      </c>
      <c r="H2386" s="1">
        <v>350</v>
      </c>
    </row>
    <row r="2387" spans="2:9" x14ac:dyDescent="0.2">
      <c r="B2387" t="str">
        <f>VLOOKUP(G2387,PC!B:D,3,FALSE)</f>
        <v>RECEITA</v>
      </c>
      <c r="C2387" s="22">
        <v>2023</v>
      </c>
      <c r="D2387" t="s">
        <v>74</v>
      </c>
      <c r="F2387" t="str">
        <f>VLOOKUP(G2387,PC!B:D,2,FALSE)</f>
        <v>RECEITA</v>
      </c>
      <c r="G2387" s="4" t="s">
        <v>54</v>
      </c>
      <c r="H2387" s="1">
        <v>2100</v>
      </c>
    </row>
    <row r="2388" spans="2:9" x14ac:dyDescent="0.2">
      <c r="B2388" t="str">
        <f>VLOOKUP(G2388,PC!B:D,3,FALSE)</f>
        <v>RECEITA</v>
      </c>
      <c r="C2388" s="22">
        <v>2023</v>
      </c>
      <c r="D2388" t="s">
        <v>74</v>
      </c>
      <c r="F2388" t="str">
        <f>VLOOKUP(G2388,PC!B:D,2,FALSE)</f>
        <v>RECEITA</v>
      </c>
      <c r="G2388" s="4" t="s">
        <v>54</v>
      </c>
      <c r="H2388" s="1">
        <f>1050+1800+250</f>
        <v>3100</v>
      </c>
    </row>
    <row r="2389" spans="2:9" x14ac:dyDescent="0.2">
      <c r="B2389" t="str">
        <f>VLOOKUP(G2389,PC!B:D,3,FALSE)</f>
        <v>RECEITA</v>
      </c>
      <c r="C2389" s="22">
        <v>2023</v>
      </c>
      <c r="D2389" t="s">
        <v>74</v>
      </c>
      <c r="F2389" t="str">
        <f>VLOOKUP(G2389,PC!B:D,2,FALSE)</f>
        <v>RECEITA</v>
      </c>
      <c r="G2389" s="4" t="s">
        <v>54</v>
      </c>
      <c r="H2389" s="1">
        <f>130+600</f>
        <v>730</v>
      </c>
    </row>
    <row r="2390" spans="2:9" x14ac:dyDescent="0.2">
      <c r="B2390" t="str">
        <f>VLOOKUP(G2390,PC!B:D,3,FALSE)</f>
        <v>RECEITA</v>
      </c>
      <c r="C2390" s="22">
        <v>2023</v>
      </c>
      <c r="D2390" t="s">
        <v>74</v>
      </c>
      <c r="F2390" t="str">
        <f>VLOOKUP(G2390,PC!B:D,2,FALSE)</f>
        <v>RECEITA</v>
      </c>
      <c r="G2390" s="4" t="s">
        <v>54</v>
      </c>
      <c r="H2390" s="1">
        <v>1780</v>
      </c>
    </row>
    <row r="2391" spans="2:9" x14ac:dyDescent="0.2">
      <c r="B2391" t="str">
        <f>VLOOKUP(G2391,PC!B:D,3,FALSE)</f>
        <v>RECEITA</v>
      </c>
      <c r="C2391" s="22">
        <v>2023</v>
      </c>
      <c r="D2391" t="s">
        <v>74</v>
      </c>
      <c r="F2391" t="str">
        <f>VLOOKUP(G2391,PC!B:D,2,FALSE)</f>
        <v>RECEITA</v>
      </c>
      <c r="G2391" s="4" t="s">
        <v>54</v>
      </c>
      <c r="H2391" s="1">
        <f>326+97+120+35.2+43.5+137</f>
        <v>758.7</v>
      </c>
    </row>
    <row r="2392" spans="2:9" x14ac:dyDescent="0.2">
      <c r="B2392" t="str">
        <f>VLOOKUP(G2392,PC!B:D,3,FALSE)</f>
        <v>RECEITA</v>
      </c>
      <c r="C2392" s="22">
        <v>2023</v>
      </c>
      <c r="D2392" t="s">
        <v>74</v>
      </c>
      <c r="F2392" t="str">
        <f>VLOOKUP(G2392,PC!B:D,2,FALSE)</f>
        <v>RECEITA</v>
      </c>
      <c r="G2392" s="4" t="s">
        <v>54</v>
      </c>
      <c r="H2392" s="1">
        <f>2300+250+600+800</f>
        <v>3950</v>
      </c>
    </row>
    <row r="2393" spans="2:9" x14ac:dyDescent="0.2">
      <c r="B2393" t="str">
        <f>VLOOKUP(G2393,PC!B:D,3,FALSE)</f>
        <v>RECEITA</v>
      </c>
      <c r="C2393" s="22">
        <v>2023</v>
      </c>
      <c r="D2393" t="s">
        <v>74</v>
      </c>
      <c r="F2393" t="str">
        <f>VLOOKUP(G2393,PC!B:D,2,FALSE)</f>
        <v>RECEITA</v>
      </c>
      <c r="G2393" s="4" t="s">
        <v>54</v>
      </c>
      <c r="H2393" s="1">
        <f>26+58+183+120+509+100+90</f>
        <v>1086</v>
      </c>
    </row>
    <row r="2394" spans="2:9" x14ac:dyDescent="0.2">
      <c r="B2394" t="str">
        <f>VLOOKUP(G2394,PC!B:D,3,FALSE)</f>
        <v>RECEITA</v>
      </c>
      <c r="C2394" s="22">
        <v>2023</v>
      </c>
      <c r="D2394" t="s">
        <v>74</v>
      </c>
      <c r="F2394" t="str">
        <f>VLOOKUP(G2394,PC!B:D,2,FALSE)</f>
        <v>RECEITA</v>
      </c>
      <c r="G2394" s="4" t="s">
        <v>54</v>
      </c>
      <c r="H2394" s="1">
        <v>2250</v>
      </c>
    </row>
    <row r="2395" spans="2:9" x14ac:dyDescent="0.2">
      <c r="B2395" t="str">
        <f>VLOOKUP(G2395,PC!B:D,3,FALSE)</f>
        <v>RECEITA</v>
      </c>
      <c r="C2395" s="22">
        <v>2023</v>
      </c>
      <c r="D2395" t="s">
        <v>74</v>
      </c>
      <c r="F2395" t="str">
        <f>VLOOKUP(G2395,PC!B:D,2,FALSE)</f>
        <v>RECEITA</v>
      </c>
      <c r="G2395" s="4" t="s">
        <v>54</v>
      </c>
      <c r="H2395" s="1">
        <f>162+150+55.75+184+42+47+90</f>
        <v>730.75</v>
      </c>
    </row>
    <row r="2396" spans="2:9" x14ac:dyDescent="0.2">
      <c r="B2396" t="str">
        <f>VLOOKUP(G2396,PC!B:D,3,FALSE)</f>
        <v>RECEITA</v>
      </c>
      <c r="C2396" s="22">
        <v>2023</v>
      </c>
      <c r="D2396" t="s">
        <v>74</v>
      </c>
      <c r="F2396" t="str">
        <f>VLOOKUP(G2396,PC!B:D,2,FALSE)</f>
        <v>RECEITA</v>
      </c>
      <c r="G2396" s="4" t="s">
        <v>59</v>
      </c>
      <c r="H2396" s="1">
        <v>316</v>
      </c>
    </row>
    <row r="2397" spans="2:9" x14ac:dyDescent="0.2">
      <c r="B2397" t="str">
        <f>VLOOKUP(G2397,PC!B:D,3,FALSE)</f>
        <v>RECEITA</v>
      </c>
      <c r="C2397" s="22">
        <v>2023</v>
      </c>
      <c r="D2397" t="s">
        <v>74</v>
      </c>
      <c r="F2397" t="str">
        <f>VLOOKUP(G2397,PC!B:D,2,FALSE)</f>
        <v>RECEITA</v>
      </c>
      <c r="G2397" s="4" t="s">
        <v>54</v>
      </c>
      <c r="H2397" s="1">
        <f>1000+1200+550</f>
        <v>2750</v>
      </c>
    </row>
    <row r="2398" spans="2:9" x14ac:dyDescent="0.2">
      <c r="B2398" t="str">
        <f>VLOOKUP(G2398,PC!B:D,3,FALSE)</f>
        <v>RECEITA</v>
      </c>
      <c r="C2398" s="22">
        <v>2023</v>
      </c>
      <c r="D2398" t="s">
        <v>74</v>
      </c>
      <c r="F2398" t="str">
        <f>VLOOKUP(G2398,PC!B:D,2,FALSE)</f>
        <v>RECEITA</v>
      </c>
      <c r="G2398" s="4" t="s">
        <v>54</v>
      </c>
      <c r="H2398" s="1">
        <f>1900+400</f>
        <v>2300</v>
      </c>
    </row>
    <row r="2399" spans="2:9" x14ac:dyDescent="0.2">
      <c r="B2399" t="str">
        <f>VLOOKUP(G2399,PC!B:D,3,FALSE)</f>
        <v>DESPESA PESSOAL</v>
      </c>
      <c r="C2399" s="22">
        <v>2023</v>
      </c>
      <c r="D2399" t="s">
        <v>74</v>
      </c>
      <c r="F2399" t="str">
        <f>VLOOKUP(G2399,PC!B:D,2,FALSE)</f>
        <v>DESPESA PESSOAL</v>
      </c>
      <c r="G2399" s="4" t="s">
        <v>56</v>
      </c>
      <c r="H2399" s="1">
        <v>300</v>
      </c>
    </row>
    <row r="2400" spans="2:9" x14ac:dyDescent="0.2">
      <c r="B2400" t="str">
        <f>VLOOKUP(G2400,PC!B:D,3,FALSE)</f>
        <v>RECEITA</v>
      </c>
      <c r="C2400" s="22">
        <v>2023</v>
      </c>
      <c r="D2400" t="s">
        <v>74</v>
      </c>
      <c r="F2400" t="str">
        <f>VLOOKUP(G2400,PC!B:D,2,FALSE)</f>
        <v>RECEITA</v>
      </c>
      <c r="G2400" s="4" t="s">
        <v>54</v>
      </c>
      <c r="H2400" s="1">
        <f>300+50+250+40</f>
        <v>640</v>
      </c>
      <c r="I2400" s="8"/>
    </row>
    <row r="2401" spans="2:8" x14ac:dyDescent="0.2">
      <c r="B2401" t="str">
        <f>VLOOKUP(G2401,PC!B:D,3,FALSE)</f>
        <v>DESPESA PESSOAL</v>
      </c>
      <c r="C2401" s="22">
        <v>2023</v>
      </c>
      <c r="D2401" t="s">
        <v>74</v>
      </c>
      <c r="F2401" t="str">
        <f>VLOOKUP(G2401,PC!B:D,2,FALSE)</f>
        <v>DESPESA PESSOAL</v>
      </c>
      <c r="G2401" s="4" t="s">
        <v>56</v>
      </c>
      <c r="H2401" s="1">
        <v>40</v>
      </c>
    </row>
    <row r="2402" spans="2:8" x14ac:dyDescent="0.2">
      <c r="B2402" t="str">
        <f>VLOOKUP(G2402,PC!B:D,3,FALSE)</f>
        <v>RECEITA</v>
      </c>
      <c r="C2402" s="22">
        <v>2023</v>
      </c>
      <c r="D2402" t="s">
        <v>74</v>
      </c>
      <c r="F2402" t="str">
        <f>VLOOKUP(G2402,PC!B:D,2,FALSE)</f>
        <v>RECEITA</v>
      </c>
      <c r="G2402" s="4" t="s">
        <v>54</v>
      </c>
      <c r="H2402" s="1">
        <v>950</v>
      </c>
    </row>
    <row r="2403" spans="2:8" x14ac:dyDescent="0.2">
      <c r="B2403" t="str">
        <f>VLOOKUP(G2403,PC!B:D,3,FALSE)</f>
        <v>RECEITA</v>
      </c>
      <c r="C2403" s="22">
        <v>2023</v>
      </c>
      <c r="D2403" t="s">
        <v>74</v>
      </c>
      <c r="F2403" t="str">
        <f>VLOOKUP(G2403,PC!B:D,2,FALSE)</f>
        <v>RECEITA</v>
      </c>
      <c r="G2403" s="4" t="s">
        <v>54</v>
      </c>
      <c r="H2403" s="1">
        <v>450</v>
      </c>
    </row>
    <row r="2404" spans="2:8" x14ac:dyDescent="0.2">
      <c r="B2404" t="str">
        <f>VLOOKUP(G2404,PC!B:D,3,FALSE)</f>
        <v>DESPESA PESSOAL</v>
      </c>
      <c r="C2404" s="22">
        <v>2023</v>
      </c>
      <c r="D2404" t="s">
        <v>74</v>
      </c>
      <c r="F2404" t="str">
        <f>VLOOKUP(G2404,PC!B:D,2,FALSE)</f>
        <v>DESPESA PESSOAL</v>
      </c>
      <c r="G2404" s="4" t="s">
        <v>56</v>
      </c>
      <c r="H2404" s="1">
        <v>350</v>
      </c>
    </row>
    <row r="2405" spans="2:8" x14ac:dyDescent="0.2">
      <c r="B2405" t="str">
        <f>VLOOKUP(G2405,PC!B:D,3,FALSE)</f>
        <v>RECEITA</v>
      </c>
      <c r="C2405" s="22">
        <v>2023</v>
      </c>
      <c r="D2405" t="s">
        <v>74</v>
      </c>
      <c r="F2405" t="str">
        <f>VLOOKUP(G2405,PC!B:D,2,FALSE)</f>
        <v>RECEITA</v>
      </c>
      <c r="G2405" s="4" t="s">
        <v>54</v>
      </c>
      <c r="H2405" s="1">
        <f>1700+100</f>
        <v>1800</v>
      </c>
    </row>
    <row r="2406" spans="2:8" x14ac:dyDescent="0.2">
      <c r="B2406" t="str">
        <f>VLOOKUP(G2406,PC!B:D,3,FALSE)</f>
        <v>RECEITA</v>
      </c>
      <c r="C2406" s="22">
        <v>2023</v>
      </c>
      <c r="D2406" t="s">
        <v>74</v>
      </c>
      <c r="F2406" t="str">
        <f>VLOOKUP(G2406,PC!B:D,2,FALSE)</f>
        <v>RECEITA</v>
      </c>
      <c r="G2406" s="4" t="s">
        <v>54</v>
      </c>
      <c r="H2406" s="1">
        <f>1200+200+260+2000</f>
        <v>3660</v>
      </c>
    </row>
    <row r="2407" spans="2:8" x14ac:dyDescent="0.2">
      <c r="B2407" t="str">
        <f>VLOOKUP(G2407,PC!B:D,3,FALSE)</f>
        <v>RECEITA</v>
      </c>
      <c r="C2407" s="22">
        <v>2023</v>
      </c>
      <c r="D2407" t="s">
        <v>74</v>
      </c>
      <c r="F2407" t="str">
        <f>VLOOKUP(G2407,PC!B:D,2,FALSE)</f>
        <v>RECEITA</v>
      </c>
      <c r="G2407" s="4" t="s">
        <v>62</v>
      </c>
      <c r="H2407" s="1">
        <v>200</v>
      </c>
    </row>
    <row r="2408" spans="2:8" x14ac:dyDescent="0.2">
      <c r="B2408" t="str">
        <f>VLOOKUP(G2408,PC!B:D,3,FALSE)</f>
        <v>DESPESA PESSOAL</v>
      </c>
      <c r="C2408" s="22">
        <v>2023</v>
      </c>
      <c r="D2408" t="s">
        <v>74</v>
      </c>
      <c r="F2408" t="str">
        <f>VLOOKUP(G2408,PC!B:D,2,FALSE)</f>
        <v>DESPESA PESSOAL</v>
      </c>
      <c r="G2408" s="4" t="s">
        <v>68</v>
      </c>
      <c r="H2408" s="1">
        <v>120</v>
      </c>
    </row>
    <row r="2409" spans="2:8" x14ac:dyDescent="0.2">
      <c r="B2409" t="str">
        <f>VLOOKUP(G2409,PC!B:D,3,FALSE)</f>
        <v>CPV</v>
      </c>
      <c r="C2409" s="22">
        <v>2023</v>
      </c>
      <c r="D2409" t="s">
        <v>74</v>
      </c>
      <c r="F2409" t="str">
        <f>VLOOKUP(G2409,PC!B:D,2,FALSE)</f>
        <v>OUTROS</v>
      </c>
      <c r="G2409" s="4" t="s">
        <v>37</v>
      </c>
      <c r="H2409" s="1">
        <v>20</v>
      </c>
    </row>
    <row r="2410" spans="2:8" x14ac:dyDescent="0.2">
      <c r="B2410" t="str">
        <f>VLOOKUP(G2410,PC!B:D,3,FALSE)</f>
        <v>RECEITA</v>
      </c>
      <c r="C2410" s="22">
        <v>2023</v>
      </c>
      <c r="D2410" t="s">
        <v>74</v>
      </c>
      <c r="F2410" t="str">
        <f>VLOOKUP(G2410,PC!B:D,2,FALSE)</f>
        <v>RECEITA</v>
      </c>
      <c r="G2410" s="4" t="s">
        <v>54</v>
      </c>
      <c r="H2410" s="1">
        <f>280+35+25+16</f>
        <v>356</v>
      </c>
    </row>
    <row r="2411" spans="2:8" x14ac:dyDescent="0.2">
      <c r="B2411" t="str">
        <f>VLOOKUP(G2411,PC!B:D,3,FALSE)</f>
        <v>RECEITA</v>
      </c>
      <c r="C2411" s="22">
        <v>2023</v>
      </c>
      <c r="D2411" t="s">
        <v>74</v>
      </c>
      <c r="F2411" t="str">
        <f>VLOOKUP(G2411,PC!B:D,2,FALSE)</f>
        <v>RECEITA</v>
      </c>
      <c r="G2411" s="4" t="s">
        <v>54</v>
      </c>
      <c r="H2411" s="1">
        <v>2500</v>
      </c>
    </row>
    <row r="2412" spans="2:8" x14ac:dyDescent="0.2">
      <c r="B2412" t="str">
        <f>VLOOKUP(G2412,PC!B:D,3,FALSE)</f>
        <v>RECEITA</v>
      </c>
      <c r="C2412" s="22">
        <v>2023</v>
      </c>
      <c r="D2412" t="s">
        <v>74</v>
      </c>
      <c r="F2412" t="str">
        <f>VLOOKUP(G2412,PC!B:D,2,FALSE)</f>
        <v>RECEITA</v>
      </c>
      <c r="G2412" s="4" t="s">
        <v>54</v>
      </c>
      <c r="H2412" s="1">
        <f>30+163+104+147+66.8+82+150</f>
        <v>742.8</v>
      </c>
    </row>
    <row r="2413" spans="2:8" x14ac:dyDescent="0.2">
      <c r="B2413" t="str">
        <f>VLOOKUP(G2413,PC!B:D,3,FALSE)</f>
        <v>RECEITA</v>
      </c>
      <c r="C2413" s="22">
        <v>2023</v>
      </c>
      <c r="D2413" t="s">
        <v>74</v>
      </c>
      <c r="F2413" t="str">
        <f>VLOOKUP(G2413,PC!B:D,2,FALSE)</f>
        <v>RECEITA</v>
      </c>
      <c r="G2413" s="4" t="s">
        <v>54</v>
      </c>
      <c r="H2413" s="1">
        <f>1000+400+300</f>
        <v>1700</v>
      </c>
    </row>
    <row r="2414" spans="2:8" x14ac:dyDescent="0.2">
      <c r="B2414" t="str">
        <f>VLOOKUP(G2414,PC!B:D,3,FALSE)</f>
        <v>RECEITA</v>
      </c>
      <c r="C2414" s="22">
        <v>2023</v>
      </c>
      <c r="D2414" t="s">
        <v>74</v>
      </c>
      <c r="F2414" t="str">
        <f>VLOOKUP(G2414,PC!B:D,2,FALSE)</f>
        <v>RECEITA</v>
      </c>
      <c r="G2414" s="4" t="s">
        <v>54</v>
      </c>
      <c r="H2414" s="1">
        <f>36+213+204+32</f>
        <v>485</v>
      </c>
    </row>
    <row r="2415" spans="2:8" x14ac:dyDescent="0.2">
      <c r="B2415" t="str">
        <f>VLOOKUP(G2415,PC!B:D,3,FALSE)</f>
        <v>RECEITA</v>
      </c>
      <c r="C2415" s="22">
        <v>2023</v>
      </c>
      <c r="D2415" t="s">
        <v>74</v>
      </c>
      <c r="F2415" t="str">
        <f>VLOOKUP(G2415,PC!B:D,2,FALSE)</f>
        <v>RECEITA</v>
      </c>
      <c r="G2415" s="4" t="s">
        <v>54</v>
      </c>
      <c r="H2415" s="1">
        <v>2200</v>
      </c>
    </row>
    <row r="2416" spans="2:8" x14ac:dyDescent="0.2">
      <c r="B2416" t="str">
        <f>VLOOKUP(G2416,PC!B:D,3,FALSE)</f>
        <v>DESPESA PESSOAL</v>
      </c>
      <c r="C2416" s="22">
        <v>2023</v>
      </c>
      <c r="D2416" t="s">
        <v>74</v>
      </c>
      <c r="F2416" t="str">
        <f>VLOOKUP(G2416,PC!B:D,2,FALSE)</f>
        <v>DESPESA PESSOAL</v>
      </c>
      <c r="G2416" s="4" t="s">
        <v>68</v>
      </c>
      <c r="H2416" s="1">
        <v>32</v>
      </c>
    </row>
    <row r="2417" spans="2:9" x14ac:dyDescent="0.2">
      <c r="B2417" t="str">
        <f>VLOOKUP(G2417,PC!B:D,3,FALSE)</f>
        <v>RECEITA</v>
      </c>
      <c r="C2417" s="22">
        <v>2023</v>
      </c>
      <c r="D2417" t="s">
        <v>74</v>
      </c>
      <c r="F2417" t="str">
        <f>VLOOKUP(G2417,PC!B:D,2,FALSE)</f>
        <v>RECEITA</v>
      </c>
      <c r="G2417" s="4" t="s">
        <v>136</v>
      </c>
      <c r="H2417" s="1">
        <v>21022.45</v>
      </c>
    </row>
    <row r="2418" spans="2:9" x14ac:dyDescent="0.2">
      <c r="B2418" t="str">
        <f>VLOOKUP(G2418,PC!B:D,3,FALSE)</f>
        <v>RECEITA</v>
      </c>
      <c r="C2418" s="22">
        <v>2023</v>
      </c>
      <c r="D2418" t="s">
        <v>74</v>
      </c>
      <c r="F2418" t="str">
        <f>VLOOKUP(G2418,PC!B:D,2,FALSE)</f>
        <v>RECEITA</v>
      </c>
      <c r="G2418" s="4" t="s">
        <v>137</v>
      </c>
      <c r="H2418" s="1">
        <v>2396.4</v>
      </c>
    </row>
    <row r="2419" spans="2:9" x14ac:dyDescent="0.2">
      <c r="B2419" t="str">
        <f>VLOOKUP(G2419,PC!B:D,3,FALSE)</f>
        <v>RECEITA</v>
      </c>
      <c r="C2419" s="22">
        <v>2023</v>
      </c>
      <c r="D2419" t="s">
        <v>74</v>
      </c>
      <c r="F2419" t="str">
        <f>VLOOKUP(G2419,PC!B:D,2,FALSE)</f>
        <v>RECEITA</v>
      </c>
      <c r="G2419" s="4" t="s">
        <v>137</v>
      </c>
      <c r="H2419" s="1">
        <v>10170.780000000001</v>
      </c>
    </row>
    <row r="2420" spans="2:9" x14ac:dyDescent="0.2">
      <c r="B2420" t="str">
        <f>VLOOKUP(G2420,PC!B:D,3,FALSE)</f>
        <v>DESCONTO DE FATURAMENTO</v>
      </c>
      <c r="C2420" s="22">
        <v>2023</v>
      </c>
      <c r="D2420" t="s">
        <v>74</v>
      </c>
      <c r="F2420" t="str">
        <f>VLOOKUP(G2420,PC!B:D,2,FALSE)</f>
        <v>OUTROS DESCONTOS</v>
      </c>
      <c r="G2420" s="4" t="s">
        <v>63</v>
      </c>
      <c r="H2420" s="1">
        <f>H2419-9959.32</f>
        <v>211.46000000000095</v>
      </c>
    </row>
    <row r="2421" spans="2:9" x14ac:dyDescent="0.2">
      <c r="B2421" t="str">
        <f>VLOOKUP(G2421,PC!B:D,3,FALSE)</f>
        <v>DESCONTO DE FATURAMENTO</v>
      </c>
      <c r="C2421" s="22">
        <v>2023</v>
      </c>
      <c r="D2421" t="s">
        <v>74</v>
      </c>
      <c r="F2421" t="str">
        <f>VLOOKUP(G2421,PC!B:D,2,FALSE)</f>
        <v>OUTROS DESCONTOS</v>
      </c>
      <c r="G2421" s="4" t="s">
        <v>63</v>
      </c>
      <c r="H2421" s="1">
        <f>0.009*H2417</f>
        <v>189.20204999999999</v>
      </c>
    </row>
    <row r="2422" spans="2:9" x14ac:dyDescent="0.2">
      <c r="B2422" t="str">
        <f>VLOOKUP(G2422,PC!B:D,3,FALSE)</f>
        <v>RECEITA</v>
      </c>
      <c r="C2422" s="22">
        <v>2023</v>
      </c>
      <c r="D2422" t="s">
        <v>74</v>
      </c>
      <c r="F2422" t="str">
        <f>VLOOKUP(G2422,PC!B:D,2,FALSE)</f>
        <v>RECEITA</v>
      </c>
      <c r="G2422" s="4" t="s">
        <v>54</v>
      </c>
      <c r="H2422" s="1">
        <f>41+80+70.5+114+184.5+260+34</f>
        <v>784</v>
      </c>
    </row>
    <row r="2423" spans="2:9" x14ac:dyDescent="0.2">
      <c r="B2423" t="str">
        <f>VLOOKUP(G2423,PC!B:D,3,FALSE)</f>
        <v>RECEITA</v>
      </c>
      <c r="C2423" s="22">
        <v>2023</v>
      </c>
      <c r="D2423" t="s">
        <v>74</v>
      </c>
      <c r="F2423" t="str">
        <f>VLOOKUP(G2423,PC!B:D,2,FALSE)</f>
        <v>RECEITA</v>
      </c>
      <c r="G2423" s="4" t="s">
        <v>54</v>
      </c>
      <c r="H2423" s="1">
        <f>700+1300+1000</f>
        <v>3000</v>
      </c>
    </row>
    <row r="2424" spans="2:9" x14ac:dyDescent="0.2">
      <c r="B2424" t="str">
        <f>VLOOKUP(G2424,PC!B:D,3,FALSE)</f>
        <v>RECEITA</v>
      </c>
      <c r="C2424" s="22">
        <v>2023</v>
      </c>
      <c r="D2424" t="s">
        <v>74</v>
      </c>
      <c r="F2424" t="str">
        <f>VLOOKUP(G2424,PC!B:D,2,FALSE)</f>
        <v>RECEITA</v>
      </c>
      <c r="G2424" s="4" t="s">
        <v>54</v>
      </c>
      <c r="H2424" s="1">
        <f>64+300+190.7+427</f>
        <v>981.7</v>
      </c>
    </row>
    <row r="2425" spans="2:9" x14ac:dyDescent="0.2">
      <c r="B2425" t="str">
        <f>VLOOKUP(G2425,PC!B:D,3,FALSE)</f>
        <v>DESPESA PESSOAL</v>
      </c>
      <c r="C2425" s="22">
        <v>2023</v>
      </c>
      <c r="D2425" t="s">
        <v>74</v>
      </c>
      <c r="F2425" t="str">
        <f>VLOOKUP(G2425,PC!B:D,2,FALSE)</f>
        <v>DESPESA PESSOAL</v>
      </c>
      <c r="G2425" s="4" t="s">
        <v>56</v>
      </c>
      <c r="H2425" s="1">
        <v>300</v>
      </c>
      <c r="I2425" s="24"/>
    </row>
    <row r="2426" spans="2:9" x14ac:dyDescent="0.2">
      <c r="B2426" t="str">
        <f>VLOOKUP(G2426,PC!B:D,3,FALSE)</f>
        <v>DESPESA PESSOAL</v>
      </c>
      <c r="C2426" s="22">
        <v>2023</v>
      </c>
      <c r="D2426" t="s">
        <v>74</v>
      </c>
      <c r="F2426" t="str">
        <f>VLOOKUP(G2426,PC!B:D,2,FALSE)</f>
        <v>DESPESA PESSOAL</v>
      </c>
      <c r="G2426" s="4" t="s">
        <v>56</v>
      </c>
      <c r="H2426" s="1">
        <v>40</v>
      </c>
    </row>
    <row r="2427" spans="2:9" x14ac:dyDescent="0.2">
      <c r="B2427" t="str">
        <f>VLOOKUP(G2427,PC!B:D,3,FALSE)</f>
        <v>RECEITA</v>
      </c>
      <c r="C2427" s="22">
        <v>2023</v>
      </c>
      <c r="D2427" t="s">
        <v>74</v>
      </c>
      <c r="F2427" t="str">
        <f>VLOOKUP(G2427,PC!B:D,2,FALSE)</f>
        <v>RECEITA</v>
      </c>
      <c r="G2427" s="4" t="s">
        <v>54</v>
      </c>
      <c r="H2427" s="1">
        <f>560+1500+950+1000</f>
        <v>4010</v>
      </c>
      <c r="I2427" s="20"/>
    </row>
    <row r="2428" spans="2:9" x14ac:dyDescent="0.2">
      <c r="B2428" t="str">
        <f>VLOOKUP(G2428,PC!B:D,3,FALSE)</f>
        <v>RECEITA</v>
      </c>
      <c r="C2428" s="22">
        <v>2023</v>
      </c>
      <c r="D2428" t="s">
        <v>74</v>
      </c>
      <c r="F2428" t="str">
        <f>VLOOKUP(G2428,PC!B:D,2,FALSE)</f>
        <v>RECEITA</v>
      </c>
      <c r="G2428" s="4" t="s">
        <v>54</v>
      </c>
      <c r="H2428" s="1">
        <v>2300</v>
      </c>
    </row>
    <row r="2429" spans="2:9" x14ac:dyDescent="0.2">
      <c r="B2429" t="str">
        <f>VLOOKUP(G2429,PC!B:D,3,FALSE)</f>
        <v>DESPESA PESSOAL</v>
      </c>
      <c r="C2429" s="22">
        <v>2023</v>
      </c>
      <c r="D2429" t="s">
        <v>74</v>
      </c>
      <c r="F2429" t="str">
        <f>VLOOKUP(G2429,PC!B:D,2,FALSE)</f>
        <v>DESPESA PESSOAL</v>
      </c>
      <c r="G2429" s="4" t="s">
        <v>56</v>
      </c>
      <c r="H2429" s="1">
        <v>350</v>
      </c>
      <c r="I2429" s="24"/>
    </row>
    <row r="2430" spans="2:9" x14ac:dyDescent="0.2">
      <c r="B2430" t="str">
        <f>VLOOKUP(G2430,PC!B:D,3,FALSE)</f>
        <v>DESPESA PESSOAL</v>
      </c>
      <c r="C2430" s="22">
        <v>2023</v>
      </c>
      <c r="D2430" t="s">
        <v>74</v>
      </c>
      <c r="F2430" t="str">
        <f>VLOOKUP(G2430,PC!B:D,2,FALSE)</f>
        <v>DESPESA PESSOAL</v>
      </c>
      <c r="G2430" s="4" t="s">
        <v>124</v>
      </c>
      <c r="H2430" s="1">
        <v>500</v>
      </c>
    </row>
    <row r="2431" spans="2:9" x14ac:dyDescent="0.2">
      <c r="B2431" t="str">
        <f>VLOOKUP(G2431,PC!B:D,3,FALSE)</f>
        <v>RECEITA</v>
      </c>
      <c r="C2431" s="22">
        <v>2023</v>
      </c>
      <c r="D2431" t="s">
        <v>74</v>
      </c>
      <c r="F2431" t="str">
        <f>VLOOKUP(G2431,PC!B:D,2,FALSE)</f>
        <v>RECEITA</v>
      </c>
      <c r="G2431" s="4" t="s">
        <v>54</v>
      </c>
      <c r="H2431" s="1">
        <f>700+200+800</f>
        <v>1700</v>
      </c>
      <c r="I2431" s="20"/>
    </row>
    <row r="2432" spans="2:9" x14ac:dyDescent="0.2">
      <c r="B2432" t="str">
        <f>VLOOKUP(G2432,PC!B:D,3,FALSE)</f>
        <v>RECEITA</v>
      </c>
      <c r="C2432" s="22">
        <v>2023</v>
      </c>
      <c r="D2432" t="s">
        <v>74</v>
      </c>
      <c r="F2432" t="str">
        <f>VLOOKUP(G2432,PC!B:D,2,FALSE)</f>
        <v>RECEITA</v>
      </c>
      <c r="G2432" s="4" t="s">
        <v>54</v>
      </c>
      <c r="H2432" s="1">
        <f>435+30+240</f>
        <v>705</v>
      </c>
    </row>
    <row r="2433" spans="2:9" x14ac:dyDescent="0.2">
      <c r="B2433" t="str">
        <f>VLOOKUP(G2433,PC!B:D,3,FALSE)</f>
        <v>RECEITA</v>
      </c>
      <c r="C2433" s="22">
        <v>2023</v>
      </c>
      <c r="D2433" t="s">
        <v>74</v>
      </c>
      <c r="F2433" t="str">
        <f>VLOOKUP(G2433,PC!B:D,2,FALSE)</f>
        <v>RECEITA</v>
      </c>
      <c r="G2433" s="4" t="s">
        <v>54</v>
      </c>
      <c r="H2433" s="1">
        <f>820+2100</f>
        <v>2920</v>
      </c>
    </row>
    <row r="2434" spans="2:9" x14ac:dyDescent="0.2">
      <c r="B2434" t="str">
        <f>VLOOKUP(G2434,PC!B:D,3,FALSE)</f>
        <v>RECEITA</v>
      </c>
      <c r="C2434" s="22">
        <v>2023</v>
      </c>
      <c r="D2434" t="s">
        <v>74</v>
      </c>
      <c r="F2434" t="str">
        <f>VLOOKUP(G2434,PC!B:D,2,FALSE)</f>
        <v>RECEITA</v>
      </c>
      <c r="G2434" s="4" t="s">
        <v>54</v>
      </c>
      <c r="H2434" s="1">
        <f>174+58+40.2</f>
        <v>272.2</v>
      </c>
    </row>
    <row r="2435" spans="2:9" x14ac:dyDescent="0.2">
      <c r="B2435" t="str">
        <f>VLOOKUP(G2435,PC!B:D,3,FALSE)</f>
        <v>RECEITA</v>
      </c>
      <c r="C2435" s="22">
        <v>2023</v>
      </c>
      <c r="D2435" t="s">
        <v>74</v>
      </c>
      <c r="F2435" t="str">
        <f>VLOOKUP(G2435,PC!B:D,2,FALSE)</f>
        <v>RECEITA</v>
      </c>
      <c r="G2435" s="4" t="s">
        <v>54</v>
      </c>
      <c r="H2435" s="1">
        <v>300</v>
      </c>
    </row>
    <row r="2436" spans="2:9" x14ac:dyDescent="0.2">
      <c r="B2436" t="str">
        <f>VLOOKUP(G2436,PC!B:D,3,FALSE)</f>
        <v>RECEITA</v>
      </c>
      <c r="C2436" s="22">
        <v>2023</v>
      </c>
      <c r="D2436" t="s">
        <v>74</v>
      </c>
      <c r="F2436" t="str">
        <f>VLOOKUP(G2436,PC!B:D,2,FALSE)</f>
        <v>RECEITA</v>
      </c>
      <c r="G2436" s="4" t="s">
        <v>54</v>
      </c>
      <c r="H2436" s="1">
        <f>40+950+200+600</f>
        <v>1790</v>
      </c>
    </row>
    <row r="2437" spans="2:9" x14ac:dyDescent="0.2">
      <c r="B2437" t="str">
        <f>VLOOKUP(G2437,PC!B:D,3,FALSE)</f>
        <v>RECEITA</v>
      </c>
      <c r="C2437" s="22">
        <v>2023</v>
      </c>
      <c r="D2437" t="s">
        <v>74</v>
      </c>
      <c r="F2437" t="str">
        <f>VLOOKUP(G2437,PC!B:D,2,FALSE)</f>
        <v>RECEITA</v>
      </c>
      <c r="G2437" s="4" t="s">
        <v>54</v>
      </c>
      <c r="H2437" s="1">
        <f>26+30+72.5+99+134+257+400+85.5</f>
        <v>1104</v>
      </c>
    </row>
    <row r="2438" spans="2:9" x14ac:dyDescent="0.2">
      <c r="B2438" t="str">
        <f>VLOOKUP(G2438,PC!B:D,3,FALSE)</f>
        <v>RECEITA</v>
      </c>
      <c r="C2438" s="22">
        <v>2023</v>
      </c>
      <c r="D2438" t="s">
        <v>74</v>
      </c>
      <c r="F2438" t="str">
        <f>VLOOKUP(G2438,PC!B:D,2,FALSE)</f>
        <v>RECEITA</v>
      </c>
      <c r="G2438" s="4" t="s">
        <v>54</v>
      </c>
      <c r="H2438" s="1">
        <v>1800</v>
      </c>
    </row>
    <row r="2439" spans="2:9" x14ac:dyDescent="0.2">
      <c r="B2439" t="str">
        <f>VLOOKUP(G2439,PC!B:D,3,FALSE)</f>
        <v>RECEITA</v>
      </c>
      <c r="C2439" s="22">
        <v>2023</v>
      </c>
      <c r="D2439" t="s">
        <v>74</v>
      </c>
      <c r="F2439" t="str">
        <f>VLOOKUP(G2439,PC!B:D,2,FALSE)</f>
        <v>RECEITA</v>
      </c>
      <c r="G2439" s="4" t="s">
        <v>54</v>
      </c>
      <c r="H2439" s="1">
        <f>353.25+10+141</f>
        <v>504.25</v>
      </c>
    </row>
    <row r="2440" spans="2:9" x14ac:dyDescent="0.2">
      <c r="B2440" t="str">
        <f>VLOOKUP(G2440,PC!B:D,3,FALSE)</f>
        <v>DESPESA PESSOAL</v>
      </c>
      <c r="C2440" s="22">
        <v>2023</v>
      </c>
      <c r="D2440" t="s">
        <v>74</v>
      </c>
      <c r="F2440" t="str">
        <f>VLOOKUP(G2440,PC!B:D,2,FALSE)</f>
        <v>DESPESA PESSOAL</v>
      </c>
      <c r="G2440" s="4" t="s">
        <v>68</v>
      </c>
      <c r="H2440" s="1">
        <v>30</v>
      </c>
    </row>
    <row r="2441" spans="2:9" x14ac:dyDescent="0.2">
      <c r="B2441" t="str">
        <f>VLOOKUP(G2441,PC!B:D,3,FALSE)</f>
        <v>DESPESA PESSOAL</v>
      </c>
      <c r="C2441" s="22">
        <v>2023</v>
      </c>
      <c r="D2441" t="s">
        <v>74</v>
      </c>
      <c r="F2441" t="str">
        <f>VLOOKUP(G2441,PC!B:D,2,FALSE)</f>
        <v>DESPESA PESSOAL</v>
      </c>
      <c r="G2441" s="4" t="s">
        <v>56</v>
      </c>
      <c r="H2441" s="1">
        <v>10</v>
      </c>
    </row>
    <row r="2442" spans="2:9" x14ac:dyDescent="0.2">
      <c r="B2442" t="str">
        <f>VLOOKUP(G2442,PC!B:D,3,FALSE)</f>
        <v>RECEITA</v>
      </c>
      <c r="C2442" s="22">
        <v>2023</v>
      </c>
      <c r="D2442" t="s">
        <v>74</v>
      </c>
      <c r="F2442" t="str">
        <f>VLOOKUP(G2442,PC!B:D,2,FALSE)</f>
        <v>RECEITA</v>
      </c>
      <c r="G2442" s="4" t="s">
        <v>54</v>
      </c>
      <c r="H2442" s="1">
        <f>300+1200</f>
        <v>1500</v>
      </c>
    </row>
    <row r="2443" spans="2:9" x14ac:dyDescent="0.2">
      <c r="B2443" t="str">
        <f>VLOOKUP(G2443,PC!B:D,3,FALSE)</f>
        <v>RECEITA</v>
      </c>
      <c r="C2443" s="22">
        <v>2023</v>
      </c>
      <c r="D2443" t="s">
        <v>74</v>
      </c>
      <c r="F2443" t="str">
        <f>VLOOKUP(G2443,PC!B:D,2,FALSE)</f>
        <v>RECEITA</v>
      </c>
      <c r="G2443" s="4" t="s">
        <v>54</v>
      </c>
      <c r="H2443" s="1">
        <v>1300</v>
      </c>
    </row>
    <row r="2444" spans="2:9" x14ac:dyDescent="0.2">
      <c r="B2444" t="str">
        <f>VLOOKUP(G2444,PC!B:D,3,FALSE)</f>
        <v>RECEITA</v>
      </c>
      <c r="C2444" s="22">
        <v>2023</v>
      </c>
      <c r="D2444" t="s">
        <v>74</v>
      </c>
      <c r="F2444" t="str">
        <f>VLOOKUP(G2444,PC!B:D,2,FALSE)</f>
        <v>RECEITA</v>
      </c>
      <c r="G2444" s="4" t="s">
        <v>54</v>
      </c>
      <c r="H2444" s="1">
        <f>30+124.4+154+330.55+60+300</f>
        <v>998.95</v>
      </c>
    </row>
    <row r="2445" spans="2:9" x14ac:dyDescent="0.2">
      <c r="B2445" t="str">
        <f>VLOOKUP(G2445,PC!B:D,3,FALSE)</f>
        <v>DESPESA PESSOAL</v>
      </c>
      <c r="C2445" s="22">
        <v>2023</v>
      </c>
      <c r="D2445" t="s">
        <v>74</v>
      </c>
      <c r="F2445" t="str">
        <f>VLOOKUP(G2445,PC!B:D,2,FALSE)</f>
        <v>DESPESA PESSOAL</v>
      </c>
      <c r="G2445" s="4" t="s">
        <v>56</v>
      </c>
      <c r="H2445" s="1">
        <v>300</v>
      </c>
    </row>
    <row r="2446" spans="2:9" x14ac:dyDescent="0.2">
      <c r="B2446" t="str">
        <f>VLOOKUP(G2446,PC!B:D,3,FALSE)</f>
        <v>DESPESA PESSOAL</v>
      </c>
      <c r="C2446" s="22">
        <v>2023</v>
      </c>
      <c r="D2446" t="s">
        <v>74</v>
      </c>
      <c r="F2446" t="str">
        <f>VLOOKUP(G2446,PC!B:D,2,FALSE)</f>
        <v>DESPESA PESSOAL</v>
      </c>
      <c r="G2446" s="4" t="s">
        <v>68</v>
      </c>
      <c r="H2446" s="1">
        <v>60</v>
      </c>
    </row>
    <row r="2447" spans="2:9" x14ac:dyDescent="0.2">
      <c r="B2447" t="str">
        <f>VLOOKUP(G2447,PC!B:D,3,FALSE)</f>
        <v>DESPESA PESSOAL</v>
      </c>
      <c r="C2447" s="22">
        <v>2023</v>
      </c>
      <c r="D2447" t="s">
        <v>74</v>
      </c>
      <c r="F2447" t="str">
        <f>VLOOKUP(G2447,PC!B:D,2,FALSE)</f>
        <v>DESPESA PESSOAL</v>
      </c>
      <c r="G2447" s="4" t="s">
        <v>124</v>
      </c>
      <c r="H2447" s="1">
        <v>650</v>
      </c>
    </row>
    <row r="2448" spans="2:9" x14ac:dyDescent="0.2">
      <c r="B2448" t="str">
        <f>VLOOKUP(G2448,PC!B:D,3,FALSE)</f>
        <v>DESPESA FINANCEIRA</v>
      </c>
      <c r="C2448" s="22">
        <v>2023</v>
      </c>
      <c r="D2448" t="s">
        <v>74</v>
      </c>
      <c r="F2448" t="str">
        <f>VLOOKUP(G2448,PC!B:D,2,FALSE)</f>
        <v>DESPESA FINANCEIRA</v>
      </c>
      <c r="G2448" s="4" t="s">
        <v>90</v>
      </c>
      <c r="H2448" s="1">
        <v>710</v>
      </c>
      <c r="I2448" s="7" t="s">
        <v>195</v>
      </c>
    </row>
    <row r="2449" spans="2:9" x14ac:dyDescent="0.2">
      <c r="B2449" t="str">
        <f>VLOOKUP(G2449,PC!B:D,3,FALSE)</f>
        <v>DESPESA OPERACIONAL</v>
      </c>
      <c r="C2449" s="22">
        <v>2023</v>
      </c>
      <c r="D2449" t="s">
        <v>74</v>
      </c>
      <c r="F2449" t="str">
        <f>VLOOKUP(G2449,PC!B:D,2,FALSE)</f>
        <v>MANUTENÇÃO MÁQUINAS</v>
      </c>
      <c r="G2449" s="4" t="s">
        <v>147</v>
      </c>
      <c r="H2449" s="1">
        <v>300</v>
      </c>
      <c r="I2449" s="7" t="s">
        <v>201</v>
      </c>
    </row>
    <row r="2450" spans="2:9" x14ac:dyDescent="0.2">
      <c r="B2450" t="e">
        <f>VLOOKUP(G2450,PC!B:D,3,FALSE)</f>
        <v>#N/A</v>
      </c>
      <c r="C2450" s="22">
        <v>2023</v>
      </c>
      <c r="D2450" t="s">
        <v>74</v>
      </c>
      <c r="F2450" t="e">
        <f>VLOOKUP(G2450,PC!B:D,2,FALSE)</f>
        <v>#N/A</v>
      </c>
      <c r="G2450" s="4" t="s">
        <v>202</v>
      </c>
      <c r="H2450" s="1">
        <v>36</v>
      </c>
    </row>
    <row r="2451" spans="2:9" x14ac:dyDescent="0.2">
      <c r="B2451" t="str">
        <f>VLOOKUP(G2451,PC!B:D,3,FALSE)</f>
        <v>DESPESA PESSOAL</v>
      </c>
      <c r="C2451" s="22">
        <v>2023</v>
      </c>
      <c r="D2451" t="s">
        <v>74</v>
      </c>
      <c r="F2451" t="str">
        <f>VLOOKUP(G2451,PC!B:D,2,FALSE)</f>
        <v>DESPESA PESSOAL</v>
      </c>
      <c r="G2451" s="4" t="s">
        <v>56</v>
      </c>
      <c r="H2451" s="1">
        <v>790</v>
      </c>
      <c r="I2451" s="28" t="s">
        <v>203</v>
      </c>
    </row>
    <row r="2452" spans="2:9" x14ac:dyDescent="0.2">
      <c r="B2452" t="str">
        <f>VLOOKUP(G2452,PC!B:D,3,FALSE)</f>
        <v>CPV</v>
      </c>
      <c r="C2452" s="22">
        <v>2023</v>
      </c>
      <c r="D2452" t="s">
        <v>74</v>
      </c>
      <c r="E2452" t="s">
        <v>13</v>
      </c>
      <c r="F2452" t="str">
        <f>VLOOKUP(G2452,PC!B:D,2,FALSE)</f>
        <v>COMIDA</v>
      </c>
      <c r="G2452" s="4" t="s">
        <v>33</v>
      </c>
      <c r="H2452" s="1">
        <v>595.33000000000004</v>
      </c>
    </row>
    <row r="2453" spans="2:9" x14ac:dyDescent="0.2">
      <c r="B2453" t="str">
        <f>VLOOKUP(G2453,PC!B:D,3,FALSE)</f>
        <v>CPV</v>
      </c>
      <c r="C2453" s="22">
        <v>2023</v>
      </c>
      <c r="D2453" t="s">
        <v>84</v>
      </c>
      <c r="E2453" t="s">
        <v>27</v>
      </c>
      <c r="F2453" t="str">
        <f>VLOOKUP(G2453,PC!B:D,2,FALSE)</f>
        <v>COMIDA</v>
      </c>
      <c r="G2453" s="4" t="s">
        <v>12</v>
      </c>
      <c r="H2453" s="1">
        <v>199.09</v>
      </c>
    </row>
    <row r="2454" spans="2:9" x14ac:dyDescent="0.2">
      <c r="B2454" t="str">
        <f>VLOOKUP(G2454,PC!B:D,3,FALSE)</f>
        <v>CPV</v>
      </c>
      <c r="C2454" s="22">
        <v>2023</v>
      </c>
      <c r="D2454" t="s">
        <v>74</v>
      </c>
      <c r="E2454" t="s">
        <v>14</v>
      </c>
      <c r="F2454" t="str">
        <f>VLOOKUP(G2454,PC!B:D,2,FALSE)</f>
        <v>BEBIDAS</v>
      </c>
      <c r="G2454" s="4" t="s">
        <v>46</v>
      </c>
      <c r="H2454" s="1">
        <v>449.36</v>
      </c>
    </row>
    <row r="2455" spans="2:9" x14ac:dyDescent="0.2">
      <c r="B2455" t="str">
        <f>VLOOKUP(G2455,PC!B:D,3,FALSE)</f>
        <v>CPV</v>
      </c>
      <c r="C2455" s="22">
        <v>2023</v>
      </c>
      <c r="D2455" t="s">
        <v>74</v>
      </c>
      <c r="E2455" t="s">
        <v>45</v>
      </c>
      <c r="F2455" t="str">
        <f>VLOOKUP(G2455,PC!B:D,2,FALSE)</f>
        <v>COMIDA</v>
      </c>
      <c r="G2455" s="4" t="s">
        <v>38</v>
      </c>
      <c r="H2455" s="1">
        <v>297.14999999999998</v>
      </c>
    </row>
    <row r="2456" spans="2:9" x14ac:dyDescent="0.2">
      <c r="B2456" t="str">
        <f>VLOOKUP(G2456,PC!B:D,3,FALSE)</f>
        <v>CPV</v>
      </c>
      <c r="C2456" s="22">
        <v>2023</v>
      </c>
      <c r="D2456" t="s">
        <v>84</v>
      </c>
      <c r="E2456" t="s">
        <v>97</v>
      </c>
      <c r="F2456" t="str">
        <f>VLOOKUP(G2456,PC!B:D,2,FALSE)</f>
        <v>OUTROS</v>
      </c>
      <c r="G2456" s="4" t="s">
        <v>37</v>
      </c>
      <c r="H2456" s="1">
        <v>387.68</v>
      </c>
    </row>
    <row r="2457" spans="2:9" x14ac:dyDescent="0.2">
      <c r="B2457" t="str">
        <f>VLOOKUP(G2457,PC!B:D,3,FALSE)</f>
        <v>CPV</v>
      </c>
      <c r="C2457" s="22">
        <v>2023</v>
      </c>
      <c r="D2457" t="s">
        <v>84</v>
      </c>
      <c r="E2457" t="s">
        <v>28</v>
      </c>
      <c r="F2457" t="str">
        <f>VLOOKUP(G2457,PC!B:D,2,FALSE)</f>
        <v>BEBIDAS</v>
      </c>
      <c r="G2457" s="4" t="s">
        <v>26</v>
      </c>
      <c r="H2457" s="1">
        <v>1046.82</v>
      </c>
    </row>
    <row r="2458" spans="2:9" x14ac:dyDescent="0.2">
      <c r="B2458" t="str">
        <f>VLOOKUP(G2458,PC!B:D,3,FALSE)</f>
        <v>CPV</v>
      </c>
      <c r="C2458" s="22">
        <v>2023</v>
      </c>
      <c r="D2458" t="s">
        <v>84</v>
      </c>
      <c r="E2458" t="s">
        <v>129</v>
      </c>
      <c r="F2458" t="str">
        <f>VLOOKUP(G2458,PC!B:D,2,FALSE)</f>
        <v>LIMPEZA</v>
      </c>
      <c r="G2458" s="4" t="s">
        <v>43</v>
      </c>
      <c r="H2458" s="1">
        <v>196.5</v>
      </c>
    </row>
    <row r="2459" spans="2:9" x14ac:dyDescent="0.2">
      <c r="B2459" t="str">
        <f>VLOOKUP(G2459,PC!B:D,3,FALSE)</f>
        <v>CPV</v>
      </c>
      <c r="C2459" s="22">
        <v>2023</v>
      </c>
      <c r="D2459" t="s">
        <v>84</v>
      </c>
      <c r="E2459" t="s">
        <v>129</v>
      </c>
      <c r="F2459" t="str">
        <f>VLOOKUP(G2459,PC!B:D,2,FALSE)</f>
        <v>BEBIDAS</v>
      </c>
      <c r="G2459" s="4" t="s">
        <v>46</v>
      </c>
      <c r="H2459" s="1">
        <v>70</v>
      </c>
    </row>
    <row r="2460" spans="2:9" x14ac:dyDescent="0.2">
      <c r="B2460" t="str">
        <f>VLOOKUP(G2460,PC!B:D,3,FALSE)</f>
        <v>CPV</v>
      </c>
      <c r="C2460" s="22">
        <v>2023</v>
      </c>
      <c r="D2460" t="s">
        <v>74</v>
      </c>
      <c r="E2460" t="s">
        <v>21</v>
      </c>
      <c r="F2460" t="str">
        <f>VLOOKUP(G2460,PC!B:D,2,FALSE)</f>
        <v>SOBREMESA</v>
      </c>
      <c r="G2460" s="4" t="s">
        <v>23</v>
      </c>
      <c r="H2460" s="1">
        <v>220.73</v>
      </c>
    </row>
    <row r="2461" spans="2:9" x14ac:dyDescent="0.2">
      <c r="B2461" t="str">
        <f>VLOOKUP(G2461,PC!B:D,3,FALSE)</f>
        <v>CPV</v>
      </c>
      <c r="C2461" s="22">
        <v>2023</v>
      </c>
      <c r="D2461" t="s">
        <v>74</v>
      </c>
      <c r="E2461" t="s">
        <v>49</v>
      </c>
      <c r="F2461" t="str">
        <f>VLOOKUP(G2461,PC!B:D,2,FALSE)</f>
        <v>CIGARRO</v>
      </c>
      <c r="G2461" s="4" t="s">
        <v>52</v>
      </c>
      <c r="H2461" s="1">
        <v>734.22</v>
      </c>
    </row>
    <row r="2462" spans="2:9" x14ac:dyDescent="0.2">
      <c r="B2462" t="str">
        <f>VLOOKUP(G2462,PC!B:D,3,FALSE)</f>
        <v>CPV</v>
      </c>
      <c r="C2462" s="22">
        <v>2023</v>
      </c>
      <c r="D2462" t="s">
        <v>84</v>
      </c>
      <c r="E2462" t="s">
        <v>14</v>
      </c>
      <c r="F2462" t="str">
        <f>VLOOKUP(G2462,PC!B:D,2,FALSE)</f>
        <v>BEBIDAS</v>
      </c>
      <c r="G2462" s="4" t="s">
        <v>46</v>
      </c>
      <c r="H2462" s="1">
        <v>15.59</v>
      </c>
    </row>
    <row r="2463" spans="2:9" x14ac:dyDescent="0.2">
      <c r="B2463" t="str">
        <f>VLOOKUP(G2463,PC!B:D,3,FALSE)</f>
        <v>CPV</v>
      </c>
      <c r="C2463" s="22">
        <v>2023</v>
      </c>
      <c r="D2463" t="s">
        <v>84</v>
      </c>
      <c r="E2463" t="s">
        <v>14</v>
      </c>
      <c r="F2463" t="str">
        <f>VLOOKUP(G2463,PC!B:D,2,FALSE)</f>
        <v>BEBIDAS</v>
      </c>
      <c r="G2463" s="4" t="s">
        <v>46</v>
      </c>
      <c r="H2463" s="1">
        <v>48.61</v>
      </c>
    </row>
    <row r="2464" spans="2:9" x14ac:dyDescent="0.2">
      <c r="B2464" t="str">
        <f>VLOOKUP(G2464,PC!B:D,3,FALSE)</f>
        <v>CPV</v>
      </c>
      <c r="C2464" s="22">
        <v>2023</v>
      </c>
      <c r="D2464" t="s">
        <v>84</v>
      </c>
      <c r="E2464" t="s">
        <v>14</v>
      </c>
      <c r="F2464" t="str">
        <f>VLOOKUP(G2464,PC!B:D,2,FALSE)</f>
        <v>BEBIDAS</v>
      </c>
      <c r="G2464" s="4" t="s">
        <v>25</v>
      </c>
      <c r="H2464" s="1">
        <v>2469.02</v>
      </c>
    </row>
    <row r="2465" spans="2:8" x14ac:dyDescent="0.2">
      <c r="B2465" t="str">
        <f>VLOOKUP(G2465,PC!B:D,3,FALSE)</f>
        <v>CPV</v>
      </c>
      <c r="C2465" s="22">
        <v>2023</v>
      </c>
      <c r="D2465" t="s">
        <v>84</v>
      </c>
      <c r="E2465" t="s">
        <v>28</v>
      </c>
      <c r="F2465" t="str">
        <f>VLOOKUP(G2465,PC!B:D,2,FALSE)</f>
        <v>BEBIDAS</v>
      </c>
      <c r="G2465" s="4" t="s">
        <v>26</v>
      </c>
      <c r="H2465" s="1">
        <v>2547.5500000000002</v>
      </c>
    </row>
    <row r="2466" spans="2:8" x14ac:dyDescent="0.2">
      <c r="B2466" t="str">
        <f>VLOOKUP(G2466,PC!B:D,3,FALSE)</f>
        <v>CPV</v>
      </c>
      <c r="C2466" s="22">
        <v>2023</v>
      </c>
      <c r="D2466" t="s">
        <v>84</v>
      </c>
      <c r="E2466" t="s">
        <v>28</v>
      </c>
      <c r="F2466" t="str">
        <f>VLOOKUP(G2466,PC!B:D,2,FALSE)</f>
        <v>BEBIDAS</v>
      </c>
      <c r="G2466" s="4" t="s">
        <v>25</v>
      </c>
      <c r="H2466" s="1">
        <v>298.27</v>
      </c>
    </row>
    <row r="2467" spans="2:8" x14ac:dyDescent="0.2">
      <c r="B2467" t="str">
        <f>VLOOKUP(G2467,PC!B:D,3,FALSE)</f>
        <v>CPV</v>
      </c>
      <c r="C2467" s="22">
        <v>2023</v>
      </c>
      <c r="D2467" t="s">
        <v>84</v>
      </c>
      <c r="E2467" t="s">
        <v>14</v>
      </c>
      <c r="F2467" t="str">
        <f>VLOOKUP(G2467,PC!B:D,2,FALSE)</f>
        <v>BEBIDAS</v>
      </c>
      <c r="G2467" s="4" t="s">
        <v>46</v>
      </c>
      <c r="H2467" s="1">
        <v>463.54</v>
      </c>
    </row>
    <row r="2468" spans="2:8" x14ac:dyDescent="0.2">
      <c r="B2468" t="str">
        <f>VLOOKUP(G2468,PC!B:D,3,FALSE)</f>
        <v>CPV</v>
      </c>
      <c r="C2468" s="22">
        <v>2023</v>
      </c>
      <c r="D2468" t="s">
        <v>84</v>
      </c>
      <c r="E2468" t="s">
        <v>14</v>
      </c>
      <c r="F2468" t="str">
        <f>VLOOKUP(G2468,PC!B:D,2,FALSE)</f>
        <v>BEBIDAS</v>
      </c>
      <c r="G2468" s="4" t="s">
        <v>25</v>
      </c>
      <c r="H2468" s="1">
        <v>696.99</v>
      </c>
    </row>
    <row r="2469" spans="2:8" x14ac:dyDescent="0.2">
      <c r="B2469" t="str">
        <f>VLOOKUP(G2469,PC!B:D,3,FALSE)</f>
        <v>CPV</v>
      </c>
      <c r="C2469" s="22">
        <v>2023</v>
      </c>
      <c r="D2469" t="s">
        <v>84</v>
      </c>
      <c r="E2469" t="s">
        <v>14</v>
      </c>
      <c r="F2469" t="str">
        <f>VLOOKUP(G2469,PC!B:D,2,FALSE)</f>
        <v>BEBIDAS</v>
      </c>
      <c r="G2469" s="4" t="s">
        <v>25</v>
      </c>
      <c r="H2469" s="1">
        <v>169.95</v>
      </c>
    </row>
    <row r="2470" spans="2:8" x14ac:dyDescent="0.2">
      <c r="B2470" t="str">
        <f>VLOOKUP(G2470,PC!B:D,3,FALSE)</f>
        <v>CPV</v>
      </c>
      <c r="C2470" s="22">
        <v>2023</v>
      </c>
      <c r="D2470" t="s">
        <v>84</v>
      </c>
      <c r="E2470" t="s">
        <v>24</v>
      </c>
      <c r="F2470" t="str">
        <f>VLOOKUP(G2470,PC!B:D,2,FALSE)</f>
        <v>COMIDA</v>
      </c>
      <c r="G2470" s="4" t="s">
        <v>33</v>
      </c>
      <c r="H2470" s="1">
        <v>447.06</v>
      </c>
    </row>
    <row r="2471" spans="2:8" x14ac:dyDescent="0.2">
      <c r="B2471" t="str">
        <f>VLOOKUP(G2471,PC!B:D,3,FALSE)</f>
        <v>CPV</v>
      </c>
      <c r="C2471" s="22">
        <v>2023</v>
      </c>
      <c r="D2471" t="s">
        <v>84</v>
      </c>
      <c r="E2471" t="s">
        <v>165</v>
      </c>
      <c r="F2471" t="str">
        <f>VLOOKUP(G2471,PC!B:D,2,FALSE)</f>
        <v>COMIDA</v>
      </c>
      <c r="G2471" s="4" t="s">
        <v>33</v>
      </c>
      <c r="H2471" s="1">
        <v>572.41999999999996</v>
      </c>
    </row>
    <row r="2472" spans="2:8" x14ac:dyDescent="0.2">
      <c r="B2472" t="str">
        <f>VLOOKUP(G2472,PC!B:D,3,FALSE)</f>
        <v>CPV</v>
      </c>
      <c r="C2472" s="22">
        <v>2023</v>
      </c>
      <c r="D2472" t="s">
        <v>84</v>
      </c>
      <c r="E2472" t="s">
        <v>165</v>
      </c>
      <c r="F2472" t="str">
        <f>VLOOKUP(G2472,PC!B:D,2,FALSE)</f>
        <v>COMIDA</v>
      </c>
      <c r="G2472" s="4" t="s">
        <v>33</v>
      </c>
      <c r="H2472" s="1">
        <v>508.84</v>
      </c>
    </row>
    <row r="2473" spans="2:8" x14ac:dyDescent="0.2">
      <c r="B2473" t="str">
        <f>VLOOKUP(G2473,PC!B:D,3,FALSE)</f>
        <v>CPV</v>
      </c>
      <c r="C2473" s="22">
        <v>2023</v>
      </c>
      <c r="D2473" t="s">
        <v>84</v>
      </c>
      <c r="E2473" t="s">
        <v>10</v>
      </c>
      <c r="F2473" t="str">
        <f>VLOOKUP(G2473,PC!B:D,2,FALSE)</f>
        <v>COMIDA</v>
      </c>
      <c r="G2473" s="4" t="s">
        <v>12</v>
      </c>
      <c r="H2473" s="1">
        <v>390.32</v>
      </c>
    </row>
    <row r="2474" spans="2:8" x14ac:dyDescent="0.2">
      <c r="B2474" t="str">
        <f>VLOOKUP(G2474,PC!B:D,3,FALSE)</f>
        <v>CPV</v>
      </c>
      <c r="C2474" s="22">
        <v>2023</v>
      </c>
      <c r="D2474" t="s">
        <v>84</v>
      </c>
      <c r="E2474" t="s">
        <v>35</v>
      </c>
      <c r="F2474" t="str">
        <f>VLOOKUP(G2474,PC!B:D,2,FALSE)</f>
        <v>OUTROS</v>
      </c>
      <c r="G2474" s="4" t="s">
        <v>37</v>
      </c>
      <c r="H2474" s="1">
        <v>1106.92</v>
      </c>
    </row>
    <row r="2475" spans="2:8" x14ac:dyDescent="0.2">
      <c r="B2475" t="str">
        <f>VLOOKUP(G2475,PC!B:D,3,FALSE)</f>
        <v>CPV</v>
      </c>
      <c r="C2475" s="22">
        <v>2023</v>
      </c>
      <c r="D2475" t="s">
        <v>84</v>
      </c>
      <c r="E2475" t="s">
        <v>160</v>
      </c>
      <c r="F2475" t="str">
        <f>VLOOKUP(G2475,PC!B:D,2,FALSE)</f>
        <v>LIMPEZA</v>
      </c>
      <c r="G2475" s="4" t="s">
        <v>43</v>
      </c>
      <c r="H2475" s="1">
        <f>100.91+88.42+87.2</f>
        <v>276.52999999999997</v>
      </c>
    </row>
    <row r="2476" spans="2:8" x14ac:dyDescent="0.2">
      <c r="B2476" t="str">
        <f>VLOOKUP(G2476,PC!B:D,3,FALSE)</f>
        <v>CPV</v>
      </c>
      <c r="C2476" s="22">
        <v>2023</v>
      </c>
      <c r="D2476" t="s">
        <v>84</v>
      </c>
      <c r="E2476" t="s">
        <v>160</v>
      </c>
      <c r="F2476" t="str">
        <f>VLOOKUP(G2476,PC!B:D,2,FALSE)</f>
        <v>SOBREMESA</v>
      </c>
      <c r="G2476" s="4" t="s">
        <v>8</v>
      </c>
      <c r="H2476" s="1">
        <f>3*21</f>
        <v>63</v>
      </c>
    </row>
    <row r="2477" spans="2:8" x14ac:dyDescent="0.2">
      <c r="B2477" t="str">
        <f>VLOOKUP(G2477,PC!B:D,3,FALSE)</f>
        <v>CPV</v>
      </c>
      <c r="C2477" s="22">
        <v>2023</v>
      </c>
      <c r="D2477" t="s">
        <v>84</v>
      </c>
      <c r="E2477" t="s">
        <v>14</v>
      </c>
      <c r="F2477" t="str">
        <f>VLOOKUP(G2477,PC!B:D,2,FALSE)</f>
        <v>BEBIDAS</v>
      </c>
      <c r="G2477" s="4" t="s">
        <v>26</v>
      </c>
      <c r="H2477" s="1">
        <v>158.12</v>
      </c>
    </row>
    <row r="2478" spans="2:8" x14ac:dyDescent="0.2">
      <c r="B2478" t="str">
        <f>VLOOKUP(G2478,PC!B:D,3,FALSE)</f>
        <v>CPV</v>
      </c>
      <c r="C2478" s="22">
        <v>2023</v>
      </c>
      <c r="D2478" t="s">
        <v>84</v>
      </c>
      <c r="E2478" t="s">
        <v>14</v>
      </c>
      <c r="F2478" t="str">
        <f>VLOOKUP(G2478,PC!B:D,2,FALSE)</f>
        <v>BEBIDAS</v>
      </c>
      <c r="G2478" s="4" t="s">
        <v>25</v>
      </c>
      <c r="H2478" s="1">
        <v>465.7</v>
      </c>
    </row>
    <row r="2479" spans="2:8" x14ac:dyDescent="0.2">
      <c r="B2479" t="str">
        <f>VLOOKUP(G2479,PC!B:D,3,FALSE)</f>
        <v>CPV</v>
      </c>
      <c r="C2479" s="22">
        <v>2023</v>
      </c>
      <c r="D2479" t="s">
        <v>84</v>
      </c>
      <c r="E2479" t="s">
        <v>30</v>
      </c>
      <c r="F2479" t="str">
        <f>VLOOKUP(G2479,PC!B:D,2,FALSE)</f>
        <v>SOBREMESA</v>
      </c>
      <c r="G2479" s="4" t="s">
        <v>23</v>
      </c>
      <c r="H2479" s="1">
        <v>277.39999999999998</v>
      </c>
    </row>
    <row r="2480" spans="2:8" x14ac:dyDescent="0.2">
      <c r="B2480" t="str">
        <f>VLOOKUP(G2480,PC!B:D,3,FALSE)</f>
        <v>CPV</v>
      </c>
      <c r="C2480" s="22">
        <v>2023</v>
      </c>
      <c r="D2480" t="s">
        <v>84</v>
      </c>
      <c r="E2480" t="s">
        <v>24</v>
      </c>
      <c r="F2480" t="str">
        <f>VLOOKUP(G2480,PC!B:D,2,FALSE)</f>
        <v>COMIDA</v>
      </c>
      <c r="G2480" s="4" t="s">
        <v>33</v>
      </c>
      <c r="H2480" s="1">
        <v>574.66999999999996</v>
      </c>
    </row>
    <row r="2481" spans="2:8" x14ac:dyDescent="0.2">
      <c r="B2481" t="str">
        <f>VLOOKUP(G2481,PC!B:D,3,FALSE)</f>
        <v>CPV</v>
      </c>
      <c r="C2481" s="22">
        <v>2023</v>
      </c>
      <c r="D2481" t="s">
        <v>84</v>
      </c>
      <c r="E2481" t="s">
        <v>156</v>
      </c>
      <c r="F2481" t="str">
        <f>VLOOKUP(G2481,PC!B:D,2,FALSE)</f>
        <v>BEBIDAS</v>
      </c>
      <c r="G2481" s="4" t="s">
        <v>39</v>
      </c>
      <c r="H2481" s="1">
        <v>177.24</v>
      </c>
    </row>
    <row r="2482" spans="2:8" x14ac:dyDescent="0.2">
      <c r="B2482" t="str">
        <f>VLOOKUP(G2482,PC!B:D,3,FALSE)</f>
        <v>CPV</v>
      </c>
      <c r="C2482" s="22">
        <v>2023</v>
      </c>
      <c r="D2482" t="s">
        <v>84</v>
      </c>
      <c r="E2482" t="s">
        <v>40</v>
      </c>
      <c r="F2482" t="str">
        <f>VLOOKUP(G2482,PC!B:D,2,FALSE)</f>
        <v>BEBIDAS</v>
      </c>
      <c r="G2482" s="4" t="s">
        <v>26</v>
      </c>
      <c r="H2482" s="1">
        <v>127.88</v>
      </c>
    </row>
    <row r="2483" spans="2:8" x14ac:dyDescent="0.2">
      <c r="B2483" t="str">
        <f>VLOOKUP(G2483,PC!B:D,3,FALSE)</f>
        <v>CPV</v>
      </c>
      <c r="C2483" s="22">
        <v>2023</v>
      </c>
      <c r="D2483" t="s">
        <v>84</v>
      </c>
      <c r="E2483" t="s">
        <v>28</v>
      </c>
      <c r="F2483" t="str">
        <f>VLOOKUP(G2483,PC!B:D,2,FALSE)</f>
        <v>BEBIDAS</v>
      </c>
      <c r="G2483" s="4" t="s">
        <v>26</v>
      </c>
      <c r="H2483" s="1">
        <v>643.72</v>
      </c>
    </row>
    <row r="2484" spans="2:8" x14ac:dyDescent="0.2">
      <c r="B2484" t="str">
        <f>VLOOKUP(G2484,PC!B:D,3,FALSE)</f>
        <v>CPV</v>
      </c>
      <c r="C2484" s="22">
        <v>2023</v>
      </c>
      <c r="D2484" t="s">
        <v>84</v>
      </c>
      <c r="E2484" t="s">
        <v>20</v>
      </c>
      <c r="F2484" t="str">
        <f>VLOOKUP(G2484,PC!B:D,2,FALSE)</f>
        <v>COMIDA</v>
      </c>
      <c r="G2484" s="4" t="s">
        <v>29</v>
      </c>
      <c r="H2484" s="1">
        <v>156.30000000000001</v>
      </c>
    </row>
    <row r="2485" spans="2:8" x14ac:dyDescent="0.2">
      <c r="B2485" t="str">
        <f>VLOOKUP(G2485,PC!B:D,3,FALSE)</f>
        <v>CPV</v>
      </c>
      <c r="C2485" s="22">
        <v>2023</v>
      </c>
      <c r="D2485" t="s">
        <v>84</v>
      </c>
      <c r="E2485" t="s">
        <v>19</v>
      </c>
      <c r="F2485" t="str">
        <f>VLOOKUP(G2485,PC!B:D,2,FALSE)</f>
        <v>COMIDA</v>
      </c>
      <c r="G2485" s="4" t="s">
        <v>145</v>
      </c>
      <c r="H2485" s="1">
        <v>296.83</v>
      </c>
    </row>
    <row r="2486" spans="2:8" x14ac:dyDescent="0.2">
      <c r="B2486" t="str">
        <f>VLOOKUP(G2486,PC!B:D,3,FALSE)</f>
        <v>CPV</v>
      </c>
      <c r="C2486" s="22">
        <v>2023</v>
      </c>
      <c r="D2486" t="s">
        <v>84</v>
      </c>
      <c r="E2486" t="s">
        <v>129</v>
      </c>
      <c r="F2486" t="str">
        <f>VLOOKUP(G2486,PC!B:D,2,FALSE)</f>
        <v>BEBIDAS</v>
      </c>
      <c r="G2486" s="4" t="s">
        <v>48</v>
      </c>
      <c r="H2486" s="1">
        <v>177.1</v>
      </c>
    </row>
    <row r="2487" spans="2:8" x14ac:dyDescent="0.2">
      <c r="B2487" t="str">
        <f>VLOOKUP(G2487,PC!B:D,3,FALSE)</f>
        <v>CPV</v>
      </c>
      <c r="C2487" s="22">
        <v>2023</v>
      </c>
      <c r="D2487" t="s">
        <v>84</v>
      </c>
      <c r="E2487" t="s">
        <v>21</v>
      </c>
      <c r="F2487" t="str">
        <f>VLOOKUP(G2487,PC!B:D,2,FALSE)</f>
        <v>SOBREMESA</v>
      </c>
      <c r="G2487" s="4" t="s">
        <v>23</v>
      </c>
      <c r="H2487" s="1">
        <v>340.43</v>
      </c>
    </row>
    <row r="2488" spans="2:8" x14ac:dyDescent="0.2">
      <c r="B2488" t="str">
        <f>VLOOKUP(G2488,PC!B:D,3,FALSE)</f>
        <v>CPV</v>
      </c>
      <c r="C2488" s="22">
        <v>2023</v>
      </c>
      <c r="D2488" t="s">
        <v>84</v>
      </c>
      <c r="E2488" t="s">
        <v>28</v>
      </c>
      <c r="F2488" t="str">
        <f>VLOOKUP(G2488,PC!B:D,2,FALSE)</f>
        <v>BEBIDAS</v>
      </c>
      <c r="G2488" s="4" t="s">
        <v>26</v>
      </c>
      <c r="H2488" s="1">
        <v>1320.46</v>
      </c>
    </row>
    <row r="2489" spans="2:8" x14ac:dyDescent="0.2">
      <c r="B2489" t="str">
        <f>VLOOKUP(G2489,PC!B:D,3,FALSE)</f>
        <v>CPV</v>
      </c>
      <c r="C2489" s="22">
        <v>2023</v>
      </c>
      <c r="D2489" t="s">
        <v>84</v>
      </c>
      <c r="E2489" t="s">
        <v>78</v>
      </c>
      <c r="F2489" t="str">
        <f>VLOOKUP(G2489,PC!B:D,2,FALSE)</f>
        <v>CIGARRO</v>
      </c>
      <c r="G2489" s="4" t="s">
        <v>82</v>
      </c>
      <c r="H2489" s="1">
        <v>500.73</v>
      </c>
    </row>
    <row r="2490" spans="2:8" x14ac:dyDescent="0.2">
      <c r="B2490" t="str">
        <f>VLOOKUP(G2490,PC!B:D,3,FALSE)</f>
        <v>CPV</v>
      </c>
      <c r="C2490" s="22">
        <v>2023</v>
      </c>
      <c r="D2490" t="s">
        <v>84</v>
      </c>
      <c r="E2490" t="s">
        <v>28</v>
      </c>
      <c r="F2490" t="str">
        <f>VLOOKUP(G2490,PC!B:D,2,FALSE)</f>
        <v>BEBIDAS</v>
      </c>
      <c r="G2490" s="4" t="s">
        <v>26</v>
      </c>
      <c r="H2490" s="1">
        <v>437.82</v>
      </c>
    </row>
    <row r="2491" spans="2:8" x14ac:dyDescent="0.2">
      <c r="B2491" t="str">
        <f>VLOOKUP(G2491,PC!B:D,3,FALSE)</f>
        <v>CPV</v>
      </c>
      <c r="C2491" s="22">
        <v>2023</v>
      </c>
      <c r="D2491" t="s">
        <v>84</v>
      </c>
      <c r="E2491" t="s">
        <v>14</v>
      </c>
      <c r="F2491" t="str">
        <f>VLOOKUP(G2491,PC!B:D,2,FALSE)</f>
        <v>BEBIDAS</v>
      </c>
      <c r="G2491" s="4" t="s">
        <v>25</v>
      </c>
      <c r="H2491" s="1">
        <v>344.99</v>
      </c>
    </row>
    <row r="2492" spans="2:8" x14ac:dyDescent="0.2">
      <c r="B2492" t="str">
        <f>VLOOKUP(G2492,PC!B:D,3,FALSE)</f>
        <v>CPV</v>
      </c>
      <c r="C2492" s="22">
        <v>2023</v>
      </c>
      <c r="D2492" t="s">
        <v>84</v>
      </c>
      <c r="E2492" t="s">
        <v>14</v>
      </c>
      <c r="F2492" t="str">
        <f>VLOOKUP(G2492,PC!B:D,2,FALSE)</f>
        <v>BEBIDAS</v>
      </c>
      <c r="G2492" s="4" t="s">
        <v>25</v>
      </c>
      <c r="H2492" s="1">
        <v>24.31</v>
      </c>
    </row>
    <row r="2493" spans="2:8" x14ac:dyDescent="0.2">
      <c r="B2493" t="str">
        <f>VLOOKUP(G2493,PC!B:D,3,FALSE)</f>
        <v>CPV</v>
      </c>
      <c r="C2493" s="22">
        <v>2023</v>
      </c>
      <c r="D2493" t="s">
        <v>84</v>
      </c>
      <c r="E2493" t="s">
        <v>100</v>
      </c>
      <c r="F2493" t="str">
        <f>VLOOKUP(G2493,PC!B:D,2,FALSE)</f>
        <v>SOBREMESA</v>
      </c>
      <c r="G2493" s="4" t="s">
        <v>23</v>
      </c>
      <c r="H2493" s="1">
        <v>275.81</v>
      </c>
    </row>
    <row r="2494" spans="2:8" x14ac:dyDescent="0.2">
      <c r="B2494" t="str">
        <f>VLOOKUP(G2494,PC!B:D,3,FALSE)</f>
        <v>CPV</v>
      </c>
      <c r="C2494" s="22">
        <v>2023</v>
      </c>
      <c r="D2494" t="s">
        <v>84</v>
      </c>
      <c r="E2494" t="s">
        <v>21</v>
      </c>
      <c r="F2494" t="str">
        <f>VLOOKUP(G2494,PC!B:D,2,FALSE)</f>
        <v>SOBREMESA</v>
      </c>
      <c r="G2494" s="4" t="s">
        <v>23</v>
      </c>
      <c r="H2494" s="1">
        <v>88.75</v>
      </c>
    </row>
    <row r="2495" spans="2:8" x14ac:dyDescent="0.2">
      <c r="B2495" t="str">
        <f>VLOOKUP(G2495,PC!B:D,3,FALSE)</f>
        <v>CPV</v>
      </c>
      <c r="C2495" s="22">
        <v>2023</v>
      </c>
      <c r="D2495" t="s">
        <v>84</v>
      </c>
      <c r="E2495" t="s">
        <v>21</v>
      </c>
      <c r="F2495" t="str">
        <f>VLOOKUP(G2495,PC!B:D,2,FALSE)</f>
        <v>SOBREMESA</v>
      </c>
      <c r="G2495" s="4" t="s">
        <v>23</v>
      </c>
      <c r="H2495" s="1">
        <v>141.91999999999999</v>
      </c>
    </row>
    <row r="2496" spans="2:8" x14ac:dyDescent="0.2">
      <c r="B2496" t="str">
        <f>VLOOKUP(G2496,PC!B:D,3,FALSE)</f>
        <v>CPV</v>
      </c>
      <c r="C2496" s="22">
        <v>2023</v>
      </c>
      <c r="D2496" t="s">
        <v>84</v>
      </c>
      <c r="E2496" t="s">
        <v>6</v>
      </c>
      <c r="F2496" t="str">
        <f>VLOOKUP(G2496,PC!B:D,2,FALSE)</f>
        <v>COMIDA</v>
      </c>
      <c r="G2496" s="4" t="s">
        <v>145</v>
      </c>
      <c r="H2496" s="1">
        <v>65</v>
      </c>
    </row>
    <row r="2497" spans="2:8" x14ac:dyDescent="0.2">
      <c r="B2497" t="str">
        <f>VLOOKUP(G2497,PC!B:D,3,FALSE)</f>
        <v>CPV</v>
      </c>
      <c r="C2497" s="22">
        <v>2023</v>
      </c>
      <c r="D2497" t="s">
        <v>84</v>
      </c>
      <c r="E2497" t="s">
        <v>16</v>
      </c>
      <c r="F2497" t="str">
        <f>VLOOKUP(G2497,PC!B:D,2,FALSE)</f>
        <v>COMIDA</v>
      </c>
      <c r="G2497" s="4" t="s">
        <v>12</v>
      </c>
      <c r="H2497" s="1">
        <v>396.26</v>
      </c>
    </row>
    <row r="2498" spans="2:8" x14ac:dyDescent="0.2">
      <c r="B2498" t="str">
        <f>VLOOKUP(G2498,PC!B:D,3,FALSE)</f>
        <v>CPV</v>
      </c>
      <c r="C2498" s="22">
        <v>2023</v>
      </c>
      <c r="D2498" t="s">
        <v>84</v>
      </c>
      <c r="E2498" t="s">
        <v>19</v>
      </c>
      <c r="F2498" t="str">
        <f>VLOOKUP(G2498,PC!B:D,2,FALSE)</f>
        <v>COMIDA</v>
      </c>
      <c r="G2498" s="4" t="s">
        <v>22</v>
      </c>
      <c r="H2498" s="1">
        <v>159.82</v>
      </c>
    </row>
    <row r="2499" spans="2:8" x14ac:dyDescent="0.2">
      <c r="B2499" t="str">
        <f>VLOOKUP(G2499,PC!B:D,3,FALSE)</f>
        <v>CPV</v>
      </c>
      <c r="C2499" s="22">
        <v>2023</v>
      </c>
      <c r="D2499" t="s">
        <v>84</v>
      </c>
      <c r="E2499" t="s">
        <v>20</v>
      </c>
      <c r="F2499" t="str">
        <f>VLOOKUP(G2499,PC!B:D,2,FALSE)</f>
        <v>COMIDA</v>
      </c>
      <c r="G2499" s="4" t="s">
        <v>29</v>
      </c>
      <c r="H2499" s="1">
        <v>70.5</v>
      </c>
    </row>
    <row r="2500" spans="2:8" x14ac:dyDescent="0.2">
      <c r="B2500" t="str">
        <f>VLOOKUP(G2500,PC!B:D,3,FALSE)</f>
        <v>CPV</v>
      </c>
      <c r="C2500" s="22">
        <v>2023</v>
      </c>
      <c r="D2500" t="s">
        <v>84</v>
      </c>
      <c r="E2500" t="s">
        <v>19</v>
      </c>
      <c r="F2500" t="str">
        <f>VLOOKUP(G2500,PC!B:D,2,FALSE)</f>
        <v>COMIDA</v>
      </c>
      <c r="G2500" s="4" t="s">
        <v>34</v>
      </c>
      <c r="H2500" s="1">
        <v>230.44</v>
      </c>
    </row>
    <row r="2501" spans="2:8" x14ac:dyDescent="0.2">
      <c r="B2501" t="str">
        <f>VLOOKUP(G2501,PC!B:D,3,FALSE)</f>
        <v>CPV</v>
      </c>
      <c r="C2501" s="22">
        <v>2023</v>
      </c>
      <c r="D2501" t="s">
        <v>84</v>
      </c>
      <c r="E2501" t="s">
        <v>28</v>
      </c>
      <c r="F2501" t="str">
        <f>VLOOKUP(G2501,PC!B:D,2,FALSE)</f>
        <v>BEBIDAS</v>
      </c>
      <c r="G2501" s="4" t="s">
        <v>26</v>
      </c>
      <c r="H2501" s="1">
        <v>789</v>
      </c>
    </row>
    <row r="2502" spans="2:8" x14ac:dyDescent="0.2">
      <c r="B2502" t="str">
        <f>VLOOKUP(G2502,PC!B:D,3,FALSE)</f>
        <v>CPV</v>
      </c>
      <c r="C2502" s="22">
        <v>2023</v>
      </c>
      <c r="D2502" t="s">
        <v>84</v>
      </c>
      <c r="E2502" t="s">
        <v>40</v>
      </c>
      <c r="F2502" t="str">
        <f>VLOOKUP(G2502,PC!B:D,2,FALSE)</f>
        <v>BEBIDAS</v>
      </c>
      <c r="G2502" s="4" t="s">
        <v>51</v>
      </c>
      <c r="H2502" s="1">
        <v>17.63</v>
      </c>
    </row>
    <row r="2503" spans="2:8" x14ac:dyDescent="0.2">
      <c r="B2503" t="str">
        <f>VLOOKUP(G2503,PC!B:D,3,FALSE)</f>
        <v>CPV</v>
      </c>
      <c r="C2503" s="22">
        <v>2023</v>
      </c>
      <c r="D2503" t="s">
        <v>84</v>
      </c>
      <c r="E2503" t="s">
        <v>28</v>
      </c>
      <c r="F2503" t="str">
        <f>VLOOKUP(G2503,PC!B:D,2,FALSE)</f>
        <v>BEBIDAS</v>
      </c>
      <c r="G2503" s="4" t="s">
        <v>26</v>
      </c>
      <c r="H2503" s="1">
        <v>383.72</v>
      </c>
    </row>
    <row r="2504" spans="2:8" x14ac:dyDescent="0.2">
      <c r="B2504" t="str">
        <f>VLOOKUP(G2504,PC!B:D,3,FALSE)</f>
        <v>CPV</v>
      </c>
      <c r="C2504" s="22">
        <v>2023</v>
      </c>
      <c r="D2504" t="s">
        <v>84</v>
      </c>
      <c r="E2504" t="s">
        <v>28</v>
      </c>
      <c r="F2504" t="str">
        <f>VLOOKUP(G2504,PC!B:D,2,FALSE)</f>
        <v>BEBIDAS</v>
      </c>
      <c r="G2504" s="4" t="s">
        <v>26</v>
      </c>
      <c r="H2504" s="1">
        <v>2653.78</v>
      </c>
    </row>
    <row r="2505" spans="2:8" x14ac:dyDescent="0.2">
      <c r="B2505" t="str">
        <f>VLOOKUP(G2505,PC!B:D,3,FALSE)</f>
        <v>CPV</v>
      </c>
      <c r="C2505" s="22">
        <v>2023</v>
      </c>
      <c r="D2505" t="s">
        <v>84</v>
      </c>
      <c r="E2505" t="s">
        <v>28</v>
      </c>
      <c r="F2505" t="str">
        <f>VLOOKUP(G2505,PC!B:D,2,FALSE)</f>
        <v>BEBIDAS</v>
      </c>
      <c r="G2505" s="4" t="s">
        <v>26</v>
      </c>
      <c r="H2505" s="1">
        <v>99.95</v>
      </c>
    </row>
    <row r="2506" spans="2:8" x14ac:dyDescent="0.2">
      <c r="B2506" t="str">
        <f>VLOOKUP(G2506,PC!B:D,3,FALSE)</f>
        <v>CPV</v>
      </c>
      <c r="C2506" s="22">
        <v>2023</v>
      </c>
      <c r="D2506" t="s">
        <v>84</v>
      </c>
      <c r="E2506" t="s">
        <v>163</v>
      </c>
      <c r="F2506" t="str">
        <f>VLOOKUP(G2506,PC!B:D,2,FALSE)</f>
        <v>LIMPEZA</v>
      </c>
      <c r="G2506" s="4" t="s">
        <v>43</v>
      </c>
      <c r="H2506" s="1">
        <v>494.69</v>
      </c>
    </row>
    <row r="2507" spans="2:8" x14ac:dyDescent="0.2">
      <c r="B2507" t="str">
        <f>VLOOKUP(G2507,PC!B:D,3,FALSE)</f>
        <v>CPV</v>
      </c>
      <c r="C2507" s="22">
        <v>2023</v>
      </c>
      <c r="D2507" t="s">
        <v>84</v>
      </c>
      <c r="E2507" t="s">
        <v>49</v>
      </c>
      <c r="F2507" t="str">
        <f>VLOOKUP(G2507,PC!B:D,2,FALSE)</f>
        <v>CIGARRO</v>
      </c>
      <c r="G2507" s="4" t="s">
        <v>52</v>
      </c>
      <c r="H2507" s="1">
        <v>4071.88</v>
      </c>
    </row>
    <row r="2508" spans="2:8" x14ac:dyDescent="0.2">
      <c r="B2508" t="str">
        <f>VLOOKUP(G2508,PC!B:D,3,FALSE)</f>
        <v>DESPESA PESSOAL</v>
      </c>
      <c r="C2508" s="22">
        <v>2023</v>
      </c>
      <c r="D2508" t="s">
        <v>84</v>
      </c>
      <c r="E2508" t="s">
        <v>129</v>
      </c>
      <c r="F2508" t="str">
        <f>VLOOKUP(G2508,PC!B:D,2,FALSE)</f>
        <v>DESPESA PESSOAL</v>
      </c>
      <c r="G2508" s="4" t="s">
        <v>68</v>
      </c>
      <c r="H2508" s="1">
        <v>125.79</v>
      </c>
    </row>
    <row r="2509" spans="2:8" x14ac:dyDescent="0.2">
      <c r="B2509" t="str">
        <f>VLOOKUP(G2509,PC!B:D,3,FALSE)</f>
        <v>CPV</v>
      </c>
      <c r="C2509" s="22">
        <v>2023</v>
      </c>
      <c r="D2509" t="s">
        <v>84</v>
      </c>
      <c r="E2509" t="s">
        <v>129</v>
      </c>
      <c r="F2509" t="str">
        <f>VLOOKUP(G2509,PC!B:D,2,FALSE)</f>
        <v>BEBIDAS</v>
      </c>
      <c r="G2509" s="4" t="s">
        <v>48</v>
      </c>
      <c r="H2509" s="1">
        <v>228</v>
      </c>
    </row>
    <row r="2510" spans="2:8" x14ac:dyDescent="0.2">
      <c r="B2510" t="str">
        <f>VLOOKUP(G2510,PC!B:D,3,FALSE)</f>
        <v>CPV</v>
      </c>
      <c r="C2510" s="22">
        <v>2023</v>
      </c>
      <c r="D2510" t="s">
        <v>84</v>
      </c>
      <c r="E2510" t="s">
        <v>16</v>
      </c>
      <c r="F2510" t="str">
        <f>VLOOKUP(G2510,PC!B:D,2,FALSE)</f>
        <v>COMIDA</v>
      </c>
      <c r="G2510" s="4" t="s">
        <v>12</v>
      </c>
      <c r="H2510" s="1">
        <v>583</v>
      </c>
    </row>
    <row r="2511" spans="2:8" x14ac:dyDescent="0.2">
      <c r="B2511" t="str">
        <f>VLOOKUP(G2511,PC!B:D,3,FALSE)</f>
        <v>CPV</v>
      </c>
      <c r="C2511" s="22">
        <v>2023</v>
      </c>
      <c r="D2511" t="s">
        <v>84</v>
      </c>
      <c r="E2511" t="s">
        <v>10</v>
      </c>
      <c r="F2511" t="str">
        <f>VLOOKUP(G2511,PC!B:D,2,FALSE)</f>
        <v>COMIDA</v>
      </c>
      <c r="G2511" s="4" t="s">
        <v>12</v>
      </c>
      <c r="H2511" s="1">
        <v>390.32</v>
      </c>
    </row>
    <row r="2512" spans="2:8" x14ac:dyDescent="0.2">
      <c r="B2512" t="str">
        <f>VLOOKUP(G2512,PC!B:D,3,FALSE)</f>
        <v>CPV</v>
      </c>
      <c r="C2512" s="22">
        <v>2023</v>
      </c>
      <c r="D2512" t="s">
        <v>84</v>
      </c>
      <c r="E2512" t="s">
        <v>35</v>
      </c>
      <c r="F2512" t="str">
        <f>VLOOKUP(G2512,PC!B:D,2,FALSE)</f>
        <v>HIGIENE</v>
      </c>
      <c r="G2512" s="4" t="s">
        <v>36</v>
      </c>
      <c r="H2512" s="1">
        <v>664.64</v>
      </c>
    </row>
    <row r="2513" spans="2:8" x14ac:dyDescent="0.2">
      <c r="B2513" t="str">
        <f>VLOOKUP(G2513,PC!B:D,3,FALSE)</f>
        <v>CPV</v>
      </c>
      <c r="C2513" s="22">
        <v>2023</v>
      </c>
      <c r="D2513" t="s">
        <v>84</v>
      </c>
      <c r="E2513" t="s">
        <v>45</v>
      </c>
      <c r="F2513" t="str">
        <f>VLOOKUP(G2513,PC!B:D,2,FALSE)</f>
        <v>OUTROS</v>
      </c>
      <c r="G2513" s="4" t="s">
        <v>37</v>
      </c>
      <c r="H2513" s="1">
        <v>534.05999999999995</v>
      </c>
    </row>
    <row r="2514" spans="2:8" x14ac:dyDescent="0.2">
      <c r="B2514" t="str">
        <f>VLOOKUP(G2514,PC!B:D,3,FALSE)</f>
        <v>CPV</v>
      </c>
      <c r="C2514" s="22">
        <v>2023</v>
      </c>
      <c r="D2514" t="s">
        <v>84</v>
      </c>
      <c r="E2514" t="s">
        <v>21</v>
      </c>
      <c r="F2514" t="str">
        <f>VLOOKUP(G2514,PC!B:D,2,FALSE)</f>
        <v>SOBREMESA</v>
      </c>
      <c r="G2514" s="4" t="s">
        <v>23</v>
      </c>
      <c r="H2514" s="1">
        <v>196.37</v>
      </c>
    </row>
    <row r="2515" spans="2:8" x14ac:dyDescent="0.2">
      <c r="B2515" t="str">
        <f>VLOOKUP(G2515,PC!B:D,3,FALSE)</f>
        <v>CPV</v>
      </c>
      <c r="C2515" s="22">
        <v>2023</v>
      </c>
      <c r="D2515" t="s">
        <v>84</v>
      </c>
      <c r="E2515" t="s">
        <v>19</v>
      </c>
      <c r="F2515" t="str">
        <f>VLOOKUP(G2515,PC!B:D,2,FALSE)</f>
        <v>COMIDA</v>
      </c>
      <c r="G2515" s="4" t="s">
        <v>145</v>
      </c>
      <c r="H2515" s="1">
        <v>151.96</v>
      </c>
    </row>
    <row r="2516" spans="2:8" x14ac:dyDescent="0.2">
      <c r="B2516" t="str">
        <f>VLOOKUP(G2516,PC!B:D,3,FALSE)</f>
        <v>CPV</v>
      </c>
      <c r="C2516" s="22">
        <v>2023</v>
      </c>
      <c r="D2516" t="s">
        <v>84</v>
      </c>
      <c r="E2516" t="s">
        <v>28</v>
      </c>
      <c r="F2516" t="str">
        <f>VLOOKUP(G2516,PC!B:D,2,FALSE)</f>
        <v>BEBIDAS</v>
      </c>
      <c r="G2516" s="4" t="s">
        <v>26</v>
      </c>
      <c r="H2516" s="1">
        <v>978.89</v>
      </c>
    </row>
    <row r="2517" spans="2:8" x14ac:dyDescent="0.2">
      <c r="B2517" t="str">
        <f>VLOOKUP(G2517,PC!B:D,3,FALSE)</f>
        <v>CPV</v>
      </c>
      <c r="C2517" s="22">
        <v>2023</v>
      </c>
      <c r="D2517" t="s">
        <v>84</v>
      </c>
      <c r="E2517" t="s">
        <v>28</v>
      </c>
      <c r="F2517" t="str">
        <f>VLOOKUP(G2517,PC!B:D,2,FALSE)</f>
        <v>BEBIDAS</v>
      </c>
      <c r="G2517" s="4" t="s">
        <v>26</v>
      </c>
      <c r="H2517" s="1">
        <v>82.5</v>
      </c>
    </row>
    <row r="2518" spans="2:8" x14ac:dyDescent="0.2">
      <c r="B2518" t="str">
        <f>VLOOKUP(G2518,PC!B:D,3,FALSE)</f>
        <v>CPV</v>
      </c>
      <c r="C2518" s="22">
        <v>2023</v>
      </c>
      <c r="D2518" t="s">
        <v>84</v>
      </c>
      <c r="E2518" t="s">
        <v>28</v>
      </c>
      <c r="F2518" t="str">
        <f>VLOOKUP(G2518,PC!B:D,2,FALSE)</f>
        <v>BEBIDAS</v>
      </c>
      <c r="G2518" s="4" t="s">
        <v>25</v>
      </c>
      <c r="H2518" s="1">
        <v>61.11</v>
      </c>
    </row>
    <row r="2519" spans="2:8" x14ac:dyDescent="0.2">
      <c r="B2519" t="str">
        <f>VLOOKUP(G2519,PC!B:D,3,FALSE)</f>
        <v>CPV</v>
      </c>
      <c r="C2519" s="22">
        <v>2023</v>
      </c>
      <c r="D2519" t="s">
        <v>84</v>
      </c>
      <c r="E2519" t="s">
        <v>14</v>
      </c>
      <c r="F2519" t="str">
        <f>VLOOKUP(G2519,PC!B:D,2,FALSE)</f>
        <v>BEBIDAS</v>
      </c>
      <c r="G2519" s="4" t="s">
        <v>25</v>
      </c>
      <c r="H2519" s="1">
        <v>433.51</v>
      </c>
    </row>
    <row r="2520" spans="2:8" x14ac:dyDescent="0.2">
      <c r="B2520" t="str">
        <f>VLOOKUP(G2520,PC!B:D,3,FALSE)</f>
        <v>CPV</v>
      </c>
      <c r="C2520" s="22">
        <v>2023</v>
      </c>
      <c r="D2520" t="s">
        <v>84</v>
      </c>
      <c r="E2520" t="s">
        <v>24</v>
      </c>
      <c r="F2520" t="str">
        <f>VLOOKUP(G2520,PC!B:D,2,FALSE)</f>
        <v>COMIDA</v>
      </c>
      <c r="G2520" s="4" t="s">
        <v>33</v>
      </c>
      <c r="H2520" s="1">
        <v>152.44</v>
      </c>
    </row>
    <row r="2521" spans="2:8" x14ac:dyDescent="0.2">
      <c r="B2521" t="str">
        <f>VLOOKUP(G2521,PC!B:D,3,FALSE)</f>
        <v>CPV</v>
      </c>
      <c r="C2521" s="22">
        <v>2023</v>
      </c>
      <c r="D2521" t="s">
        <v>84</v>
      </c>
      <c r="E2521" t="s">
        <v>49</v>
      </c>
      <c r="F2521" t="str">
        <f>VLOOKUP(G2521,PC!B:D,2,FALSE)</f>
        <v>CIGARRO</v>
      </c>
      <c r="G2521" s="4" t="s">
        <v>52</v>
      </c>
      <c r="H2521" s="1">
        <v>12244.59</v>
      </c>
    </row>
    <row r="2522" spans="2:8" x14ac:dyDescent="0.2">
      <c r="B2522" t="str">
        <f>VLOOKUP(G2522,PC!B:D,3,FALSE)</f>
        <v>CPV</v>
      </c>
      <c r="C2522" s="22">
        <v>2023</v>
      </c>
      <c r="D2522" t="s">
        <v>84</v>
      </c>
      <c r="E2522" t="s">
        <v>5</v>
      </c>
      <c r="F2522" t="str">
        <f>VLOOKUP(G2522,PC!B:D,2,FALSE)</f>
        <v>COMIDA</v>
      </c>
      <c r="G2522" s="4" t="s">
        <v>18</v>
      </c>
      <c r="H2522" s="1">
        <v>252.68</v>
      </c>
    </row>
    <row r="2523" spans="2:8" x14ac:dyDescent="0.2">
      <c r="B2523" t="str">
        <f>VLOOKUP(G2523,PC!B:D,3,FALSE)</f>
        <v>CPV</v>
      </c>
      <c r="C2523" s="22">
        <v>2023</v>
      </c>
      <c r="D2523" t="s">
        <v>84</v>
      </c>
      <c r="E2523" t="s">
        <v>6</v>
      </c>
      <c r="F2523" t="str">
        <f>VLOOKUP(G2523,PC!B:D,2,FALSE)</f>
        <v>COMIDA</v>
      </c>
      <c r="G2523" s="4" t="s">
        <v>145</v>
      </c>
      <c r="H2523" s="1">
        <v>65</v>
      </c>
    </row>
    <row r="2524" spans="2:8" x14ac:dyDescent="0.2">
      <c r="B2524" t="str">
        <f>VLOOKUP(G2524,PC!B:D,3,FALSE)</f>
        <v>CPV</v>
      </c>
      <c r="C2524" s="22">
        <v>2023</v>
      </c>
      <c r="D2524" t="s">
        <v>84</v>
      </c>
      <c r="E2524" t="s">
        <v>28</v>
      </c>
      <c r="F2524" t="str">
        <f>VLOOKUP(G2524,PC!B:D,2,FALSE)</f>
        <v>BEBIDAS</v>
      </c>
      <c r="G2524" s="4" t="s">
        <v>26</v>
      </c>
      <c r="H2524" s="1">
        <v>3704.45</v>
      </c>
    </row>
    <row r="2525" spans="2:8" x14ac:dyDescent="0.2">
      <c r="B2525" t="str">
        <f>VLOOKUP(G2525,PC!B:D,3,FALSE)</f>
        <v>CPV</v>
      </c>
      <c r="C2525" s="22">
        <v>2023</v>
      </c>
      <c r="D2525" t="s">
        <v>84</v>
      </c>
      <c r="E2525" t="s">
        <v>28</v>
      </c>
      <c r="F2525" t="str">
        <f>VLOOKUP(G2525,PC!B:D,2,FALSE)</f>
        <v>BEBIDAS</v>
      </c>
      <c r="G2525" s="4" t="s">
        <v>25</v>
      </c>
      <c r="H2525" s="1">
        <v>22.33</v>
      </c>
    </row>
    <row r="2526" spans="2:8" x14ac:dyDescent="0.2">
      <c r="B2526" t="str">
        <f>VLOOKUP(G2526,PC!B:D,3,FALSE)</f>
        <v>CPV</v>
      </c>
      <c r="C2526" s="22">
        <v>2023</v>
      </c>
      <c r="D2526" t="s">
        <v>84</v>
      </c>
      <c r="E2526" t="s">
        <v>24</v>
      </c>
      <c r="F2526" t="str">
        <f>VLOOKUP(G2526,PC!B:D,2,FALSE)</f>
        <v>COMIDA</v>
      </c>
      <c r="G2526" s="4" t="s">
        <v>33</v>
      </c>
      <c r="H2526" s="1">
        <v>115.68</v>
      </c>
    </row>
    <row r="2527" spans="2:8" x14ac:dyDescent="0.2">
      <c r="B2527" t="str">
        <f>VLOOKUP(G2527,PC!B:D,3,FALSE)</f>
        <v>CPV</v>
      </c>
      <c r="C2527" s="22">
        <v>2023</v>
      </c>
      <c r="D2527" t="s">
        <v>84</v>
      </c>
      <c r="E2527" t="s">
        <v>16</v>
      </c>
      <c r="F2527" t="str">
        <f>VLOOKUP(G2527,PC!B:D,2,FALSE)</f>
        <v>COMIDA</v>
      </c>
      <c r="G2527" s="4" t="s">
        <v>12</v>
      </c>
      <c r="H2527" s="1">
        <v>207.71</v>
      </c>
    </row>
    <row r="2528" spans="2:8" x14ac:dyDescent="0.2">
      <c r="B2528" t="str">
        <f>VLOOKUP(G2528,PC!B:D,3,FALSE)</f>
        <v>RECEITA</v>
      </c>
      <c r="C2528" s="22">
        <v>2023</v>
      </c>
      <c r="D2528" t="s">
        <v>84</v>
      </c>
      <c r="F2528" t="str">
        <f>VLOOKUP(G2528,PC!B:D,2,FALSE)</f>
        <v>RECEITA</v>
      </c>
      <c r="G2528" s="4" t="s">
        <v>83</v>
      </c>
      <c r="H2528" s="1">
        <v>31.06</v>
      </c>
    </row>
    <row r="2529" spans="2:8" x14ac:dyDescent="0.2">
      <c r="B2529" t="str">
        <f>VLOOKUP(G2529,PC!B:D,3,FALSE)</f>
        <v>CPV</v>
      </c>
      <c r="C2529" s="22">
        <v>2023</v>
      </c>
      <c r="D2529" t="s">
        <v>84</v>
      </c>
      <c r="E2529" t="s">
        <v>14</v>
      </c>
      <c r="F2529" t="str">
        <f>VLOOKUP(G2529,PC!B:D,2,FALSE)</f>
        <v>BEBIDAS</v>
      </c>
      <c r="G2529" s="4" t="s">
        <v>26</v>
      </c>
      <c r="H2529" s="1">
        <v>316.26</v>
      </c>
    </row>
    <row r="2530" spans="2:8" x14ac:dyDescent="0.2">
      <c r="B2530" t="str">
        <f>VLOOKUP(G2530,PC!B:D,3,FALSE)</f>
        <v>CPV</v>
      </c>
      <c r="C2530" s="22">
        <v>2023</v>
      </c>
      <c r="D2530" t="s">
        <v>84</v>
      </c>
      <c r="E2530" t="s">
        <v>14</v>
      </c>
      <c r="F2530" t="str">
        <f>VLOOKUP(G2530,PC!B:D,2,FALSE)</f>
        <v>BEBIDAS</v>
      </c>
      <c r="G2530" s="4" t="s">
        <v>25</v>
      </c>
      <c r="H2530" s="1">
        <v>319.20999999999998</v>
      </c>
    </row>
    <row r="2531" spans="2:8" x14ac:dyDescent="0.2">
      <c r="B2531" t="str">
        <f>VLOOKUP(G2531,PC!B:D,3,FALSE)</f>
        <v>CPV</v>
      </c>
      <c r="C2531" s="22">
        <v>2023</v>
      </c>
      <c r="D2531" t="s">
        <v>84</v>
      </c>
      <c r="E2531" t="s">
        <v>35</v>
      </c>
      <c r="F2531" t="str">
        <f>VLOOKUP(G2531,PC!B:D,2,FALSE)</f>
        <v>OUTROS</v>
      </c>
      <c r="G2531" s="4" t="s">
        <v>37</v>
      </c>
      <c r="H2531" s="1">
        <v>998.67</v>
      </c>
    </row>
    <row r="2532" spans="2:8" x14ac:dyDescent="0.2">
      <c r="B2532" t="str">
        <f>VLOOKUP(G2532,PC!B:D,3,FALSE)</f>
        <v>CPV</v>
      </c>
      <c r="C2532" s="22">
        <v>2023</v>
      </c>
      <c r="D2532" t="s">
        <v>84</v>
      </c>
      <c r="E2532" t="s">
        <v>28</v>
      </c>
      <c r="F2532" t="str">
        <f>VLOOKUP(G2532,PC!B:D,2,FALSE)</f>
        <v>BEBIDAS</v>
      </c>
      <c r="G2532" s="4" t="s">
        <v>26</v>
      </c>
      <c r="H2532" s="1">
        <v>818.11</v>
      </c>
    </row>
    <row r="2533" spans="2:8" x14ac:dyDescent="0.2">
      <c r="B2533" t="str">
        <f>VLOOKUP(G2533,PC!B:D,3,FALSE)</f>
        <v>CPV</v>
      </c>
      <c r="C2533" s="22">
        <v>2023</v>
      </c>
      <c r="D2533" t="s">
        <v>84</v>
      </c>
      <c r="E2533" t="s">
        <v>129</v>
      </c>
      <c r="F2533" t="str">
        <f>VLOOKUP(G2533,PC!B:D,2,FALSE)</f>
        <v>BEBIDAS</v>
      </c>
      <c r="G2533" s="4" t="s">
        <v>48</v>
      </c>
      <c r="H2533" s="1">
        <v>540</v>
      </c>
    </row>
    <row r="2534" spans="2:8" x14ac:dyDescent="0.2">
      <c r="B2534" t="str">
        <f>VLOOKUP(G2534,PC!B:D,3,FALSE)</f>
        <v>CPV</v>
      </c>
      <c r="C2534" s="22">
        <v>2023</v>
      </c>
      <c r="D2534" t="s">
        <v>84</v>
      </c>
      <c r="E2534" t="s">
        <v>20</v>
      </c>
      <c r="F2534" t="str">
        <f>VLOOKUP(G2534,PC!B:D,2,FALSE)</f>
        <v>COMIDA</v>
      </c>
      <c r="G2534" s="4" t="s">
        <v>29</v>
      </c>
      <c r="H2534" s="1">
        <v>159.6</v>
      </c>
    </row>
    <row r="2535" spans="2:8" x14ac:dyDescent="0.2">
      <c r="B2535" t="str">
        <f>VLOOKUP(G2535,PC!B:D,3,FALSE)</f>
        <v>CPV</v>
      </c>
      <c r="C2535" s="22">
        <v>2023</v>
      </c>
      <c r="D2535" t="s">
        <v>84</v>
      </c>
      <c r="E2535" t="s">
        <v>19</v>
      </c>
      <c r="F2535" t="str">
        <f>VLOOKUP(G2535,PC!B:D,2,FALSE)</f>
        <v>COMIDA</v>
      </c>
      <c r="G2535" s="4" t="s">
        <v>145</v>
      </c>
      <c r="H2535" s="1">
        <v>41.52</v>
      </c>
    </row>
    <row r="2536" spans="2:8" x14ac:dyDescent="0.2">
      <c r="B2536" t="str">
        <f>VLOOKUP(G2536,PC!B:D,3,FALSE)</f>
        <v>CPV</v>
      </c>
      <c r="C2536" s="22">
        <v>2023</v>
      </c>
      <c r="D2536" t="s">
        <v>84</v>
      </c>
      <c r="E2536" t="s">
        <v>40</v>
      </c>
      <c r="F2536" t="str">
        <f>VLOOKUP(G2536,PC!B:D,2,FALSE)</f>
        <v>BEBIDAS</v>
      </c>
      <c r="G2536" s="4" t="s">
        <v>26</v>
      </c>
      <c r="H2536" s="1">
        <v>246.22</v>
      </c>
    </row>
    <row r="2537" spans="2:8" x14ac:dyDescent="0.2">
      <c r="B2537" t="str">
        <f>VLOOKUP(G2537,PC!B:D,3,FALSE)</f>
        <v>CPV</v>
      </c>
      <c r="C2537" s="22">
        <v>2023</v>
      </c>
      <c r="D2537" t="s">
        <v>84</v>
      </c>
      <c r="E2537" t="s">
        <v>5</v>
      </c>
      <c r="F2537" t="str">
        <f>VLOOKUP(G2537,PC!B:D,2,FALSE)</f>
        <v>COMIDA</v>
      </c>
      <c r="G2537" s="4" t="s">
        <v>18</v>
      </c>
      <c r="H2537" s="1">
        <v>264</v>
      </c>
    </row>
    <row r="2538" spans="2:8" x14ac:dyDescent="0.2">
      <c r="B2538" t="str">
        <f>VLOOKUP(G2538,PC!B:D,3,FALSE)</f>
        <v>CPV</v>
      </c>
      <c r="C2538" s="22">
        <v>2023</v>
      </c>
      <c r="D2538" t="s">
        <v>84</v>
      </c>
      <c r="E2538" t="s">
        <v>89</v>
      </c>
      <c r="F2538" t="str">
        <f>VLOOKUP(G2538,PC!B:D,2,FALSE)</f>
        <v>OUTROS</v>
      </c>
      <c r="G2538" s="4" t="s">
        <v>37</v>
      </c>
      <c r="H2538" s="1">
        <v>729.9</v>
      </c>
    </row>
    <row r="2539" spans="2:8" x14ac:dyDescent="0.2">
      <c r="B2539" t="str">
        <f>VLOOKUP(G2539,PC!B:D,3,FALSE)</f>
        <v>CPV</v>
      </c>
      <c r="C2539" s="22">
        <v>2023</v>
      </c>
      <c r="D2539" t="s">
        <v>84</v>
      </c>
      <c r="E2539" t="s">
        <v>77</v>
      </c>
      <c r="F2539" t="str">
        <f>VLOOKUP(G2539,PC!B:D,2,FALSE)</f>
        <v>OUTROS</v>
      </c>
      <c r="G2539" s="4" t="s">
        <v>37</v>
      </c>
      <c r="H2539" s="1">
        <v>798.1</v>
      </c>
    </row>
    <row r="2540" spans="2:8" x14ac:dyDescent="0.2">
      <c r="B2540" t="str">
        <f>VLOOKUP(G2540,PC!B:D,3,FALSE)</f>
        <v>CPV</v>
      </c>
      <c r="C2540" s="22">
        <v>2023</v>
      </c>
      <c r="D2540" t="s">
        <v>84</v>
      </c>
      <c r="E2540" t="s">
        <v>77</v>
      </c>
      <c r="F2540" t="str">
        <f>VLOOKUP(G2540,PC!B:D,2,FALSE)</f>
        <v>OUTROS</v>
      </c>
      <c r="G2540" s="4" t="s">
        <v>37</v>
      </c>
      <c r="H2540" s="1">
        <v>414.13</v>
      </c>
    </row>
    <row r="2541" spans="2:8" x14ac:dyDescent="0.2">
      <c r="B2541" t="str">
        <f>VLOOKUP(G2541,PC!B:D,3,FALSE)</f>
        <v>CPV</v>
      </c>
      <c r="C2541" s="22">
        <v>2023</v>
      </c>
      <c r="D2541" t="s">
        <v>84</v>
      </c>
      <c r="E2541" t="s">
        <v>77</v>
      </c>
      <c r="F2541" t="str">
        <f>VLOOKUP(G2541,PC!B:D,2,FALSE)</f>
        <v>OUTROS</v>
      </c>
      <c r="G2541" s="4" t="s">
        <v>37</v>
      </c>
      <c r="H2541" s="1">
        <v>347.16</v>
      </c>
    </row>
    <row r="2542" spans="2:8" x14ac:dyDescent="0.2">
      <c r="B2542" t="str">
        <f>VLOOKUP(G2542,PC!B:D,3,FALSE)</f>
        <v>DESPESA OPERACIONAL</v>
      </c>
      <c r="C2542" s="22">
        <v>2023</v>
      </c>
      <c r="D2542" t="s">
        <v>84</v>
      </c>
      <c r="E2542" t="s">
        <v>129</v>
      </c>
      <c r="F2542" t="str">
        <f>VLOOKUP(G2542,PC!B:D,2,FALSE)</f>
        <v>DESPESA OPERACIONAL</v>
      </c>
      <c r="G2542" s="4" t="s">
        <v>73</v>
      </c>
      <c r="H2542" s="1">
        <f>1157.88+924.26+1366.09+872.45+1397.37+1122.69</f>
        <v>6840.74</v>
      </c>
    </row>
    <row r="2543" spans="2:8" x14ac:dyDescent="0.2">
      <c r="B2543" t="str">
        <f>VLOOKUP(G2543,PC!B:D,3,FALSE)</f>
        <v>RECEITA</v>
      </c>
      <c r="C2543" s="22">
        <v>2023</v>
      </c>
      <c r="D2543" t="s">
        <v>84</v>
      </c>
      <c r="E2543" t="s">
        <v>129</v>
      </c>
      <c r="F2543" t="str">
        <f>VLOOKUP(G2543,PC!B:D,2,FALSE)</f>
        <v>RECEITA</v>
      </c>
      <c r="G2543" s="4" t="s">
        <v>64</v>
      </c>
      <c r="H2543" s="1">
        <f>25.81+32.13+20.05+31.41+21.24+26.62</f>
        <v>157.26</v>
      </c>
    </row>
    <row r="2544" spans="2:8" x14ac:dyDescent="0.2">
      <c r="B2544" t="str">
        <f>VLOOKUP(G2544,PC!B:D,3,FALSE)</f>
        <v>CPV</v>
      </c>
      <c r="C2544" s="22">
        <v>2023</v>
      </c>
      <c r="D2544" t="s">
        <v>84</v>
      </c>
      <c r="E2544" t="s">
        <v>129</v>
      </c>
      <c r="F2544" t="str">
        <f>VLOOKUP(G2544,PC!B:D,2,FALSE)</f>
        <v>COMIDA</v>
      </c>
      <c r="G2544" s="4" t="s">
        <v>155</v>
      </c>
      <c r="H2544" s="1">
        <f>370+240+385</f>
        <v>995</v>
      </c>
    </row>
    <row r="2545" spans="2:8" x14ac:dyDescent="0.2">
      <c r="B2545" t="str">
        <f>VLOOKUP(G2545,PC!B:D,3,FALSE)</f>
        <v>CPV</v>
      </c>
      <c r="C2545" s="22">
        <v>2023</v>
      </c>
      <c r="D2545" t="s">
        <v>84</v>
      </c>
      <c r="E2545" t="s">
        <v>129</v>
      </c>
      <c r="F2545" t="str">
        <f>VLOOKUP(G2545,PC!B:D,2,FALSE)</f>
        <v>COMIDA</v>
      </c>
      <c r="G2545" s="4" t="s">
        <v>22</v>
      </c>
      <c r="H2545" s="1">
        <v>75.5</v>
      </c>
    </row>
    <row r="2546" spans="2:8" x14ac:dyDescent="0.2">
      <c r="B2546" t="str">
        <f>VLOOKUP(G2546,PC!B:D,3,FALSE)</f>
        <v>SERV. PUBLICOS</v>
      </c>
      <c r="C2546" s="22">
        <v>2023</v>
      </c>
      <c r="D2546" t="s">
        <v>84</v>
      </c>
      <c r="E2546" t="s">
        <v>129</v>
      </c>
      <c r="F2546" t="str">
        <f>VLOOKUP(G2546,PC!B:D,2,FALSE)</f>
        <v>SERV. PUBLICOS</v>
      </c>
      <c r="G2546" s="4" t="s">
        <v>104</v>
      </c>
      <c r="H2546" s="1">
        <v>290</v>
      </c>
    </row>
    <row r="2547" spans="2:8" x14ac:dyDescent="0.2">
      <c r="B2547" t="str">
        <f>VLOOKUP(G2547,PC!B:D,3,FALSE)</f>
        <v>CPV</v>
      </c>
      <c r="C2547" s="22">
        <v>2023</v>
      </c>
      <c r="D2547" t="s">
        <v>84</v>
      </c>
      <c r="E2547" t="s">
        <v>129</v>
      </c>
      <c r="F2547" t="str">
        <f>VLOOKUP(G2547,PC!B:D,2,FALSE)</f>
        <v>OUTROS</v>
      </c>
      <c r="G2547" s="4" t="s">
        <v>149</v>
      </c>
      <c r="H2547" s="1">
        <v>231.25</v>
      </c>
    </row>
    <row r="2548" spans="2:8" x14ac:dyDescent="0.2">
      <c r="B2548" t="str">
        <f>VLOOKUP(G2548,PC!B:D,3,FALSE)</f>
        <v>CPV</v>
      </c>
      <c r="C2548" s="22">
        <v>2023</v>
      </c>
      <c r="D2548" t="s">
        <v>84</v>
      </c>
      <c r="E2548" t="s">
        <v>129</v>
      </c>
      <c r="F2548" t="str">
        <f>VLOOKUP(G2548,PC!B:D,2,FALSE)</f>
        <v>COMIDA</v>
      </c>
      <c r="G2548" s="4" t="s">
        <v>145</v>
      </c>
      <c r="H2548" s="1">
        <v>71.2</v>
      </c>
    </row>
    <row r="2549" spans="2:8" x14ac:dyDescent="0.2">
      <c r="B2549" t="str">
        <f>VLOOKUP(G2549,PC!B:D,3,FALSE)</f>
        <v>CPV</v>
      </c>
      <c r="C2549" s="22">
        <v>2023</v>
      </c>
      <c r="D2549" t="s">
        <v>84</v>
      </c>
      <c r="E2549" t="s">
        <v>129</v>
      </c>
      <c r="F2549" t="str">
        <f>VLOOKUP(G2549,PC!B:D,2,FALSE)</f>
        <v>COMIDA</v>
      </c>
      <c r="G2549" s="4" t="s">
        <v>12</v>
      </c>
      <c r="H2549" s="1">
        <v>114.2</v>
      </c>
    </row>
    <row r="2550" spans="2:8" x14ac:dyDescent="0.2">
      <c r="B2550" t="str">
        <f>VLOOKUP(G2550,PC!B:D,3,FALSE)</f>
        <v>DESPESA OPERACIONAL</v>
      </c>
      <c r="C2550" s="22">
        <v>2023</v>
      </c>
      <c r="D2550" t="s">
        <v>84</v>
      </c>
      <c r="E2550" t="s">
        <v>129</v>
      </c>
      <c r="F2550" t="str">
        <f>VLOOKUP(G2550,PC!B:D,2,FALSE)</f>
        <v>DESPESA OPERACIONAL</v>
      </c>
      <c r="G2550" s="4" t="s">
        <v>76</v>
      </c>
      <c r="H2550" s="1">
        <v>26.5</v>
      </c>
    </row>
    <row r="2551" spans="2:8" x14ac:dyDescent="0.2">
      <c r="B2551" t="str">
        <f>VLOOKUP(G2551,PC!B:D,3,FALSE)</f>
        <v>CPV</v>
      </c>
      <c r="C2551" s="22">
        <v>2023</v>
      </c>
      <c r="D2551" t="s">
        <v>84</v>
      </c>
      <c r="E2551" t="s">
        <v>129</v>
      </c>
      <c r="F2551" t="str">
        <f>VLOOKUP(G2551,PC!B:D,2,FALSE)</f>
        <v>SOBREMESA</v>
      </c>
      <c r="G2551" s="4" t="s">
        <v>7</v>
      </c>
      <c r="H2551" s="1">
        <v>34</v>
      </c>
    </row>
    <row r="2552" spans="2:8" x14ac:dyDescent="0.2">
      <c r="B2552" t="str">
        <f>VLOOKUP(G2552,PC!B:D,3,FALSE)</f>
        <v>CPV</v>
      </c>
      <c r="C2552" s="22">
        <v>2023</v>
      </c>
      <c r="D2552" t="s">
        <v>84</v>
      </c>
      <c r="E2552" t="s">
        <v>129</v>
      </c>
      <c r="F2552" t="str">
        <f>VLOOKUP(G2552,PC!B:D,2,FALSE)</f>
        <v>SOBREMESA</v>
      </c>
      <c r="G2552" s="4" t="s">
        <v>7</v>
      </c>
      <c r="H2552" s="1">
        <v>111</v>
      </c>
    </row>
    <row r="2553" spans="2:8" x14ac:dyDescent="0.2">
      <c r="B2553" t="str">
        <f>VLOOKUP(G2553,PC!B:D,3,FALSE)</f>
        <v>CPV</v>
      </c>
      <c r="C2553" s="22">
        <v>2023</v>
      </c>
      <c r="D2553" t="s">
        <v>84</v>
      </c>
      <c r="E2553" t="s">
        <v>129</v>
      </c>
      <c r="F2553" t="str">
        <f>VLOOKUP(G2553,PC!B:D,2,FALSE)</f>
        <v>BEBIDAS</v>
      </c>
      <c r="G2553" s="4" t="s">
        <v>39</v>
      </c>
      <c r="H2553" s="1">
        <v>117</v>
      </c>
    </row>
    <row r="2554" spans="2:8" x14ac:dyDescent="0.2">
      <c r="B2554" t="str">
        <f>VLOOKUP(G2554,PC!B:D,3,FALSE)</f>
        <v>CPV</v>
      </c>
      <c r="C2554" s="22">
        <v>2023</v>
      </c>
      <c r="D2554" t="s">
        <v>84</v>
      </c>
      <c r="E2554" t="s">
        <v>129</v>
      </c>
      <c r="F2554" t="str">
        <f>VLOOKUP(G2554,PC!B:D,2,FALSE)</f>
        <v>BEBIDAS</v>
      </c>
      <c r="G2554" s="4" t="s">
        <v>46</v>
      </c>
      <c r="H2554" s="1">
        <v>146.5</v>
      </c>
    </row>
    <row r="2555" spans="2:8" x14ac:dyDescent="0.2">
      <c r="B2555" t="str">
        <f>VLOOKUP(G2555,PC!B:D,3,FALSE)</f>
        <v>CPV</v>
      </c>
      <c r="C2555" s="22">
        <v>2023</v>
      </c>
      <c r="D2555" t="s">
        <v>84</v>
      </c>
      <c r="E2555" t="s">
        <v>129</v>
      </c>
      <c r="F2555" t="str">
        <f>VLOOKUP(G2555,PC!B:D,2,FALSE)</f>
        <v>COMIDA</v>
      </c>
      <c r="G2555" s="4" t="s">
        <v>12</v>
      </c>
      <c r="H2555" s="1">
        <v>36</v>
      </c>
    </row>
    <row r="2556" spans="2:8" x14ac:dyDescent="0.2">
      <c r="B2556" t="str">
        <f>VLOOKUP(G2556,PC!B:D,3,FALSE)</f>
        <v>DESPESA PESSOAL</v>
      </c>
      <c r="C2556" s="22">
        <v>2023</v>
      </c>
      <c r="D2556" t="s">
        <v>84</v>
      </c>
      <c r="E2556" t="s">
        <v>129</v>
      </c>
      <c r="F2556" t="str">
        <f>VLOOKUP(G2556,PC!B:D,2,FALSE)</f>
        <v>DESPESA PESSOAL</v>
      </c>
      <c r="G2556" s="4" t="s">
        <v>68</v>
      </c>
      <c r="H2556" s="1">
        <v>30</v>
      </c>
    </row>
    <row r="2557" spans="2:8" x14ac:dyDescent="0.2">
      <c r="B2557" t="str">
        <f>VLOOKUP(G2557,PC!B:D,3,FALSE)</f>
        <v>CPV</v>
      </c>
      <c r="C2557" s="22">
        <v>2023</v>
      </c>
      <c r="D2557" t="s">
        <v>84</v>
      </c>
      <c r="E2557" t="s">
        <v>129</v>
      </c>
      <c r="F2557" t="str">
        <f>VLOOKUP(G2557,PC!B:D,2,FALSE)</f>
        <v>BEBIDAS</v>
      </c>
      <c r="G2557" s="4" t="s">
        <v>48</v>
      </c>
      <c r="H2557" s="1">
        <v>146.5</v>
      </c>
    </row>
    <row r="2558" spans="2:8" x14ac:dyDescent="0.2">
      <c r="B2558" t="str">
        <f>VLOOKUP(G2558,PC!B:D,3,FALSE)</f>
        <v>CPV</v>
      </c>
      <c r="C2558" s="22">
        <v>2023</v>
      </c>
      <c r="D2558" t="s">
        <v>84</v>
      </c>
      <c r="E2558" t="s">
        <v>129</v>
      </c>
      <c r="F2558" t="str">
        <f>VLOOKUP(G2558,PC!B:D,2,FALSE)</f>
        <v>COMIDA</v>
      </c>
      <c r="G2558" s="4" t="s">
        <v>12</v>
      </c>
      <c r="H2558" s="1">
        <v>229</v>
      </c>
    </row>
    <row r="2559" spans="2:8" x14ac:dyDescent="0.2">
      <c r="B2559" t="str">
        <f>VLOOKUP(G2559,PC!B:D,3,FALSE)</f>
        <v>CPV</v>
      </c>
      <c r="C2559" s="22">
        <v>2023</v>
      </c>
      <c r="D2559" t="s">
        <v>84</v>
      </c>
      <c r="E2559" t="s">
        <v>129</v>
      </c>
      <c r="F2559" t="str">
        <f>VLOOKUP(G2559,PC!B:D,2,FALSE)</f>
        <v>SOBREMESA</v>
      </c>
      <c r="G2559" s="4" t="s">
        <v>7</v>
      </c>
      <c r="H2559" s="1">
        <v>70</v>
      </c>
    </row>
    <row r="2560" spans="2:8" x14ac:dyDescent="0.2">
      <c r="B2560" t="str">
        <f>VLOOKUP(G2560,PC!B:D,3,FALSE)</f>
        <v>CPV</v>
      </c>
      <c r="C2560" s="22">
        <v>2023</v>
      </c>
      <c r="D2560" t="s">
        <v>84</v>
      </c>
      <c r="E2560" t="s">
        <v>129</v>
      </c>
      <c r="F2560" t="str">
        <f>VLOOKUP(G2560,PC!B:D,2,FALSE)</f>
        <v>COMIDA</v>
      </c>
      <c r="G2560" s="4" t="s">
        <v>145</v>
      </c>
      <c r="H2560" s="1">
        <v>66.8</v>
      </c>
    </row>
    <row r="2561" spans="2:8" x14ac:dyDescent="0.2">
      <c r="B2561" t="str">
        <f>VLOOKUP(G2561,PC!B:D,3,FALSE)</f>
        <v>CPV</v>
      </c>
      <c r="C2561" s="22">
        <v>2023</v>
      </c>
      <c r="D2561" t="s">
        <v>84</v>
      </c>
      <c r="E2561" t="s">
        <v>129</v>
      </c>
      <c r="F2561" t="str">
        <f>VLOOKUP(G2561,PC!B:D,2,FALSE)</f>
        <v>COMIDA</v>
      </c>
      <c r="G2561" s="4" t="s">
        <v>145</v>
      </c>
      <c r="H2561" s="1">
        <v>18.399999999999999</v>
      </c>
    </row>
    <row r="2562" spans="2:8" x14ac:dyDescent="0.2">
      <c r="B2562" t="str">
        <f>VLOOKUP(G2562,PC!B:D,3,FALSE)</f>
        <v>CPV</v>
      </c>
      <c r="C2562" s="22">
        <v>2023</v>
      </c>
      <c r="D2562" t="s">
        <v>84</v>
      </c>
      <c r="E2562" t="s">
        <v>129</v>
      </c>
      <c r="F2562" t="str">
        <f>VLOOKUP(G2562,PC!B:D,2,FALSE)</f>
        <v>COMIDA</v>
      </c>
      <c r="G2562" s="4" t="s">
        <v>12</v>
      </c>
      <c r="H2562" s="1">
        <v>82</v>
      </c>
    </row>
    <row r="2563" spans="2:8" x14ac:dyDescent="0.2">
      <c r="B2563" t="str">
        <f>VLOOKUP(G2563,PC!B:D,3,FALSE)</f>
        <v>CPV</v>
      </c>
      <c r="C2563" s="22">
        <v>2023</v>
      </c>
      <c r="D2563" t="s">
        <v>84</v>
      </c>
      <c r="E2563" t="s">
        <v>129</v>
      </c>
      <c r="F2563" t="str">
        <f>VLOOKUP(G2563,PC!B:D,2,FALSE)</f>
        <v>OUTROS</v>
      </c>
      <c r="G2563" s="4" t="s">
        <v>58</v>
      </c>
      <c r="H2563" s="1">
        <v>150</v>
      </c>
    </row>
    <row r="2564" spans="2:8" x14ac:dyDescent="0.2">
      <c r="B2564" t="str">
        <f>VLOOKUP(G2564,PC!B:D,3,FALSE)</f>
        <v>CPV</v>
      </c>
      <c r="C2564" s="22">
        <v>2023</v>
      </c>
      <c r="D2564" t="s">
        <v>84</v>
      </c>
      <c r="E2564" t="s">
        <v>129</v>
      </c>
      <c r="F2564" t="str">
        <f>VLOOKUP(G2564,PC!B:D,2,FALSE)</f>
        <v>COMIDA</v>
      </c>
      <c r="G2564" s="4" t="s">
        <v>146</v>
      </c>
      <c r="H2564" s="1">
        <f>70+30+30</f>
        <v>130</v>
      </c>
    </row>
    <row r="2565" spans="2:8" x14ac:dyDescent="0.2">
      <c r="B2565" t="str">
        <f>VLOOKUP(G2565,PC!B:D,3,FALSE)</f>
        <v>CPV</v>
      </c>
      <c r="C2565" s="22">
        <v>2023</v>
      </c>
      <c r="D2565" t="s">
        <v>84</v>
      </c>
      <c r="E2565" t="s">
        <v>129</v>
      </c>
      <c r="F2565" t="str">
        <f>VLOOKUP(G2565,PC!B:D,2,FALSE)</f>
        <v>CIGARRO</v>
      </c>
      <c r="G2565" s="4" t="s">
        <v>57</v>
      </c>
      <c r="H2565" s="1">
        <v>1011</v>
      </c>
    </row>
    <row r="2566" spans="2:8" x14ac:dyDescent="0.2">
      <c r="B2566" t="str">
        <f>VLOOKUP(G2566,PC!B:D,3,FALSE)</f>
        <v>CPV</v>
      </c>
      <c r="C2566" s="22">
        <v>2023</v>
      </c>
      <c r="D2566" t="s">
        <v>84</v>
      </c>
      <c r="E2566" t="s">
        <v>129</v>
      </c>
      <c r="F2566" t="str">
        <f>VLOOKUP(G2566,PC!B:D,2,FALSE)</f>
        <v>COMIDA</v>
      </c>
      <c r="G2566" s="4" t="s">
        <v>12</v>
      </c>
      <c r="H2566" s="1">
        <v>500</v>
      </c>
    </row>
    <row r="2567" spans="2:8" x14ac:dyDescent="0.2">
      <c r="B2567" t="str">
        <f>VLOOKUP(G2567,PC!B:D,3,FALSE)</f>
        <v>CPV</v>
      </c>
      <c r="C2567" s="22">
        <v>2023</v>
      </c>
      <c r="D2567" t="s">
        <v>84</v>
      </c>
      <c r="E2567" t="s">
        <v>129</v>
      </c>
      <c r="F2567" t="str">
        <f>VLOOKUP(G2567,PC!B:D,2,FALSE)</f>
        <v>COMIDA</v>
      </c>
      <c r="G2567" s="4" t="s">
        <v>12</v>
      </c>
      <c r="H2567" s="1">
        <v>30</v>
      </c>
    </row>
    <row r="2568" spans="2:8" x14ac:dyDescent="0.2">
      <c r="B2568" t="str">
        <f>VLOOKUP(G2568,PC!B:D,3,FALSE)</f>
        <v>CPV</v>
      </c>
      <c r="C2568" s="22">
        <v>2023</v>
      </c>
      <c r="D2568" t="s">
        <v>84</v>
      </c>
      <c r="E2568" t="s">
        <v>129</v>
      </c>
      <c r="F2568" t="str">
        <f>VLOOKUP(G2568,PC!B:D,2,FALSE)</f>
        <v>COMIDA</v>
      </c>
      <c r="G2568" s="4" t="s">
        <v>12</v>
      </c>
      <c r="H2568" s="1">
        <v>51.9</v>
      </c>
    </row>
    <row r="2569" spans="2:8" x14ac:dyDescent="0.2">
      <c r="B2569" t="str">
        <f>VLOOKUP(G2569,PC!B:D,3,FALSE)</f>
        <v>DESPESA OPERACIONAL</v>
      </c>
      <c r="C2569" s="22">
        <v>2023</v>
      </c>
      <c r="D2569" t="s">
        <v>84</v>
      </c>
      <c r="F2569" t="str">
        <f>VLOOKUP(G2569,PC!B:D,2,FALSE)</f>
        <v>DESPESA OPERACIONAL</v>
      </c>
      <c r="G2569" s="4" t="s">
        <v>70</v>
      </c>
      <c r="H2569" s="1">
        <v>120</v>
      </c>
    </row>
    <row r="2570" spans="2:8" x14ac:dyDescent="0.2">
      <c r="B2570" t="str">
        <f>VLOOKUP(G2570,PC!B:D,3,FALSE)</f>
        <v>CPV</v>
      </c>
      <c r="C2570" s="22">
        <v>2023</v>
      </c>
      <c r="D2570" t="s">
        <v>84</v>
      </c>
      <c r="E2570" t="s">
        <v>129</v>
      </c>
      <c r="F2570" t="str">
        <f>VLOOKUP(G2570,PC!B:D,2,FALSE)</f>
        <v>LIMPEZA</v>
      </c>
      <c r="G2570" s="4" t="s">
        <v>43</v>
      </c>
      <c r="H2570" s="1">
        <v>192</v>
      </c>
    </row>
    <row r="2571" spans="2:8" x14ac:dyDescent="0.2">
      <c r="B2571" t="str">
        <f>VLOOKUP(G2571,PC!B:D,3,FALSE)</f>
        <v>CPV</v>
      </c>
      <c r="C2571" s="22">
        <v>2023</v>
      </c>
      <c r="D2571" t="s">
        <v>84</v>
      </c>
      <c r="E2571" t="s">
        <v>129</v>
      </c>
      <c r="F2571" t="str">
        <f>VLOOKUP(G2571,PC!B:D,2,FALSE)</f>
        <v>SOBREMESA</v>
      </c>
      <c r="G2571" s="4" t="s">
        <v>7</v>
      </c>
      <c r="H2571" s="1">
        <v>82</v>
      </c>
    </row>
    <row r="2572" spans="2:8" x14ac:dyDescent="0.2">
      <c r="B2572" t="str">
        <f>VLOOKUP(G2572,PC!B:D,3,FALSE)</f>
        <v>CPV</v>
      </c>
      <c r="C2572" s="22">
        <v>2023</v>
      </c>
      <c r="D2572" t="s">
        <v>84</v>
      </c>
      <c r="E2572" t="s">
        <v>129</v>
      </c>
      <c r="F2572" t="str">
        <f>VLOOKUP(G2572,PC!B:D,2,FALSE)</f>
        <v>SOBREMESA</v>
      </c>
      <c r="G2572" s="4" t="s">
        <v>7</v>
      </c>
      <c r="H2572" s="1">
        <v>227</v>
      </c>
    </row>
    <row r="2573" spans="2:8" x14ac:dyDescent="0.2">
      <c r="B2573" t="str">
        <f>VLOOKUP(G2573,PC!B:D,3,FALSE)</f>
        <v>DESPESA PESSOAL</v>
      </c>
      <c r="C2573" s="22">
        <v>2023</v>
      </c>
      <c r="D2573" t="s">
        <v>74</v>
      </c>
      <c r="E2573" t="s">
        <v>129</v>
      </c>
      <c r="F2573" t="str">
        <f>VLOOKUP(G2573,PC!B:D,2,FALSE)</f>
        <v>DESPESA PESSOAL</v>
      </c>
      <c r="G2573" s="4" t="s">
        <v>68</v>
      </c>
      <c r="H2573" s="1">
        <v>632.47</v>
      </c>
    </row>
    <row r="2574" spans="2:8" x14ac:dyDescent="0.2">
      <c r="B2574" t="str">
        <f>VLOOKUP(G2574,PC!B:D,3,FALSE)</f>
        <v>DESCONTO DE FATURAMENTO</v>
      </c>
      <c r="C2574" s="22">
        <v>2023</v>
      </c>
      <c r="D2574" t="s">
        <v>74</v>
      </c>
      <c r="E2574" t="s">
        <v>129</v>
      </c>
      <c r="F2574" t="str">
        <f>VLOOKUP(G2574,PC!B:D,2,FALSE)</f>
        <v>IMPOSTO</v>
      </c>
      <c r="G2574" s="4" t="s">
        <v>158</v>
      </c>
      <c r="H2574" s="1">
        <v>479.15</v>
      </c>
    </row>
    <row r="2575" spans="2:8" x14ac:dyDescent="0.2">
      <c r="B2575" t="str">
        <f>VLOOKUP(G2575,PC!B:D,3,FALSE)</f>
        <v>DESPESA FINANCEIRA</v>
      </c>
      <c r="C2575" s="22">
        <v>2023</v>
      </c>
      <c r="D2575" t="s">
        <v>74</v>
      </c>
      <c r="E2575" t="s">
        <v>129</v>
      </c>
      <c r="F2575" t="str">
        <f>VLOOKUP(G2575,PC!B:D,2,FALSE)</f>
        <v>DESPESA FINANCEIRA</v>
      </c>
      <c r="G2575" s="4" t="s">
        <v>90</v>
      </c>
      <c r="H2575" s="1">
        <v>629.84</v>
      </c>
    </row>
    <row r="2576" spans="2:8" x14ac:dyDescent="0.2">
      <c r="B2576" t="str">
        <f>VLOOKUP(G2576,PC!B:D,3,FALSE)</f>
        <v>DESCONTO DE FATURAMENTO</v>
      </c>
      <c r="C2576" s="22">
        <v>2023</v>
      </c>
      <c r="D2576" t="s">
        <v>74</v>
      </c>
      <c r="E2576" t="s">
        <v>129</v>
      </c>
      <c r="F2576" t="str">
        <f>VLOOKUP(G2576,PC!B:D,2,FALSE)</f>
        <v>IMPOSTO</v>
      </c>
      <c r="G2576" s="4" t="s">
        <v>88</v>
      </c>
      <c r="H2576" s="1">
        <v>4940</v>
      </c>
    </row>
    <row r="2577" spans="2:8" x14ac:dyDescent="0.2">
      <c r="B2577" t="str">
        <f>VLOOKUP(G2577,PC!B:D,3,FALSE)</f>
        <v>SERV.TERCEIROS</v>
      </c>
      <c r="C2577" s="22">
        <v>2023</v>
      </c>
      <c r="D2577" t="s">
        <v>74</v>
      </c>
      <c r="E2577" t="s">
        <v>129</v>
      </c>
      <c r="F2577" t="str">
        <f>VLOOKUP(G2577,PC!B:D,2,FALSE)</f>
        <v>SERV.TERCEIROS</v>
      </c>
      <c r="G2577" s="4" t="s">
        <v>60</v>
      </c>
      <c r="H2577" s="1">
        <v>380</v>
      </c>
    </row>
    <row r="2578" spans="2:8" x14ac:dyDescent="0.2">
      <c r="B2578" t="str">
        <f>VLOOKUP(G2578,PC!B:D,3,FALSE)</f>
        <v>CPV</v>
      </c>
      <c r="C2578" s="22">
        <v>2023</v>
      </c>
      <c r="D2578" t="s">
        <v>84</v>
      </c>
      <c r="E2578" t="s">
        <v>129</v>
      </c>
      <c r="F2578" t="str">
        <f>VLOOKUP(G2578,PC!B:D,2,FALSE)</f>
        <v>OUTROS</v>
      </c>
      <c r="G2578" s="4" t="s">
        <v>58</v>
      </c>
      <c r="H2578" s="1">
        <v>150</v>
      </c>
    </row>
    <row r="2579" spans="2:8" x14ac:dyDescent="0.2">
      <c r="B2579" t="str">
        <f>VLOOKUP(G2579,PC!B:D,3,FALSE)</f>
        <v>CPV</v>
      </c>
      <c r="C2579" s="22">
        <v>2023</v>
      </c>
      <c r="D2579" t="s">
        <v>84</v>
      </c>
      <c r="E2579" t="s">
        <v>129</v>
      </c>
      <c r="F2579" t="str">
        <f>VLOOKUP(G2579,PC!B:D,2,FALSE)</f>
        <v>LIMPEZA</v>
      </c>
      <c r="G2579" s="4" t="s">
        <v>43</v>
      </c>
      <c r="H2579" s="1">
        <v>468.9</v>
      </c>
    </row>
    <row r="2580" spans="2:8" x14ac:dyDescent="0.2">
      <c r="B2580" t="str">
        <f>VLOOKUP(G2580,PC!B:D,3,FALSE)</f>
        <v>CPV</v>
      </c>
      <c r="C2580" s="22">
        <v>2023</v>
      </c>
      <c r="D2580" t="s">
        <v>84</v>
      </c>
      <c r="E2580" t="s">
        <v>129</v>
      </c>
      <c r="F2580" t="str">
        <f>VLOOKUP(G2580,PC!B:D,2,FALSE)</f>
        <v>CIGARRO</v>
      </c>
      <c r="G2580" s="4" t="s">
        <v>57</v>
      </c>
      <c r="H2580" s="1">
        <v>940</v>
      </c>
    </row>
    <row r="2581" spans="2:8" x14ac:dyDescent="0.2">
      <c r="B2581" t="str">
        <f>VLOOKUP(G2581,PC!B:D,3,FALSE)</f>
        <v>CPV</v>
      </c>
      <c r="C2581" s="22">
        <v>2023</v>
      </c>
      <c r="D2581" t="s">
        <v>84</v>
      </c>
      <c r="E2581" t="s">
        <v>129</v>
      </c>
      <c r="F2581" t="str">
        <f>VLOOKUP(G2581,PC!B:D,2,FALSE)</f>
        <v>CIGARRO</v>
      </c>
      <c r="G2581" s="4" t="s">
        <v>131</v>
      </c>
      <c r="H2581" s="1">
        <v>60</v>
      </c>
    </row>
    <row r="2582" spans="2:8" x14ac:dyDescent="0.2">
      <c r="B2582" t="str">
        <f>VLOOKUP(G2582,PC!B:D,3,FALSE)</f>
        <v>CPV</v>
      </c>
      <c r="C2582" s="22">
        <v>2023</v>
      </c>
      <c r="D2582" t="s">
        <v>84</v>
      </c>
      <c r="E2582" t="s">
        <v>129</v>
      </c>
      <c r="F2582" t="str">
        <f>VLOOKUP(G2582,PC!B:D,2,FALSE)</f>
        <v>COMIDA</v>
      </c>
      <c r="G2582" s="4" t="s">
        <v>12</v>
      </c>
      <c r="H2582" s="1">
        <v>500</v>
      </c>
    </row>
    <row r="2583" spans="2:8" x14ac:dyDescent="0.2">
      <c r="B2583" t="str">
        <f>VLOOKUP(G2583,PC!B:D,3,FALSE)</f>
        <v>CPV</v>
      </c>
      <c r="C2583" s="22">
        <v>2023</v>
      </c>
      <c r="D2583" t="s">
        <v>84</v>
      </c>
      <c r="E2583" t="s">
        <v>129</v>
      </c>
      <c r="F2583" t="str">
        <f>VLOOKUP(G2583,PC!B:D,2,FALSE)</f>
        <v>SOBREMESA</v>
      </c>
      <c r="G2583" s="4" t="s">
        <v>7</v>
      </c>
      <c r="H2583" s="1">
        <v>278</v>
      </c>
    </row>
    <row r="2584" spans="2:8" x14ac:dyDescent="0.2">
      <c r="B2584" t="str">
        <f>VLOOKUP(G2584,PC!B:D,3,FALSE)</f>
        <v>CPV</v>
      </c>
      <c r="C2584" s="22">
        <v>2023</v>
      </c>
      <c r="D2584" t="s">
        <v>84</v>
      </c>
      <c r="E2584" t="s">
        <v>129</v>
      </c>
      <c r="F2584" t="str">
        <f>VLOOKUP(G2584,PC!B:D,2,FALSE)</f>
        <v>COMIDA</v>
      </c>
      <c r="G2584" s="4" t="s">
        <v>33</v>
      </c>
      <c r="H2584" s="1">
        <v>105</v>
      </c>
    </row>
    <row r="2585" spans="2:8" x14ac:dyDescent="0.2">
      <c r="B2585" t="str">
        <f>VLOOKUP(G2585,PC!B:D,3,FALSE)</f>
        <v>DESPESA OPERACIONAL</v>
      </c>
      <c r="C2585" s="22">
        <v>2023</v>
      </c>
      <c r="D2585" t="s">
        <v>84</v>
      </c>
      <c r="F2585" t="str">
        <f>VLOOKUP(G2585,PC!B:D,2,FALSE)</f>
        <v>DESPESA OPERACIONAL</v>
      </c>
      <c r="G2585" s="4" t="s">
        <v>70</v>
      </c>
      <c r="H2585" s="1">
        <v>52</v>
      </c>
    </row>
    <row r="2586" spans="2:8" x14ac:dyDescent="0.2">
      <c r="B2586" t="str">
        <f>VLOOKUP(G2586,PC!B:D,3,FALSE)</f>
        <v>CPV</v>
      </c>
      <c r="C2586" s="22">
        <v>2023</v>
      </c>
      <c r="D2586" t="s">
        <v>84</v>
      </c>
      <c r="E2586" t="s">
        <v>129</v>
      </c>
      <c r="F2586" t="str">
        <f>VLOOKUP(G2586,PC!B:D,2,FALSE)</f>
        <v>COMIDA</v>
      </c>
      <c r="G2586" s="4" t="s">
        <v>155</v>
      </c>
      <c r="H2586" s="1">
        <v>240</v>
      </c>
    </row>
    <row r="2587" spans="2:8" x14ac:dyDescent="0.2">
      <c r="B2587" t="str">
        <f>VLOOKUP(G2587,PC!B:D,3,FALSE)</f>
        <v>CPV</v>
      </c>
      <c r="C2587" s="22">
        <v>2023</v>
      </c>
      <c r="D2587" t="s">
        <v>84</v>
      </c>
      <c r="E2587" t="s">
        <v>129</v>
      </c>
      <c r="F2587" t="str">
        <f>VLOOKUP(G2587,PC!B:D,2,FALSE)</f>
        <v>CIGARRO</v>
      </c>
      <c r="G2587" s="4" t="s">
        <v>53</v>
      </c>
      <c r="H2587" s="1">
        <v>1250</v>
      </c>
    </row>
    <row r="2588" spans="2:8" x14ac:dyDescent="0.2">
      <c r="B2588" t="str">
        <f>VLOOKUP(G2588,PC!B:D,3,FALSE)</f>
        <v>CPV</v>
      </c>
      <c r="C2588" s="22">
        <v>2023</v>
      </c>
      <c r="D2588" t="s">
        <v>84</v>
      </c>
      <c r="E2588" t="s">
        <v>129</v>
      </c>
      <c r="F2588" t="str">
        <f>VLOOKUP(G2588,PC!B:D,2,FALSE)</f>
        <v>COMIDA</v>
      </c>
      <c r="G2588" s="4" t="s">
        <v>22</v>
      </c>
      <c r="H2588" s="1">
        <v>38</v>
      </c>
    </row>
    <row r="2589" spans="2:8" x14ac:dyDescent="0.2">
      <c r="B2589" t="str">
        <f>VLOOKUP(G2589,PC!B:D,3,FALSE)</f>
        <v>CPV</v>
      </c>
      <c r="C2589" s="22">
        <v>2023</v>
      </c>
      <c r="D2589" t="s">
        <v>84</v>
      </c>
      <c r="E2589" t="s">
        <v>129</v>
      </c>
      <c r="F2589" t="str">
        <f>VLOOKUP(G2589,PC!B:D,2,FALSE)</f>
        <v>BEBIDAS</v>
      </c>
      <c r="G2589" s="4" t="s">
        <v>39</v>
      </c>
      <c r="H2589" s="1">
        <v>141</v>
      </c>
    </row>
    <row r="2590" spans="2:8" x14ac:dyDescent="0.2">
      <c r="B2590" t="str">
        <f>VLOOKUP(G2590,PC!B:D,3,FALSE)</f>
        <v>CPV</v>
      </c>
      <c r="C2590" s="22">
        <v>2023</v>
      </c>
      <c r="D2590" t="s">
        <v>84</v>
      </c>
      <c r="E2590" t="s">
        <v>129</v>
      </c>
      <c r="F2590" t="str">
        <f>VLOOKUP(G2590,PC!B:D,2,FALSE)</f>
        <v>COMIDA</v>
      </c>
      <c r="G2590" s="4" t="s">
        <v>12</v>
      </c>
      <c r="H2590" s="1">
        <v>500</v>
      </c>
    </row>
    <row r="2591" spans="2:8" x14ac:dyDescent="0.2">
      <c r="B2591" t="str">
        <f>VLOOKUP(G2591,PC!B:D,3,FALSE)</f>
        <v>DESPESA OPERACIONAL</v>
      </c>
      <c r="C2591" s="22">
        <v>2023</v>
      </c>
      <c r="D2591" t="s">
        <v>84</v>
      </c>
      <c r="F2591" t="str">
        <f>VLOOKUP(G2591,PC!B:D,2,FALSE)</f>
        <v>DESPESA OPERACIONAL</v>
      </c>
      <c r="G2591" s="4" t="s">
        <v>70</v>
      </c>
      <c r="H2591" s="1">
        <v>142</v>
      </c>
    </row>
    <row r="2592" spans="2:8" x14ac:dyDescent="0.2">
      <c r="B2592" t="str">
        <f>VLOOKUP(G2592,PC!B:D,3,FALSE)</f>
        <v>CPV</v>
      </c>
      <c r="C2592" s="22">
        <v>2023</v>
      </c>
      <c r="D2592" t="s">
        <v>84</v>
      </c>
      <c r="E2592" t="s">
        <v>129</v>
      </c>
      <c r="F2592" t="str">
        <f>VLOOKUP(G2592,PC!B:D,2,FALSE)</f>
        <v>COMIDA</v>
      </c>
      <c r="G2592" s="4" t="s">
        <v>18</v>
      </c>
      <c r="H2592" s="1">
        <v>41</v>
      </c>
    </row>
    <row r="2593" spans="2:8" x14ac:dyDescent="0.2">
      <c r="B2593" t="str">
        <f>VLOOKUP(G2593,PC!B:D,3,FALSE)</f>
        <v>CPV</v>
      </c>
      <c r="C2593" s="22">
        <v>2023</v>
      </c>
      <c r="D2593" t="s">
        <v>84</v>
      </c>
      <c r="F2593" t="str">
        <f>VLOOKUP(G2593,PC!B:D,2,FALSE)</f>
        <v>COMIDA</v>
      </c>
      <c r="G2593" s="4" t="s">
        <v>12</v>
      </c>
      <c r="H2593" s="1">
        <v>58</v>
      </c>
    </row>
    <row r="2594" spans="2:8" x14ac:dyDescent="0.2">
      <c r="B2594" t="str">
        <f>VLOOKUP(G2594,PC!B:D,3,FALSE)</f>
        <v>CPV</v>
      </c>
      <c r="C2594" s="22">
        <v>2023</v>
      </c>
      <c r="D2594" t="s">
        <v>84</v>
      </c>
      <c r="F2594" t="str">
        <f>VLOOKUP(G2594,PC!B:D,2,FALSE)</f>
        <v>CIGARRO</v>
      </c>
      <c r="G2594" s="4" t="s">
        <v>57</v>
      </c>
      <c r="H2594" s="1">
        <v>1195</v>
      </c>
    </row>
    <row r="2595" spans="2:8" x14ac:dyDescent="0.2">
      <c r="B2595" t="str">
        <f>VLOOKUP(G2595,PC!B:D,3,FALSE)</f>
        <v>CPV</v>
      </c>
      <c r="C2595" s="22">
        <v>2023</v>
      </c>
      <c r="D2595" t="s">
        <v>84</v>
      </c>
      <c r="F2595" t="str">
        <f>VLOOKUP(G2595,PC!B:D,2,FALSE)</f>
        <v>CIGARRO</v>
      </c>
      <c r="G2595" s="4" t="s">
        <v>131</v>
      </c>
      <c r="H2595" s="1">
        <v>60</v>
      </c>
    </row>
    <row r="2596" spans="2:8" x14ac:dyDescent="0.2">
      <c r="B2596" t="str">
        <f>VLOOKUP(G2596,PC!B:D,3,FALSE)</f>
        <v>CPV</v>
      </c>
      <c r="C2596" s="22">
        <v>2023</v>
      </c>
      <c r="D2596" t="s">
        <v>84</v>
      </c>
      <c r="F2596" t="str">
        <f>VLOOKUP(G2596,PC!B:D,2,FALSE)</f>
        <v>BEBIDAS</v>
      </c>
      <c r="G2596" s="4" t="s">
        <v>48</v>
      </c>
      <c r="H2596" s="1">
        <v>184.8</v>
      </c>
    </row>
    <row r="2597" spans="2:8" x14ac:dyDescent="0.2">
      <c r="B2597" t="str">
        <f>VLOOKUP(G2597,PC!B:D,3,FALSE)</f>
        <v>CPV</v>
      </c>
      <c r="C2597" s="22">
        <v>2023</v>
      </c>
      <c r="D2597" t="s">
        <v>84</v>
      </c>
      <c r="F2597" t="str">
        <f>VLOOKUP(G2597,PC!B:D,2,FALSE)</f>
        <v>SOBREMESA</v>
      </c>
      <c r="G2597" s="4" t="s">
        <v>7</v>
      </c>
      <c r="H2597" s="1">
        <v>160.83000000000001</v>
      </c>
    </row>
    <row r="2598" spans="2:8" x14ac:dyDescent="0.2">
      <c r="B2598" t="str">
        <f>VLOOKUP(G2598,PC!B:D,3,FALSE)</f>
        <v>CPV</v>
      </c>
      <c r="C2598" s="22">
        <v>2023</v>
      </c>
      <c r="D2598" t="s">
        <v>84</v>
      </c>
      <c r="F2598" t="str">
        <f>VLOOKUP(G2598,PC!B:D,2,FALSE)</f>
        <v>BEBIDAS</v>
      </c>
      <c r="G2598" s="4" t="s">
        <v>48</v>
      </c>
      <c r="H2598" s="1">
        <v>184.8</v>
      </c>
    </row>
    <row r="2599" spans="2:8" x14ac:dyDescent="0.2">
      <c r="B2599" t="str">
        <f>VLOOKUP(G2599,PC!B:D,3,FALSE)</f>
        <v>CPV</v>
      </c>
      <c r="C2599" s="22">
        <v>2023</v>
      </c>
      <c r="D2599" t="s">
        <v>84</v>
      </c>
      <c r="E2599" t="s">
        <v>49</v>
      </c>
      <c r="F2599" t="str">
        <f>VLOOKUP(G2599,PC!B:D,2,FALSE)</f>
        <v>CIGARRO</v>
      </c>
      <c r="G2599" s="4" t="s">
        <v>52</v>
      </c>
      <c r="H2599" s="1">
        <v>11541.78</v>
      </c>
    </row>
    <row r="2600" spans="2:8" x14ac:dyDescent="0.2">
      <c r="B2600" t="str">
        <f>VLOOKUP(G2600,PC!B:D,3,FALSE)</f>
        <v>RECEITA</v>
      </c>
      <c r="C2600" s="22">
        <v>2023</v>
      </c>
      <c r="D2600" t="s">
        <v>84</v>
      </c>
      <c r="F2600" t="str">
        <f>VLOOKUP(G2600,PC!B:D,2,FALSE)</f>
        <v>RECEITA</v>
      </c>
      <c r="G2600" s="4" t="s">
        <v>83</v>
      </c>
      <c r="H2600" s="1">
        <v>98.53</v>
      </c>
    </row>
    <row r="2601" spans="2:8" x14ac:dyDescent="0.2">
      <c r="B2601" t="str">
        <f>VLOOKUP(G2601,PC!B:D,3,FALSE)</f>
        <v>CPV</v>
      </c>
      <c r="C2601" s="22">
        <v>2023</v>
      </c>
      <c r="D2601" t="s">
        <v>84</v>
      </c>
      <c r="E2601" t="s">
        <v>156</v>
      </c>
      <c r="F2601" t="str">
        <f>VLOOKUP(G2601,PC!B:D,2,FALSE)</f>
        <v>BEBIDAS</v>
      </c>
      <c r="G2601" s="4" t="s">
        <v>26</v>
      </c>
      <c r="H2601" s="1">
        <v>224.45</v>
      </c>
    </row>
    <row r="2602" spans="2:8" x14ac:dyDescent="0.2">
      <c r="B2602" t="str">
        <f>VLOOKUP(G2602,PC!B:D,3,FALSE)</f>
        <v>RECEITA</v>
      </c>
      <c r="C2602" s="22">
        <v>2023</v>
      </c>
      <c r="D2602" t="s">
        <v>84</v>
      </c>
      <c r="F2602" t="str">
        <f>VLOOKUP(G2602,PC!B:D,2,FALSE)</f>
        <v>RECEITA</v>
      </c>
      <c r="G2602" s="4" t="s">
        <v>83</v>
      </c>
      <c r="H2602" s="1">
        <v>44.89</v>
      </c>
    </row>
    <row r="2603" spans="2:8" x14ac:dyDescent="0.2">
      <c r="B2603" t="str">
        <f>VLOOKUP(G2603,PC!B:D,3,FALSE)</f>
        <v>CPV</v>
      </c>
      <c r="C2603" s="22">
        <v>2023</v>
      </c>
      <c r="D2603" t="s">
        <v>84</v>
      </c>
      <c r="E2603" t="s">
        <v>14</v>
      </c>
      <c r="F2603" t="str">
        <f>VLOOKUP(G2603,PC!B:D,2,FALSE)</f>
        <v>BEBIDAS</v>
      </c>
      <c r="G2603" s="4" t="s">
        <v>25</v>
      </c>
      <c r="H2603" s="1">
        <v>330.22</v>
      </c>
    </row>
    <row r="2604" spans="2:8" x14ac:dyDescent="0.2">
      <c r="B2604" t="str">
        <f>VLOOKUP(G2604,PC!B:D,3,FALSE)</f>
        <v>CPV</v>
      </c>
      <c r="C2604" s="22">
        <v>2023</v>
      </c>
      <c r="D2604" t="s">
        <v>84</v>
      </c>
      <c r="E2604" t="s">
        <v>100</v>
      </c>
      <c r="F2604" t="str">
        <f>VLOOKUP(G2604,PC!B:D,2,FALSE)</f>
        <v>SOBREMESA</v>
      </c>
      <c r="G2604" s="4" t="s">
        <v>8</v>
      </c>
      <c r="H2604" s="1">
        <v>98.24</v>
      </c>
    </row>
    <row r="2605" spans="2:8" x14ac:dyDescent="0.2">
      <c r="B2605" t="str">
        <f>VLOOKUP(G2605,PC!B:D,3,FALSE)</f>
        <v>CPV</v>
      </c>
      <c r="C2605" s="22">
        <v>2023</v>
      </c>
      <c r="D2605" t="s">
        <v>84</v>
      </c>
      <c r="E2605" t="s">
        <v>27</v>
      </c>
      <c r="F2605" t="str">
        <f>VLOOKUP(G2605,PC!B:D,2,FALSE)</f>
        <v>COMIDA</v>
      </c>
      <c r="G2605" s="4" t="s">
        <v>12</v>
      </c>
      <c r="H2605" s="1">
        <v>202.31</v>
      </c>
    </row>
    <row r="2606" spans="2:8" x14ac:dyDescent="0.2">
      <c r="B2606" t="str">
        <f>VLOOKUP(G2606,PC!B:D,3,FALSE)</f>
        <v>CPV</v>
      </c>
      <c r="C2606" s="22">
        <v>2023</v>
      </c>
      <c r="D2606" t="s">
        <v>84</v>
      </c>
      <c r="E2606" t="s">
        <v>45</v>
      </c>
      <c r="F2606" t="str">
        <f>VLOOKUP(G2606,PC!B:D,2,FALSE)</f>
        <v>HIGIENE</v>
      </c>
      <c r="G2606" s="4" t="s">
        <v>36</v>
      </c>
      <c r="H2606" s="1">
        <v>614.33000000000004</v>
      </c>
    </row>
    <row r="2607" spans="2:8" x14ac:dyDescent="0.2">
      <c r="B2607" t="str">
        <f>VLOOKUP(G2607,PC!B:D,3,FALSE)</f>
        <v>CPV</v>
      </c>
      <c r="C2607" s="22">
        <v>2023</v>
      </c>
      <c r="D2607" t="s">
        <v>84</v>
      </c>
      <c r="E2607" t="s">
        <v>14</v>
      </c>
      <c r="F2607" t="str">
        <f>VLOOKUP(G2607,PC!B:D,2,FALSE)</f>
        <v>BEBIDAS</v>
      </c>
      <c r="G2607" s="4" t="s">
        <v>26</v>
      </c>
      <c r="H2607" s="1">
        <v>299.08</v>
      </c>
    </row>
    <row r="2608" spans="2:8" x14ac:dyDescent="0.2">
      <c r="B2608" t="str">
        <f>VLOOKUP(G2608,PC!B:D,3,FALSE)</f>
        <v>CPV</v>
      </c>
      <c r="C2608" s="22">
        <v>2023</v>
      </c>
      <c r="D2608" t="s">
        <v>84</v>
      </c>
      <c r="E2608" t="s">
        <v>14</v>
      </c>
      <c r="F2608" t="str">
        <f>VLOOKUP(G2608,PC!B:D,2,FALSE)</f>
        <v>BEBIDAS</v>
      </c>
      <c r="G2608" s="4" t="s">
        <v>41</v>
      </c>
      <c r="H2608" s="1">
        <f>35.99*2</f>
        <v>71.98</v>
      </c>
    </row>
    <row r="2609" spans="2:8" x14ac:dyDescent="0.2">
      <c r="B2609" t="str">
        <f>VLOOKUP(G2609,PC!B:D,3,FALSE)</f>
        <v>CPV</v>
      </c>
      <c r="C2609" s="22">
        <v>2023</v>
      </c>
      <c r="D2609" t="s">
        <v>84</v>
      </c>
      <c r="E2609" t="s">
        <v>14</v>
      </c>
      <c r="F2609" t="str">
        <f>VLOOKUP(G2609,PC!B:D,2,FALSE)</f>
        <v>BEBIDAS</v>
      </c>
      <c r="G2609" s="4" t="s">
        <v>25</v>
      </c>
      <c r="H2609" s="1">
        <f>701.59-H2608-H2607</f>
        <v>330.53000000000003</v>
      </c>
    </row>
    <row r="2610" spans="2:8" x14ac:dyDescent="0.2">
      <c r="B2610" t="str">
        <f>VLOOKUP(G2610,PC!B:D,3,FALSE)</f>
        <v>CPV</v>
      </c>
      <c r="C2610" s="22">
        <v>2023</v>
      </c>
      <c r="D2610" t="s">
        <v>84</v>
      </c>
      <c r="E2610" t="s">
        <v>28</v>
      </c>
      <c r="F2610" t="str">
        <f>VLOOKUP(G2610,PC!B:D,2,FALSE)</f>
        <v>BEBIDAS</v>
      </c>
      <c r="G2610" s="4" t="s">
        <v>26</v>
      </c>
      <c r="H2610" s="1">
        <v>1424.51</v>
      </c>
    </row>
    <row r="2611" spans="2:8" x14ac:dyDescent="0.2">
      <c r="B2611" t="str">
        <f>VLOOKUP(G2611,PC!B:D,3,FALSE)</f>
        <v>CPV</v>
      </c>
      <c r="C2611" s="22">
        <v>2023</v>
      </c>
      <c r="D2611" t="s">
        <v>84</v>
      </c>
      <c r="E2611" t="s">
        <v>14</v>
      </c>
      <c r="F2611" t="str">
        <f>VLOOKUP(G2611,PC!B:D,2,FALSE)</f>
        <v>BEBIDAS</v>
      </c>
      <c r="G2611" s="4" t="s">
        <v>51</v>
      </c>
      <c r="H2611" s="1">
        <v>16.71</v>
      </c>
    </row>
    <row r="2612" spans="2:8" x14ac:dyDescent="0.2">
      <c r="B2612" t="str">
        <f>VLOOKUP(G2612,PC!B:D,3,FALSE)</f>
        <v>CPV</v>
      </c>
      <c r="C2612" s="22">
        <v>2023</v>
      </c>
      <c r="D2612" t="s">
        <v>84</v>
      </c>
      <c r="E2612" t="s">
        <v>40</v>
      </c>
      <c r="F2612" t="str">
        <f>VLOOKUP(G2612,PC!B:D,2,FALSE)</f>
        <v>BEBIDAS</v>
      </c>
      <c r="G2612" s="4" t="s">
        <v>26</v>
      </c>
      <c r="H2612" s="1">
        <v>133.69999999999999</v>
      </c>
    </row>
    <row r="2613" spans="2:8" x14ac:dyDescent="0.2">
      <c r="B2613" t="str">
        <f>VLOOKUP(G2613,PC!B:D,3,FALSE)</f>
        <v>CPV</v>
      </c>
      <c r="C2613" s="22">
        <v>2023</v>
      </c>
      <c r="D2613" t="s">
        <v>84</v>
      </c>
      <c r="E2613" t="s">
        <v>16</v>
      </c>
      <c r="F2613" t="str">
        <f>VLOOKUP(G2613,PC!B:D,2,FALSE)</f>
        <v>COMIDA</v>
      </c>
      <c r="G2613" s="4" t="s">
        <v>12</v>
      </c>
      <c r="H2613" s="1">
        <v>230.46</v>
      </c>
    </row>
    <row r="2614" spans="2:8" x14ac:dyDescent="0.2">
      <c r="B2614" t="str">
        <f>VLOOKUP(G2614,PC!B:D,3,FALSE)</f>
        <v>CPV</v>
      </c>
      <c r="C2614" s="22">
        <v>2023</v>
      </c>
      <c r="D2614" t="s">
        <v>84</v>
      </c>
      <c r="E2614" t="s">
        <v>14</v>
      </c>
      <c r="F2614" t="str">
        <f>VLOOKUP(G2614,PC!B:D,2,FALSE)</f>
        <v>BEBIDAS</v>
      </c>
      <c r="G2614" s="4" t="s">
        <v>26</v>
      </c>
      <c r="H2614" s="1">
        <v>483.11</v>
      </c>
    </row>
    <row r="2615" spans="2:8" x14ac:dyDescent="0.2">
      <c r="B2615" t="str">
        <f>VLOOKUP(G2615,PC!B:D,3,FALSE)</f>
        <v>CPV</v>
      </c>
      <c r="C2615" s="22">
        <v>2023</v>
      </c>
      <c r="D2615" t="s">
        <v>84</v>
      </c>
      <c r="E2615" t="s">
        <v>14</v>
      </c>
      <c r="F2615" t="str">
        <f>VLOOKUP(G2615,PC!B:D,2,FALSE)</f>
        <v>BEBIDAS</v>
      </c>
      <c r="G2615" s="4" t="s">
        <v>41</v>
      </c>
      <c r="H2615" s="1">
        <v>21.13</v>
      </c>
    </row>
    <row r="2616" spans="2:8" x14ac:dyDescent="0.2">
      <c r="B2616" t="str">
        <f>VLOOKUP(G2616,PC!B:D,3,FALSE)</f>
        <v>CPV</v>
      </c>
      <c r="C2616" s="22">
        <v>2023</v>
      </c>
      <c r="D2616" t="s">
        <v>84</v>
      </c>
      <c r="E2616" t="s">
        <v>14</v>
      </c>
      <c r="F2616" t="str">
        <f>VLOOKUP(G2616,PC!B:D,2,FALSE)</f>
        <v>BEBIDAS</v>
      </c>
      <c r="G2616" s="4" t="s">
        <v>46</v>
      </c>
      <c r="H2616" s="1">
        <f>37.17+18.59</f>
        <v>55.760000000000005</v>
      </c>
    </row>
    <row r="2617" spans="2:8" x14ac:dyDescent="0.2">
      <c r="B2617" t="str">
        <f>VLOOKUP(G2617,PC!B:D,3,FALSE)</f>
        <v>CPV</v>
      </c>
      <c r="C2617" s="22">
        <v>2023</v>
      </c>
      <c r="D2617" t="s">
        <v>84</v>
      </c>
      <c r="E2617" t="s">
        <v>14</v>
      </c>
      <c r="F2617" t="str">
        <f>VLOOKUP(G2617,PC!B:D,2,FALSE)</f>
        <v>BEBIDAS</v>
      </c>
      <c r="G2617" s="4" t="s">
        <v>25</v>
      </c>
      <c r="H2617" s="1">
        <v>658.5</v>
      </c>
    </row>
    <row r="2618" spans="2:8" x14ac:dyDescent="0.2">
      <c r="B2618" t="str">
        <f>VLOOKUP(G2618,PC!B:D,3,FALSE)</f>
        <v>CPV</v>
      </c>
      <c r="C2618" s="22">
        <v>2023</v>
      </c>
      <c r="D2618" t="s">
        <v>84</v>
      </c>
      <c r="E2618" t="s">
        <v>78</v>
      </c>
      <c r="F2618" t="str">
        <f>VLOOKUP(G2618,PC!B:D,2,FALSE)</f>
        <v>CIGARRO</v>
      </c>
      <c r="G2618" s="4" t="s">
        <v>82</v>
      </c>
      <c r="H2618" s="1">
        <v>499.46</v>
      </c>
    </row>
    <row r="2619" spans="2:8" x14ac:dyDescent="0.2">
      <c r="B2619" t="str">
        <f>VLOOKUP(G2619,PC!B:D,3,FALSE)</f>
        <v>CPV</v>
      </c>
      <c r="C2619" s="22">
        <v>2023</v>
      </c>
      <c r="D2619" t="s">
        <v>84</v>
      </c>
      <c r="E2619" t="s">
        <v>30</v>
      </c>
      <c r="F2619" t="str">
        <f>VLOOKUP(G2619,PC!B:D,2,FALSE)</f>
        <v>SOBREMESA</v>
      </c>
      <c r="G2619" s="4" t="s">
        <v>23</v>
      </c>
      <c r="H2619" s="1">
        <v>146.71</v>
      </c>
    </row>
    <row r="2620" spans="2:8" x14ac:dyDescent="0.2">
      <c r="B2620" t="str">
        <f>VLOOKUP(G2620,PC!B:D,3,FALSE)</f>
        <v>CPV</v>
      </c>
      <c r="C2620" s="22">
        <v>2023</v>
      </c>
      <c r="D2620" t="s">
        <v>84</v>
      </c>
      <c r="E2620" t="s">
        <v>95</v>
      </c>
      <c r="F2620" t="str">
        <f>VLOOKUP(G2620,PC!B:D,2,FALSE)</f>
        <v>BEBIDAS</v>
      </c>
      <c r="G2620" s="4" t="s">
        <v>144</v>
      </c>
      <c r="H2620" s="1">
        <v>293.92</v>
      </c>
    </row>
    <row r="2621" spans="2:8" x14ac:dyDescent="0.2">
      <c r="B2621" t="str">
        <f>VLOOKUP(G2621,PC!B:D,3,FALSE)</f>
        <v>CPV</v>
      </c>
      <c r="C2621" s="22">
        <v>2023</v>
      </c>
      <c r="D2621" t="s">
        <v>84</v>
      </c>
      <c r="F2621" t="str">
        <f>VLOOKUP(G2621,PC!B:D,2,FALSE)</f>
        <v>CIGARRO</v>
      </c>
      <c r="G2621" s="4" t="s">
        <v>131</v>
      </c>
      <c r="H2621" s="1">
        <v>289</v>
      </c>
    </row>
    <row r="2622" spans="2:8" x14ac:dyDescent="0.2">
      <c r="B2622" t="str">
        <f>VLOOKUP(G2622,PC!B:D,3,FALSE)</f>
        <v>CPV</v>
      </c>
      <c r="C2622" s="22">
        <v>2023</v>
      </c>
      <c r="D2622" t="s">
        <v>84</v>
      </c>
      <c r="E2622" t="s">
        <v>28</v>
      </c>
      <c r="F2622" t="str">
        <f>VLOOKUP(G2622,PC!B:D,2,FALSE)</f>
        <v>BEBIDAS</v>
      </c>
      <c r="G2622" s="4" t="s">
        <v>26</v>
      </c>
      <c r="H2622" s="1">
        <v>2704.79</v>
      </c>
    </row>
    <row r="2623" spans="2:8" x14ac:dyDescent="0.2">
      <c r="B2623" t="str">
        <f>VLOOKUP(G2623,PC!B:D,3,FALSE)</f>
        <v>CPV</v>
      </c>
      <c r="C2623" s="22">
        <v>2023</v>
      </c>
      <c r="D2623" t="s">
        <v>84</v>
      </c>
      <c r="E2623" t="s">
        <v>24</v>
      </c>
      <c r="F2623" t="str">
        <f>VLOOKUP(G2623,PC!B:D,2,FALSE)</f>
        <v>COMIDA</v>
      </c>
      <c r="G2623" s="4" t="s">
        <v>33</v>
      </c>
      <c r="H2623" s="1">
        <v>495.85</v>
      </c>
    </row>
    <row r="2624" spans="2:8" x14ac:dyDescent="0.2">
      <c r="B2624" t="str">
        <f>VLOOKUP(G2624,PC!B:D,3,FALSE)</f>
        <v>CPV</v>
      </c>
      <c r="C2624" s="22">
        <v>2023</v>
      </c>
      <c r="D2624" t="s">
        <v>84</v>
      </c>
      <c r="E2624" t="s">
        <v>28</v>
      </c>
      <c r="F2624" t="str">
        <f>VLOOKUP(G2624,PC!B:D,2,FALSE)</f>
        <v>BEBIDAS</v>
      </c>
      <c r="G2624" s="4" t="s">
        <v>26</v>
      </c>
      <c r="H2624" s="1">
        <f>199.76+952.18</f>
        <v>1151.94</v>
      </c>
    </row>
    <row r="2625" spans="2:8" x14ac:dyDescent="0.2">
      <c r="B2625" t="str">
        <f>VLOOKUP(G2625,PC!B:D,3,FALSE)</f>
        <v>CPV</v>
      </c>
      <c r="C2625" s="22">
        <v>2023</v>
      </c>
      <c r="D2625" t="s">
        <v>84</v>
      </c>
      <c r="E2625" t="s">
        <v>20</v>
      </c>
      <c r="F2625" t="str">
        <f>VLOOKUP(G2625,PC!B:D,2,FALSE)</f>
        <v>COMIDA</v>
      </c>
      <c r="G2625" s="4" t="s">
        <v>29</v>
      </c>
      <c r="H2625" s="1">
        <v>113.4</v>
      </c>
    </row>
    <row r="2626" spans="2:8" x14ac:dyDescent="0.2">
      <c r="B2626" t="str">
        <f>VLOOKUP(G2626,PC!B:D,3,FALSE)</f>
        <v>CPV</v>
      </c>
      <c r="C2626" s="22">
        <v>2023</v>
      </c>
      <c r="D2626" t="s">
        <v>84</v>
      </c>
      <c r="E2626" t="s">
        <v>129</v>
      </c>
      <c r="F2626" t="str">
        <f>VLOOKUP(G2626,PC!B:D,2,FALSE)</f>
        <v>LIMPEZA</v>
      </c>
      <c r="G2626" s="4" t="s">
        <v>43</v>
      </c>
      <c r="H2626" s="1">
        <v>438</v>
      </c>
    </row>
    <row r="2627" spans="2:8" x14ac:dyDescent="0.2">
      <c r="B2627" t="str">
        <f>VLOOKUP(G2627,PC!B:D,3,FALSE)</f>
        <v>CPV</v>
      </c>
      <c r="C2627" s="22">
        <v>2023</v>
      </c>
      <c r="D2627" t="s">
        <v>84</v>
      </c>
      <c r="E2627" t="s">
        <v>129</v>
      </c>
      <c r="F2627" t="str">
        <f>VLOOKUP(G2627,PC!B:D,2,FALSE)</f>
        <v>SOBREMESA</v>
      </c>
      <c r="G2627" s="4" t="s">
        <v>7</v>
      </c>
      <c r="H2627" s="1">
        <v>76</v>
      </c>
    </row>
    <row r="2628" spans="2:8" x14ac:dyDescent="0.2">
      <c r="B2628" t="str">
        <f>VLOOKUP(G2628,PC!B:D,3,FALSE)</f>
        <v>CPV</v>
      </c>
      <c r="C2628" s="22">
        <v>2023</v>
      </c>
      <c r="D2628" t="s">
        <v>84</v>
      </c>
      <c r="E2628" t="s">
        <v>129</v>
      </c>
      <c r="F2628" t="str">
        <f>VLOOKUP(G2628,PC!B:D,2,FALSE)</f>
        <v>COMIDA</v>
      </c>
      <c r="G2628" s="4" t="s">
        <v>155</v>
      </c>
      <c r="H2628" s="1">
        <v>385</v>
      </c>
    </row>
    <row r="2629" spans="2:8" x14ac:dyDescent="0.2">
      <c r="B2629" t="str">
        <f>VLOOKUP(G2629,PC!B:D,3,FALSE)</f>
        <v>CPV</v>
      </c>
      <c r="C2629" s="22">
        <v>2023</v>
      </c>
      <c r="D2629" t="s">
        <v>84</v>
      </c>
      <c r="E2629" t="s">
        <v>129</v>
      </c>
      <c r="F2629" t="str">
        <f>VLOOKUP(G2629,PC!B:D,2,FALSE)</f>
        <v>COMIDA</v>
      </c>
      <c r="G2629" s="4" t="s">
        <v>33</v>
      </c>
      <c r="H2629" s="1">
        <v>36</v>
      </c>
    </row>
    <row r="2630" spans="2:8" x14ac:dyDescent="0.2">
      <c r="B2630" t="str">
        <f>VLOOKUP(G2630,PC!B:D,3,FALSE)</f>
        <v>CPV</v>
      </c>
      <c r="C2630" s="22">
        <v>2023</v>
      </c>
      <c r="D2630" t="s">
        <v>84</v>
      </c>
      <c r="E2630" t="s">
        <v>129</v>
      </c>
      <c r="F2630" t="str">
        <f>VLOOKUP(G2630,PC!B:D,2,FALSE)</f>
        <v>SOBREMESA</v>
      </c>
      <c r="G2630" s="4" t="s">
        <v>7</v>
      </c>
      <c r="H2630" s="1">
        <v>182</v>
      </c>
    </row>
    <row r="2631" spans="2:8" x14ac:dyDescent="0.2">
      <c r="B2631" t="str">
        <f>VLOOKUP(G2631,PC!B:D,3,FALSE)</f>
        <v>CPV</v>
      </c>
      <c r="C2631" s="22">
        <v>2023</v>
      </c>
      <c r="D2631" t="s">
        <v>84</v>
      </c>
      <c r="E2631" t="s">
        <v>129</v>
      </c>
      <c r="F2631" t="str">
        <f>VLOOKUP(G2631,PC!B:D,2,FALSE)</f>
        <v>BEBIDAS</v>
      </c>
      <c r="G2631" s="4" t="s">
        <v>39</v>
      </c>
      <c r="H2631" s="1">
        <v>230</v>
      </c>
    </row>
    <row r="2632" spans="2:8" x14ac:dyDescent="0.2">
      <c r="B2632" t="str">
        <f>VLOOKUP(G2632,PC!B:D,3,FALSE)</f>
        <v>CPV</v>
      </c>
      <c r="C2632" s="22">
        <v>2023</v>
      </c>
      <c r="D2632" t="s">
        <v>84</v>
      </c>
      <c r="E2632" t="s">
        <v>129</v>
      </c>
      <c r="F2632" t="str">
        <f>VLOOKUP(G2632,PC!B:D,2,FALSE)</f>
        <v>COMIDA</v>
      </c>
      <c r="G2632" s="4" t="s">
        <v>22</v>
      </c>
      <c r="H2632" s="1">
        <v>32</v>
      </c>
    </row>
    <row r="2633" spans="2:8" x14ac:dyDescent="0.2">
      <c r="B2633" t="str">
        <f>VLOOKUP(G2633,PC!B:D,3,FALSE)</f>
        <v>CPV</v>
      </c>
      <c r="C2633" s="22">
        <v>2023</v>
      </c>
      <c r="D2633" t="s">
        <v>84</v>
      </c>
      <c r="E2633" t="s">
        <v>129</v>
      </c>
      <c r="F2633" t="str">
        <f>VLOOKUP(G2633,PC!B:D,2,FALSE)</f>
        <v>COMIDA</v>
      </c>
      <c r="G2633" s="4" t="s">
        <v>12</v>
      </c>
      <c r="H2633" s="1">
        <v>30</v>
      </c>
    </row>
    <row r="2634" spans="2:8" x14ac:dyDescent="0.2">
      <c r="B2634" t="str">
        <f>VLOOKUP(G2634,PC!B:D,3,FALSE)</f>
        <v>CPV</v>
      </c>
      <c r="C2634" s="22">
        <v>2023</v>
      </c>
      <c r="D2634" t="s">
        <v>84</v>
      </c>
      <c r="E2634" t="s">
        <v>129</v>
      </c>
      <c r="F2634" t="str">
        <f>VLOOKUP(G2634,PC!B:D,2,FALSE)</f>
        <v>COMIDA</v>
      </c>
      <c r="G2634" s="4" t="s">
        <v>38</v>
      </c>
      <c r="H2634" s="1">
        <v>286</v>
      </c>
    </row>
    <row r="2635" spans="2:8" x14ac:dyDescent="0.2">
      <c r="B2635" t="str">
        <f>VLOOKUP(G2635,PC!B:D,3,FALSE)</f>
        <v>CPV</v>
      </c>
      <c r="C2635" s="22">
        <v>2023</v>
      </c>
      <c r="D2635" t="s">
        <v>84</v>
      </c>
      <c r="E2635" t="s">
        <v>129</v>
      </c>
      <c r="F2635" t="str">
        <f>VLOOKUP(G2635,PC!B:D,2,FALSE)</f>
        <v>COMIDA</v>
      </c>
      <c r="G2635" s="4" t="s">
        <v>12</v>
      </c>
      <c r="H2635" s="1">
        <v>62</v>
      </c>
    </row>
    <row r="2636" spans="2:8" x14ac:dyDescent="0.2">
      <c r="B2636" t="str">
        <f>VLOOKUP(G2636,PC!B:D,3,FALSE)</f>
        <v>CPV</v>
      </c>
      <c r="C2636" s="22">
        <v>2023</v>
      </c>
      <c r="D2636" t="s">
        <v>84</v>
      </c>
      <c r="E2636" t="s">
        <v>129</v>
      </c>
      <c r="F2636" t="str">
        <f>VLOOKUP(G2636,PC!B:D,2,FALSE)</f>
        <v>COMIDA</v>
      </c>
      <c r="G2636" s="4" t="s">
        <v>18</v>
      </c>
      <c r="H2636" s="1">
        <v>57</v>
      </c>
    </row>
    <row r="2637" spans="2:8" x14ac:dyDescent="0.2">
      <c r="B2637" t="str">
        <f>VLOOKUP(G2637,PC!B:D,3,FALSE)</f>
        <v>CPV</v>
      </c>
      <c r="C2637" s="22">
        <v>2023</v>
      </c>
      <c r="D2637" t="s">
        <v>84</v>
      </c>
      <c r="E2637" t="s">
        <v>129</v>
      </c>
      <c r="F2637" t="str">
        <f>VLOOKUP(G2637,PC!B:D,2,FALSE)</f>
        <v>BEBIDAS</v>
      </c>
      <c r="G2637" s="4" t="s">
        <v>48</v>
      </c>
      <c r="H2637" s="1">
        <v>255</v>
      </c>
    </row>
    <row r="2638" spans="2:8" x14ac:dyDescent="0.2">
      <c r="B2638" t="str">
        <f>VLOOKUP(G2638,PC!B:D,3,FALSE)</f>
        <v>CPV</v>
      </c>
      <c r="C2638" s="22">
        <v>2023</v>
      </c>
      <c r="D2638" t="s">
        <v>84</v>
      </c>
      <c r="E2638" t="s">
        <v>129</v>
      </c>
      <c r="F2638" t="str">
        <f>VLOOKUP(G2638,PC!B:D,2,FALSE)</f>
        <v>CIGARRO</v>
      </c>
      <c r="G2638" s="4" t="s">
        <v>57</v>
      </c>
      <c r="H2638" s="1">
        <f>1127-H2639</f>
        <v>1070</v>
      </c>
    </row>
    <row r="2639" spans="2:8" x14ac:dyDescent="0.2">
      <c r="B2639" t="str">
        <f>VLOOKUP(G2639,PC!B:D,3,FALSE)</f>
        <v>CPV</v>
      </c>
      <c r="C2639" s="22">
        <v>2023</v>
      </c>
      <c r="D2639" t="s">
        <v>84</v>
      </c>
      <c r="E2639" t="s">
        <v>129</v>
      </c>
      <c r="F2639" t="str">
        <f>VLOOKUP(G2639,PC!B:D,2,FALSE)</f>
        <v>CIGARRO</v>
      </c>
      <c r="G2639" s="4" t="s">
        <v>55</v>
      </c>
      <c r="H2639" s="1">
        <v>57</v>
      </c>
    </row>
    <row r="2640" spans="2:8" x14ac:dyDescent="0.2">
      <c r="B2640" t="str">
        <f>VLOOKUP(G2640,PC!B:D,3,FALSE)</f>
        <v>CPV</v>
      </c>
      <c r="C2640" s="22">
        <v>2023</v>
      </c>
      <c r="D2640" t="s">
        <v>84</v>
      </c>
      <c r="E2640" t="s">
        <v>129</v>
      </c>
      <c r="F2640" t="str">
        <f>VLOOKUP(G2640,PC!B:D,2,FALSE)</f>
        <v>COMIDA</v>
      </c>
      <c r="G2640" s="4" t="s">
        <v>145</v>
      </c>
      <c r="H2640" s="1">
        <v>53.6</v>
      </c>
    </row>
    <row r="2641" spans="2:8" x14ac:dyDescent="0.2">
      <c r="B2641" t="str">
        <f>VLOOKUP(G2641,PC!B:D,3,FALSE)</f>
        <v>CPV</v>
      </c>
      <c r="C2641" s="22">
        <v>2023</v>
      </c>
      <c r="D2641" t="s">
        <v>84</v>
      </c>
      <c r="E2641" t="s">
        <v>129</v>
      </c>
      <c r="F2641" t="str">
        <f>VLOOKUP(G2641,PC!B:D,2,FALSE)</f>
        <v>BEBIDAS</v>
      </c>
      <c r="G2641" s="4" t="s">
        <v>48</v>
      </c>
      <c r="H2641" s="1">
        <v>94</v>
      </c>
    </row>
    <row r="2642" spans="2:8" x14ac:dyDescent="0.2">
      <c r="B2642" t="str">
        <f>VLOOKUP(G2642,PC!B:D,3,FALSE)</f>
        <v>CPV</v>
      </c>
      <c r="C2642" s="22">
        <v>2023</v>
      </c>
      <c r="D2642" t="s">
        <v>84</v>
      </c>
      <c r="E2642" t="s">
        <v>129</v>
      </c>
      <c r="F2642" t="str">
        <f>VLOOKUP(G2642,PC!B:D,2,FALSE)</f>
        <v>SOBREMESA</v>
      </c>
      <c r="G2642" s="4" t="s">
        <v>75</v>
      </c>
      <c r="H2642" s="1">
        <v>896.24</v>
      </c>
    </row>
    <row r="2643" spans="2:8" x14ac:dyDescent="0.2">
      <c r="B2643" t="str">
        <f>VLOOKUP(G2643,PC!B:D,3,FALSE)</f>
        <v>CPV</v>
      </c>
      <c r="C2643" s="22">
        <v>2023</v>
      </c>
      <c r="D2643" t="s">
        <v>84</v>
      </c>
      <c r="E2643" t="s">
        <v>129</v>
      </c>
      <c r="F2643" t="str">
        <f>VLOOKUP(G2643,PC!B:D,2,FALSE)</f>
        <v>BEBIDAS</v>
      </c>
      <c r="G2643" s="4" t="s">
        <v>48</v>
      </c>
      <c r="H2643" s="1">
        <v>92.4</v>
      </c>
    </row>
    <row r="2644" spans="2:8" x14ac:dyDescent="0.2">
      <c r="B2644" t="str">
        <f>VLOOKUP(G2644,PC!B:D,3,FALSE)</f>
        <v>DESPESA OPERACIONAL</v>
      </c>
      <c r="C2644" s="22">
        <v>2023</v>
      </c>
      <c r="D2644" t="s">
        <v>84</v>
      </c>
      <c r="F2644" t="str">
        <f>VLOOKUP(G2644,PC!B:D,2,FALSE)</f>
        <v>DESPESA OPERACIONAL</v>
      </c>
      <c r="G2644" s="4" t="s">
        <v>73</v>
      </c>
      <c r="H2644" s="1">
        <f>909.6+982.43</f>
        <v>1892.03</v>
      </c>
    </row>
    <row r="2645" spans="2:8" x14ac:dyDescent="0.2">
      <c r="B2645" t="str">
        <f>VLOOKUP(G2645,PC!B:D,3,FALSE)</f>
        <v>RECEITA</v>
      </c>
      <c r="C2645" s="22">
        <v>2023</v>
      </c>
      <c r="D2645" t="s">
        <v>84</v>
      </c>
      <c r="F2645" t="str">
        <f>VLOOKUP(G2645,PC!B:D,2,FALSE)</f>
        <v>RECEITA</v>
      </c>
      <c r="G2645" s="4" t="s">
        <v>64</v>
      </c>
      <c r="H2645" s="1">
        <f>20.97+20.9</f>
        <v>41.87</v>
      </c>
    </row>
    <row r="2646" spans="2:8" x14ac:dyDescent="0.2">
      <c r="B2646" t="str">
        <f>VLOOKUP(G2646,PC!B:D,3,FALSE)</f>
        <v>CPV</v>
      </c>
      <c r="C2646" s="22">
        <v>2023</v>
      </c>
      <c r="D2646" t="s">
        <v>84</v>
      </c>
      <c r="E2646" t="s">
        <v>77</v>
      </c>
      <c r="F2646" t="str">
        <f>VLOOKUP(G2646,PC!B:D,2,FALSE)</f>
        <v>OUTROS</v>
      </c>
      <c r="G2646" s="4" t="s">
        <v>37</v>
      </c>
      <c r="H2646" s="1">
        <v>442.43</v>
      </c>
    </row>
    <row r="2647" spans="2:8" x14ac:dyDescent="0.2">
      <c r="B2647" t="str">
        <f>VLOOKUP(G2647,PC!B:D,3,FALSE)</f>
        <v>CPV</v>
      </c>
      <c r="C2647" s="22">
        <v>2023</v>
      </c>
      <c r="D2647" t="s">
        <v>84</v>
      </c>
      <c r="E2647" t="s">
        <v>77</v>
      </c>
      <c r="F2647" t="str">
        <f>VLOOKUP(G2647,PC!B:D,2,FALSE)</f>
        <v>OUTROS</v>
      </c>
      <c r="G2647" s="4" t="s">
        <v>37</v>
      </c>
      <c r="H2647" s="1">
        <v>394.7</v>
      </c>
    </row>
    <row r="2648" spans="2:8" x14ac:dyDescent="0.2">
      <c r="B2648" t="str">
        <f>VLOOKUP(G2648,PC!B:D,3,FALSE)</f>
        <v>CPV</v>
      </c>
      <c r="C2648" s="22">
        <v>2023</v>
      </c>
      <c r="D2648" t="s">
        <v>84</v>
      </c>
      <c r="E2648" t="s">
        <v>89</v>
      </c>
      <c r="F2648" t="str">
        <f>VLOOKUP(G2648,PC!B:D,2,FALSE)</f>
        <v>OUTROS</v>
      </c>
      <c r="G2648" s="4" t="s">
        <v>37</v>
      </c>
      <c r="H2648" s="1">
        <v>435</v>
      </c>
    </row>
    <row r="2649" spans="2:8" x14ac:dyDescent="0.2">
      <c r="B2649" t="str">
        <f>VLOOKUP(G2649,PC!B:D,3,FALSE)</f>
        <v>CPV</v>
      </c>
      <c r="C2649" s="22">
        <v>2023</v>
      </c>
      <c r="D2649" t="s">
        <v>84</v>
      </c>
      <c r="E2649" t="s">
        <v>89</v>
      </c>
      <c r="F2649" t="str">
        <f>VLOOKUP(G2649,PC!B:D,2,FALSE)</f>
        <v>OUTROS</v>
      </c>
      <c r="G2649" s="4" t="s">
        <v>37</v>
      </c>
      <c r="H2649" s="1">
        <v>544.42999999999995</v>
      </c>
    </row>
    <row r="2650" spans="2:8" x14ac:dyDescent="0.2">
      <c r="B2650" t="str">
        <f>VLOOKUP(G2650,PC!B:D,3,FALSE)</f>
        <v>RECEITA</v>
      </c>
      <c r="C2650" s="22">
        <v>2023</v>
      </c>
      <c r="D2650" t="s">
        <v>84</v>
      </c>
      <c r="F2650" t="str">
        <f>VLOOKUP(G2650,PC!B:D,2,FALSE)</f>
        <v>RECEITA</v>
      </c>
      <c r="G2650" s="4" t="s">
        <v>54</v>
      </c>
      <c r="H2650" s="1">
        <f>80+350</f>
        <v>430</v>
      </c>
    </row>
    <row r="2651" spans="2:8" x14ac:dyDescent="0.2">
      <c r="B2651" t="str">
        <f>VLOOKUP(G2651,PC!B:D,3,FALSE)</f>
        <v>RECEITA</v>
      </c>
      <c r="C2651" s="22">
        <v>2023</v>
      </c>
      <c r="D2651" t="s">
        <v>84</v>
      </c>
      <c r="F2651" t="str">
        <f>VLOOKUP(G2651,PC!B:D,2,FALSE)</f>
        <v>RECEITA</v>
      </c>
      <c r="G2651" s="4" t="s">
        <v>54</v>
      </c>
      <c r="H2651" s="1">
        <v>500</v>
      </c>
    </row>
    <row r="2652" spans="2:8" x14ac:dyDescent="0.2">
      <c r="B2652" t="str">
        <f>VLOOKUP(G2652,PC!B:D,3,FALSE)</f>
        <v>DESPESA PESSOAL</v>
      </c>
      <c r="C2652" s="22">
        <v>2023</v>
      </c>
      <c r="D2652" t="s">
        <v>84</v>
      </c>
      <c r="F2652" t="str">
        <f>VLOOKUP(G2652,PC!B:D,2,FALSE)</f>
        <v>DESPESA PESSOAL</v>
      </c>
      <c r="G2652" s="4" t="s">
        <v>124</v>
      </c>
      <c r="H2652" s="1">
        <v>500</v>
      </c>
    </row>
    <row r="2653" spans="2:8" x14ac:dyDescent="0.2">
      <c r="B2653" t="str">
        <f>VLOOKUP(G2653,PC!B:D,3,FALSE)</f>
        <v>RECEITA</v>
      </c>
      <c r="C2653" s="22">
        <v>2023</v>
      </c>
      <c r="D2653" t="s">
        <v>84</v>
      </c>
      <c r="F2653" t="str">
        <f>VLOOKUP(G2653,PC!B:D,2,FALSE)</f>
        <v>RECEITA</v>
      </c>
      <c r="G2653" s="4" t="s">
        <v>54</v>
      </c>
      <c r="H2653" s="1">
        <v>350</v>
      </c>
    </row>
    <row r="2654" spans="2:8" x14ac:dyDescent="0.2">
      <c r="B2654" t="str">
        <f>VLOOKUP(G2654,PC!B:D,3,FALSE)</f>
        <v>RECEITA</v>
      </c>
      <c r="C2654" s="22">
        <v>2023</v>
      </c>
      <c r="D2654" t="s">
        <v>84</v>
      </c>
      <c r="F2654" t="str">
        <f>VLOOKUP(G2654,PC!B:D,2,FALSE)</f>
        <v>RECEITA</v>
      </c>
      <c r="G2654" s="4" t="s">
        <v>54</v>
      </c>
      <c r="H2654" s="1">
        <v>1700</v>
      </c>
    </row>
    <row r="2655" spans="2:8" x14ac:dyDescent="0.2">
      <c r="B2655" t="str">
        <f>VLOOKUP(G2655,PC!B:D,3,FALSE)</f>
        <v>DESPESA PESSOAL</v>
      </c>
      <c r="C2655" s="22">
        <v>2023</v>
      </c>
      <c r="D2655" t="s">
        <v>84</v>
      </c>
      <c r="F2655" t="str">
        <f>VLOOKUP(G2655,PC!B:D,2,FALSE)</f>
        <v>DESPESA PESSOAL</v>
      </c>
      <c r="G2655" s="4" t="s">
        <v>56</v>
      </c>
      <c r="H2655" s="1">
        <v>350</v>
      </c>
    </row>
    <row r="2656" spans="2:8" x14ac:dyDescent="0.2">
      <c r="B2656" t="str">
        <f>VLOOKUP(G2656,PC!B:D,3,FALSE)</f>
        <v>RECEITA</v>
      </c>
      <c r="C2656" s="22">
        <v>2023</v>
      </c>
      <c r="D2656" t="s">
        <v>84</v>
      </c>
      <c r="F2656" t="str">
        <f>VLOOKUP(G2656,PC!B:D,2,FALSE)</f>
        <v>RECEITA</v>
      </c>
      <c r="G2656" s="4" t="s">
        <v>54</v>
      </c>
      <c r="H2656" s="1">
        <f>900+450+200+1300</f>
        <v>2850</v>
      </c>
    </row>
    <row r="2657" spans="2:8" x14ac:dyDescent="0.2">
      <c r="B2657" t="str">
        <f>VLOOKUP(G2657,PC!B:D,3,FALSE)</f>
        <v>RECEITA</v>
      </c>
      <c r="C2657" s="22">
        <v>2023</v>
      </c>
      <c r="D2657" t="s">
        <v>84</v>
      </c>
      <c r="F2657" t="str">
        <f>VLOOKUP(G2657,PC!B:D,2,FALSE)</f>
        <v>RECEITA</v>
      </c>
      <c r="G2657" s="4" t="s">
        <v>54</v>
      </c>
      <c r="H2657" s="1">
        <f>280+370+192+80</f>
        <v>922</v>
      </c>
    </row>
    <row r="2658" spans="2:8" x14ac:dyDescent="0.2">
      <c r="B2658" t="str">
        <f>VLOOKUP(G2658,PC!B:D,3,FALSE)</f>
        <v>RECEITA</v>
      </c>
      <c r="C2658" s="22">
        <v>2023</v>
      </c>
      <c r="D2658" t="s">
        <v>84</v>
      </c>
      <c r="F2658" t="str">
        <f>VLOOKUP(G2658,PC!B:D,2,FALSE)</f>
        <v>RECEITA</v>
      </c>
      <c r="G2658" s="4" t="s">
        <v>54</v>
      </c>
      <c r="H2658" s="1">
        <v>650</v>
      </c>
    </row>
    <row r="2659" spans="2:8" x14ac:dyDescent="0.2">
      <c r="B2659" t="str">
        <f>VLOOKUP(G2659,PC!B:D,3,FALSE)</f>
        <v>RECEITA</v>
      </c>
      <c r="C2659" s="22">
        <v>2023</v>
      </c>
      <c r="D2659" t="s">
        <v>84</v>
      </c>
      <c r="F2659" t="str">
        <f>VLOOKUP(G2659,PC!B:D,2,FALSE)</f>
        <v>RECEITA</v>
      </c>
      <c r="G2659" s="4" t="s">
        <v>54</v>
      </c>
      <c r="H2659" s="1">
        <v>1700</v>
      </c>
    </row>
    <row r="2660" spans="2:8" x14ac:dyDescent="0.2">
      <c r="B2660" t="str">
        <f>VLOOKUP(G2660,PC!B:D,3,FALSE)</f>
        <v>RECEITA</v>
      </c>
      <c r="C2660" s="22">
        <v>2023</v>
      </c>
      <c r="D2660" t="s">
        <v>84</v>
      </c>
      <c r="F2660" t="str">
        <f>VLOOKUP(G2660,PC!B:D,2,FALSE)</f>
        <v>RECEITA</v>
      </c>
      <c r="G2660" s="4" t="s">
        <v>54</v>
      </c>
      <c r="H2660" s="1">
        <f>46.5+30+51.3+120+82+66.8+70</f>
        <v>466.6</v>
      </c>
    </row>
    <row r="2661" spans="2:8" x14ac:dyDescent="0.2">
      <c r="B2661" t="str">
        <f>VLOOKUP(G2661,PC!B:D,3,FALSE)</f>
        <v>RECEITA</v>
      </c>
      <c r="C2661" s="22">
        <v>2023</v>
      </c>
      <c r="D2661" t="s">
        <v>84</v>
      </c>
      <c r="F2661" t="str">
        <f>VLOOKUP(G2661,PC!B:D,2,FALSE)</f>
        <v>RECEITA</v>
      </c>
      <c r="G2661" s="4" t="s">
        <v>54</v>
      </c>
      <c r="H2661" s="1">
        <v>250</v>
      </c>
    </row>
    <row r="2662" spans="2:8" x14ac:dyDescent="0.2">
      <c r="B2662" t="str">
        <f>VLOOKUP(G2662,PC!B:D,3,FALSE)</f>
        <v>RECEITA</v>
      </c>
      <c r="C2662" s="22">
        <v>2023</v>
      </c>
      <c r="D2662" t="s">
        <v>84</v>
      </c>
      <c r="F2662" t="str">
        <f>VLOOKUP(G2662,PC!B:D,2,FALSE)</f>
        <v>RECEITA</v>
      </c>
      <c r="G2662" s="4" t="s">
        <v>54</v>
      </c>
      <c r="H2662" s="1">
        <v>1250</v>
      </c>
    </row>
    <row r="2663" spans="2:8" x14ac:dyDescent="0.2">
      <c r="B2663" t="str">
        <f>VLOOKUP(G2663,PC!B:D,3,FALSE)</f>
        <v>RECEITA</v>
      </c>
      <c r="C2663" s="22">
        <v>2023</v>
      </c>
      <c r="D2663" t="s">
        <v>84</v>
      </c>
      <c r="F2663" t="str">
        <f>VLOOKUP(G2663,PC!B:D,2,FALSE)</f>
        <v>RECEITA</v>
      </c>
      <c r="G2663" s="4" t="s">
        <v>54</v>
      </c>
      <c r="H2663" s="1">
        <v>850</v>
      </c>
    </row>
    <row r="2664" spans="2:8" x14ac:dyDescent="0.2">
      <c r="B2664" t="str">
        <f>VLOOKUP(G2664,PC!B:D,3,FALSE)</f>
        <v>RECEITA</v>
      </c>
      <c r="C2664" s="22">
        <v>2023</v>
      </c>
      <c r="D2664" t="s">
        <v>84</v>
      </c>
      <c r="F2664" t="str">
        <f>VLOOKUP(G2664,PC!B:D,2,FALSE)</f>
        <v>RECEITA</v>
      </c>
      <c r="G2664" s="4" t="s">
        <v>54</v>
      </c>
      <c r="H2664" s="1">
        <f>264+36+40+146.5+150</f>
        <v>636.5</v>
      </c>
    </row>
    <row r="2665" spans="2:8" x14ac:dyDescent="0.2">
      <c r="B2665" t="str">
        <f>VLOOKUP(G2665,PC!B:D,3,FALSE)</f>
        <v>RECEITA</v>
      </c>
      <c r="C2665" s="22">
        <v>2023</v>
      </c>
      <c r="D2665" t="s">
        <v>84</v>
      </c>
      <c r="F2665" t="str">
        <f>VLOOKUP(G2665,PC!B:D,2,FALSE)</f>
        <v>RECEITA</v>
      </c>
      <c r="G2665" s="4" t="s">
        <v>54</v>
      </c>
      <c r="H2665" s="1">
        <v>2050</v>
      </c>
    </row>
    <row r="2666" spans="2:8" x14ac:dyDescent="0.2">
      <c r="B2666" t="str">
        <f>VLOOKUP(G2666,PC!B:D,3,FALSE)</f>
        <v>DESPESA PESSOAL</v>
      </c>
      <c r="C2666" s="22">
        <v>2023</v>
      </c>
      <c r="D2666" t="s">
        <v>84</v>
      </c>
      <c r="F2666" t="str">
        <f>VLOOKUP(G2666,PC!B:D,2,FALSE)</f>
        <v>DESPESA PESSOAL</v>
      </c>
      <c r="G2666" s="4" t="s">
        <v>68</v>
      </c>
      <c r="H2666" s="1">
        <v>40</v>
      </c>
    </row>
    <row r="2667" spans="2:8" x14ac:dyDescent="0.2">
      <c r="B2667" t="str">
        <f>VLOOKUP(G2667,PC!B:D,3,FALSE)</f>
        <v>CPV</v>
      </c>
      <c r="C2667" s="22">
        <v>2023</v>
      </c>
      <c r="D2667" t="s">
        <v>84</v>
      </c>
      <c r="F2667" t="str">
        <f>VLOOKUP(G2667,PC!B:D,2,FALSE)</f>
        <v>COMIDA</v>
      </c>
      <c r="G2667" s="4" t="s">
        <v>146</v>
      </c>
      <c r="H2667" s="1">
        <v>130</v>
      </c>
    </row>
    <row r="2668" spans="2:8" x14ac:dyDescent="0.2">
      <c r="B2668" t="str">
        <f>VLOOKUP(G2668,PC!B:D,3,FALSE)</f>
        <v>RECEITA</v>
      </c>
      <c r="C2668" s="22">
        <v>2023</v>
      </c>
      <c r="D2668" t="s">
        <v>84</v>
      </c>
      <c r="F2668" t="str">
        <f>VLOOKUP(G2668,PC!B:D,2,FALSE)</f>
        <v>RECEITA</v>
      </c>
      <c r="G2668" s="4" t="s">
        <v>59</v>
      </c>
      <c r="H2668" s="1">
        <v>2800</v>
      </c>
    </row>
    <row r="2669" spans="2:8" x14ac:dyDescent="0.2">
      <c r="B2669" t="str">
        <f>VLOOKUP(G2669,PC!B:D,3,FALSE)</f>
        <v>RECEITA</v>
      </c>
      <c r="C2669" s="22">
        <v>2023</v>
      </c>
      <c r="D2669" t="s">
        <v>84</v>
      </c>
      <c r="F2669" t="str">
        <f>VLOOKUP(G2669,PC!B:D,2,FALSE)</f>
        <v>RECEITA</v>
      </c>
      <c r="G2669" s="4" t="s">
        <v>54</v>
      </c>
      <c r="H2669" s="1">
        <v>1260</v>
      </c>
    </row>
    <row r="2670" spans="2:8" x14ac:dyDescent="0.2">
      <c r="B2670" t="str">
        <f>VLOOKUP(G2670,PC!B:D,3,FALSE)</f>
        <v>RECEITA</v>
      </c>
      <c r="C2670" s="22">
        <v>2023</v>
      </c>
      <c r="D2670" t="s">
        <v>84</v>
      </c>
      <c r="F2670" t="str">
        <f>VLOOKUP(G2670,PC!B:D,2,FALSE)</f>
        <v>RECEITA</v>
      </c>
      <c r="G2670" s="4" t="s">
        <v>54</v>
      </c>
      <c r="H2670" s="1">
        <v>450</v>
      </c>
    </row>
    <row r="2671" spans="2:8" x14ac:dyDescent="0.2">
      <c r="B2671" t="str">
        <f>VLOOKUP(G2671,PC!B:D,3,FALSE)</f>
        <v>RECEITA</v>
      </c>
      <c r="C2671" s="22">
        <v>2023</v>
      </c>
      <c r="D2671" t="s">
        <v>84</v>
      </c>
      <c r="F2671" t="str">
        <f>VLOOKUP(G2671,PC!B:D,2,FALSE)</f>
        <v>RECEITA</v>
      </c>
      <c r="G2671" s="4" t="s">
        <v>54</v>
      </c>
      <c r="H2671" s="1">
        <f>60+70.5+184.5+75.5</f>
        <v>390.5</v>
      </c>
    </row>
    <row r="2672" spans="2:8" x14ac:dyDescent="0.2">
      <c r="B2672" t="str">
        <f>VLOOKUP(G2672,PC!B:D,3,FALSE)</f>
        <v>RECEITA</v>
      </c>
      <c r="C2672" s="22">
        <v>2023</v>
      </c>
      <c r="D2672" t="s">
        <v>84</v>
      </c>
      <c r="F2672" t="str">
        <f>VLOOKUP(G2672,PC!B:D,2,FALSE)</f>
        <v>RECEITA</v>
      </c>
      <c r="G2672" s="4" t="s">
        <v>54</v>
      </c>
      <c r="H2672" s="1">
        <v>1700</v>
      </c>
    </row>
    <row r="2673" spans="2:8" x14ac:dyDescent="0.2">
      <c r="B2673" t="str">
        <f>VLOOKUP(G2673,PC!B:D,3,FALSE)</f>
        <v>SERV. PUBLICOS</v>
      </c>
      <c r="C2673" s="22">
        <v>2023</v>
      </c>
      <c r="D2673" t="s">
        <v>84</v>
      </c>
      <c r="F2673" t="str">
        <f>VLOOKUP(G2673,PC!B:D,2,FALSE)</f>
        <v>SERV. PUBLICOS</v>
      </c>
      <c r="G2673" s="4" t="s">
        <v>104</v>
      </c>
      <c r="H2673" s="1">
        <v>300</v>
      </c>
    </row>
    <row r="2674" spans="2:8" x14ac:dyDescent="0.2">
      <c r="B2674" t="str">
        <f>VLOOKUP(G2674,PC!B:D,3,FALSE)</f>
        <v>DESPESA PESSOAL</v>
      </c>
      <c r="C2674" s="22">
        <v>2023</v>
      </c>
      <c r="D2674" t="s">
        <v>84</v>
      </c>
      <c r="F2674" t="str">
        <f>VLOOKUP(G2674,PC!B:D,2,FALSE)</f>
        <v>DESPESA PESSOAL</v>
      </c>
      <c r="G2674" s="4" t="s">
        <v>56</v>
      </c>
      <c r="H2674" s="1">
        <v>90</v>
      </c>
    </row>
    <row r="2675" spans="2:8" x14ac:dyDescent="0.2">
      <c r="B2675" t="str">
        <f>VLOOKUP(G2675,PC!B:D,3,FALSE)</f>
        <v>DESPESA PESSOAL</v>
      </c>
      <c r="C2675" s="22">
        <v>2023</v>
      </c>
      <c r="D2675" t="s">
        <v>84</v>
      </c>
      <c r="F2675" t="str">
        <f>VLOOKUP(G2675,PC!B:D,2,FALSE)</f>
        <v>DESPESA PESSOAL</v>
      </c>
      <c r="G2675" s="4" t="s">
        <v>56</v>
      </c>
      <c r="H2675" s="1">
        <v>790</v>
      </c>
    </row>
    <row r="2676" spans="2:8" x14ac:dyDescent="0.2">
      <c r="B2676" t="str">
        <f>VLOOKUP(G2676,PC!B:D,3,FALSE)</f>
        <v>RECEITA</v>
      </c>
      <c r="C2676" s="22">
        <v>2023</v>
      </c>
      <c r="D2676" t="s">
        <v>84</v>
      </c>
      <c r="F2676" t="str">
        <f>VLOOKUP(G2676,PC!B:D,2,FALSE)</f>
        <v>RECEITA</v>
      </c>
      <c r="G2676" s="4" t="s">
        <v>54</v>
      </c>
      <c r="H2676" s="1">
        <f>H2674+H2675</f>
        <v>880</v>
      </c>
    </row>
    <row r="2677" spans="2:8" x14ac:dyDescent="0.2">
      <c r="B2677" t="str">
        <f>VLOOKUP(G2677,PC!B:D,3,FALSE)</f>
        <v>RECEITA</v>
      </c>
      <c r="C2677" s="22">
        <v>2023</v>
      </c>
      <c r="D2677" t="s">
        <v>84</v>
      </c>
      <c r="F2677" t="str">
        <f>VLOOKUP(G2677,PC!B:D,2,FALSE)</f>
        <v>RECEITA</v>
      </c>
      <c r="G2677" s="4" t="s">
        <v>54</v>
      </c>
      <c r="H2677" s="1">
        <f>17.6+186+210+34+30</f>
        <v>477.6</v>
      </c>
    </row>
    <row r="2678" spans="2:8" x14ac:dyDescent="0.2">
      <c r="B2678" t="str">
        <f>VLOOKUP(G2678,PC!B:D,3,FALSE)</f>
        <v>RECEITA</v>
      </c>
      <c r="C2678" s="22">
        <v>2023</v>
      </c>
      <c r="D2678" t="s">
        <v>84</v>
      </c>
      <c r="F2678" t="str">
        <f>VLOOKUP(G2678,PC!B:D,2,FALSE)</f>
        <v>RECEITA</v>
      </c>
      <c r="G2678" s="4" t="s">
        <v>54</v>
      </c>
      <c r="H2678" s="1">
        <v>1200</v>
      </c>
    </row>
    <row r="2679" spans="2:8" x14ac:dyDescent="0.2">
      <c r="B2679" t="str">
        <f>VLOOKUP(G2679,PC!B:D,3,FALSE)</f>
        <v>RECEITA</v>
      </c>
      <c r="C2679" s="22">
        <v>2023</v>
      </c>
      <c r="D2679" t="s">
        <v>84</v>
      </c>
      <c r="F2679" t="str">
        <f>VLOOKUP(G2679,PC!B:D,2,FALSE)</f>
        <v>RECEITA</v>
      </c>
      <c r="G2679" s="4" t="s">
        <v>54</v>
      </c>
      <c r="H2679" s="1">
        <v>1000</v>
      </c>
    </row>
    <row r="2680" spans="2:8" x14ac:dyDescent="0.2">
      <c r="B2680" t="str">
        <f>VLOOKUP(G2680,PC!B:D,3,FALSE)</f>
        <v>DESPESA PESSOAL</v>
      </c>
      <c r="C2680" s="22">
        <v>2023</v>
      </c>
      <c r="D2680" t="s">
        <v>84</v>
      </c>
      <c r="F2680" t="str">
        <f>VLOOKUP(G2680,PC!B:D,2,FALSE)</f>
        <v>DESPESA PESSOAL</v>
      </c>
      <c r="G2680" s="4" t="s">
        <v>56</v>
      </c>
      <c r="H2680" s="1">
        <v>210</v>
      </c>
    </row>
    <row r="2681" spans="2:8" x14ac:dyDescent="0.2">
      <c r="B2681" t="str">
        <f>VLOOKUP(G2681,PC!B:D,3,FALSE)</f>
        <v>DESPESA PESSOAL</v>
      </c>
      <c r="C2681" s="22">
        <v>2023</v>
      </c>
      <c r="D2681" t="s">
        <v>84</v>
      </c>
      <c r="F2681" t="str">
        <f>VLOOKUP(G2681,PC!B:D,2,FALSE)</f>
        <v>DESPESA PESSOAL</v>
      </c>
      <c r="G2681" s="4" t="s">
        <v>56</v>
      </c>
      <c r="H2681" s="1">
        <v>30</v>
      </c>
    </row>
    <row r="2682" spans="2:8" x14ac:dyDescent="0.2">
      <c r="B2682" t="str">
        <f>VLOOKUP(G2682,PC!B:D,3,FALSE)</f>
        <v>DESPESA PESSOAL</v>
      </c>
      <c r="C2682" s="22">
        <v>2023</v>
      </c>
      <c r="D2682" t="s">
        <v>84</v>
      </c>
      <c r="F2682" t="str">
        <f>VLOOKUP(G2682,PC!B:D,2,FALSE)</f>
        <v>DESPESA PESSOAL</v>
      </c>
      <c r="G2682" s="4" t="s">
        <v>68</v>
      </c>
      <c r="H2682" s="1">
        <v>186</v>
      </c>
    </row>
    <row r="2683" spans="2:8" x14ac:dyDescent="0.2">
      <c r="B2683" t="str">
        <f>VLOOKUP(G2683,PC!B:D,3,FALSE)</f>
        <v>RECEITA</v>
      </c>
      <c r="C2683" s="22">
        <v>2023</v>
      </c>
      <c r="D2683" t="s">
        <v>84</v>
      </c>
      <c r="F2683" t="str">
        <f>VLOOKUP(G2683,PC!B:D,2,FALSE)</f>
        <v>RECEITA</v>
      </c>
      <c r="G2683" s="4" t="s">
        <v>54</v>
      </c>
      <c r="H2683" s="1">
        <v>350</v>
      </c>
    </row>
    <row r="2684" spans="2:8" x14ac:dyDescent="0.2">
      <c r="B2684" t="str">
        <f>VLOOKUP(G2684,PC!B:D,3,FALSE)</f>
        <v>RECEITA</v>
      </c>
      <c r="C2684" s="22">
        <v>2023</v>
      </c>
      <c r="D2684" t="s">
        <v>84</v>
      </c>
      <c r="F2684" t="str">
        <f>VLOOKUP(G2684,PC!B:D,2,FALSE)</f>
        <v>RECEITA</v>
      </c>
      <c r="G2684" s="4" t="s">
        <v>54</v>
      </c>
      <c r="H2684" s="1">
        <v>3200</v>
      </c>
    </row>
    <row r="2685" spans="2:8" x14ac:dyDescent="0.2">
      <c r="B2685" t="str">
        <f>VLOOKUP(G2685,PC!B:D,3,FALSE)</f>
        <v>DESPESA PESSOAL</v>
      </c>
      <c r="C2685" s="22">
        <v>2023</v>
      </c>
      <c r="D2685" t="s">
        <v>84</v>
      </c>
      <c r="F2685" t="str">
        <f>VLOOKUP(G2685,PC!B:D,2,FALSE)</f>
        <v>DESPESA PESSOAL</v>
      </c>
      <c r="G2685" s="4" t="s">
        <v>56</v>
      </c>
      <c r="H2685" s="1">
        <v>350</v>
      </c>
    </row>
    <row r="2686" spans="2:8" x14ac:dyDescent="0.2">
      <c r="B2686" t="str">
        <f>VLOOKUP(G2686,PC!B:D,3,FALSE)</f>
        <v>DESPESA PESSOAL</v>
      </c>
      <c r="C2686" s="22">
        <v>2023</v>
      </c>
      <c r="D2686" t="s">
        <v>84</v>
      </c>
      <c r="F2686" t="str">
        <f>VLOOKUP(G2686,PC!B:D,2,FALSE)</f>
        <v>DESPESA PESSOAL</v>
      </c>
      <c r="G2686" s="4" t="s">
        <v>124</v>
      </c>
      <c r="H2686" s="1">
        <v>650</v>
      </c>
    </row>
    <row r="2687" spans="2:8" x14ac:dyDescent="0.2">
      <c r="B2687" t="str">
        <f>VLOOKUP(G2687,PC!B:D,3,FALSE)</f>
        <v>RECEITA</v>
      </c>
      <c r="C2687" s="22">
        <v>2023</v>
      </c>
      <c r="D2687" t="s">
        <v>84</v>
      </c>
      <c r="F2687" t="str">
        <f>VLOOKUP(G2687,PC!B:D,2,FALSE)</f>
        <v>RECEITA</v>
      </c>
      <c r="G2687" s="4" t="s">
        <v>54</v>
      </c>
      <c r="H2687" s="1">
        <v>750</v>
      </c>
    </row>
    <row r="2688" spans="2:8" x14ac:dyDescent="0.2">
      <c r="B2688" t="str">
        <f>VLOOKUP(G2688,PC!B:D,3,FALSE)</f>
        <v>RECEITA</v>
      </c>
      <c r="C2688" s="22">
        <v>2023</v>
      </c>
      <c r="D2688" t="s">
        <v>84</v>
      </c>
      <c r="F2688" t="str">
        <f>VLOOKUP(G2688,PC!B:D,2,FALSE)</f>
        <v>RECEITA</v>
      </c>
      <c r="G2688" s="4" t="s">
        <v>54</v>
      </c>
      <c r="H2688" s="1">
        <v>500</v>
      </c>
    </row>
    <row r="2689" spans="2:8" x14ac:dyDescent="0.2">
      <c r="B2689" t="str">
        <f>VLOOKUP(G2689,PC!B:D,3,FALSE)</f>
        <v>DESPESA PESSOAL</v>
      </c>
      <c r="C2689" s="22">
        <v>2023</v>
      </c>
      <c r="D2689" t="s">
        <v>84</v>
      </c>
      <c r="F2689" t="str">
        <f>VLOOKUP(G2689,PC!B:D,2,FALSE)</f>
        <v>DESPESA PESSOAL</v>
      </c>
      <c r="G2689" s="4" t="s">
        <v>68</v>
      </c>
      <c r="H2689" s="1">
        <v>35</v>
      </c>
    </row>
    <row r="2690" spans="2:8" x14ac:dyDescent="0.2">
      <c r="B2690" t="str">
        <f>VLOOKUP(G2690,PC!B:D,3,FALSE)</f>
        <v>RECEITA</v>
      </c>
      <c r="C2690" s="22">
        <v>2023</v>
      </c>
      <c r="D2690" t="s">
        <v>84</v>
      </c>
      <c r="F2690" t="str">
        <f>VLOOKUP(G2690,PC!B:D,2,FALSE)</f>
        <v>RECEITA</v>
      </c>
      <c r="G2690" s="4" t="s">
        <v>54</v>
      </c>
      <c r="H2690" s="1">
        <v>1350</v>
      </c>
    </row>
    <row r="2691" spans="2:8" x14ac:dyDescent="0.2">
      <c r="B2691" t="str">
        <f>VLOOKUP(G2691,PC!B:D,3,FALSE)</f>
        <v>RECEITA</v>
      </c>
      <c r="C2691" s="22">
        <v>2023</v>
      </c>
      <c r="D2691" t="s">
        <v>84</v>
      </c>
      <c r="F2691" t="str">
        <f>VLOOKUP(G2691,PC!B:D,2,FALSE)</f>
        <v>RECEITA</v>
      </c>
      <c r="G2691" s="4" t="s">
        <v>54</v>
      </c>
      <c r="H2691" s="1">
        <f>250+240+70.5</f>
        <v>560.5</v>
      </c>
    </row>
    <row r="2692" spans="2:8" x14ac:dyDescent="0.2">
      <c r="B2692" t="str">
        <f>VLOOKUP(G2692,PC!B:D,3,FALSE)</f>
        <v>RECEITA</v>
      </c>
      <c r="C2692" s="22">
        <v>2023</v>
      </c>
      <c r="D2692" t="s">
        <v>84</v>
      </c>
      <c r="F2692" t="str">
        <f>VLOOKUP(G2692,PC!B:D,2,FALSE)</f>
        <v>RECEITA</v>
      </c>
      <c r="G2692" s="4" t="s">
        <v>54</v>
      </c>
      <c r="H2692" s="1">
        <v>350</v>
      </c>
    </row>
    <row r="2693" spans="2:8" x14ac:dyDescent="0.2">
      <c r="B2693" t="str">
        <f>VLOOKUP(G2693,PC!B:D,3,FALSE)</f>
        <v>RECEITA</v>
      </c>
      <c r="C2693" s="22">
        <v>2023</v>
      </c>
      <c r="D2693" t="s">
        <v>84</v>
      </c>
      <c r="F2693" t="str">
        <f>VLOOKUP(G2693,PC!B:D,2,FALSE)</f>
        <v>RECEITA</v>
      </c>
      <c r="G2693" s="4" t="s">
        <v>54</v>
      </c>
      <c r="H2693" s="1">
        <v>1700</v>
      </c>
    </row>
    <row r="2694" spans="2:8" x14ac:dyDescent="0.2">
      <c r="B2694" t="str">
        <f>VLOOKUP(G2694,PC!B:D,3,FALSE)</f>
        <v>RECEITA</v>
      </c>
      <c r="C2694" s="22">
        <v>2023</v>
      </c>
      <c r="D2694" t="s">
        <v>84</v>
      </c>
      <c r="F2694" t="str">
        <f>VLOOKUP(G2694,PC!B:D,2,FALSE)</f>
        <v>RECEITA</v>
      </c>
      <c r="G2694" s="4" t="s">
        <v>54</v>
      </c>
      <c r="H2694" s="1">
        <f>60+27+160.83+82+18.4</f>
        <v>348.23</v>
      </c>
    </row>
    <row r="2695" spans="2:8" x14ac:dyDescent="0.2">
      <c r="B2695" t="str">
        <f>VLOOKUP(G2695,PC!B:D,3,FALSE)</f>
        <v>RECEITA</v>
      </c>
      <c r="C2695" s="22">
        <v>2023</v>
      </c>
      <c r="D2695" t="s">
        <v>84</v>
      </c>
      <c r="F2695" t="str">
        <f>VLOOKUP(G2695,PC!B:D,2,FALSE)</f>
        <v>RECEITA</v>
      </c>
      <c r="G2695" s="4" t="s">
        <v>54</v>
      </c>
      <c r="H2695" s="1">
        <v>900</v>
      </c>
    </row>
    <row r="2696" spans="2:8" x14ac:dyDescent="0.2">
      <c r="B2696" t="str">
        <f>VLOOKUP(G2696,PC!B:D,3,FALSE)</f>
        <v>RECEITA</v>
      </c>
      <c r="C2696" s="22">
        <v>2023</v>
      </c>
      <c r="D2696" t="s">
        <v>84</v>
      </c>
      <c r="F2696" t="str">
        <f>VLOOKUP(G2696,PC!B:D,2,FALSE)</f>
        <v>RECEITA</v>
      </c>
      <c r="G2696" s="4" t="s">
        <v>54</v>
      </c>
      <c r="H2696" s="1">
        <v>500</v>
      </c>
    </row>
    <row r="2697" spans="2:8" x14ac:dyDescent="0.2">
      <c r="B2697" t="str">
        <f>VLOOKUP(G2697,PC!B:D,3,FALSE)</f>
        <v>RECEITA</v>
      </c>
      <c r="C2697" s="22">
        <v>2023</v>
      </c>
      <c r="D2697" t="s">
        <v>84</v>
      </c>
      <c r="F2697" t="str">
        <f>VLOOKUP(G2697,PC!B:D,2,FALSE)</f>
        <v>RECEITA</v>
      </c>
      <c r="G2697" s="4" t="s">
        <v>54</v>
      </c>
      <c r="H2697" s="1">
        <f>41+141+58+258+40+30+150+100</f>
        <v>818</v>
      </c>
    </row>
    <row r="2698" spans="2:8" x14ac:dyDescent="0.2">
      <c r="B2698" t="str">
        <f>VLOOKUP(G2698,PC!B:D,3,FALSE)</f>
        <v>RECEITA</v>
      </c>
      <c r="C2698" s="22">
        <v>2023</v>
      </c>
      <c r="D2698" t="s">
        <v>84</v>
      </c>
      <c r="F2698" t="str">
        <f>VLOOKUP(G2698,PC!B:D,2,FALSE)</f>
        <v>RECEITA</v>
      </c>
      <c r="G2698" s="4" t="s">
        <v>54</v>
      </c>
      <c r="H2698" s="1">
        <v>500</v>
      </c>
    </row>
    <row r="2699" spans="2:8" x14ac:dyDescent="0.2">
      <c r="B2699" t="str">
        <f>VLOOKUP(G2699,PC!B:D,3,FALSE)</f>
        <v>RECEITA</v>
      </c>
      <c r="C2699" s="22">
        <v>2023</v>
      </c>
      <c r="D2699" t="s">
        <v>84</v>
      </c>
      <c r="F2699" t="str">
        <f>VLOOKUP(G2699,PC!B:D,2,FALSE)</f>
        <v>RECEITA</v>
      </c>
      <c r="G2699" s="4" t="s">
        <v>54</v>
      </c>
      <c r="H2699" s="1">
        <v>1550</v>
      </c>
    </row>
    <row r="2700" spans="2:8" x14ac:dyDescent="0.2">
      <c r="B2700" t="str">
        <f>VLOOKUP(G2700,PC!B:D,3,FALSE)</f>
        <v>RECEITA</v>
      </c>
      <c r="C2700" s="22">
        <v>2023</v>
      </c>
      <c r="D2700" t="s">
        <v>84</v>
      </c>
      <c r="F2700" t="str">
        <f>VLOOKUP(G2700,PC!B:D,2,FALSE)</f>
        <v>RECEITA</v>
      </c>
      <c r="G2700" s="4" t="s">
        <v>54</v>
      </c>
      <c r="H2700" s="1">
        <f>228+126+469+156.3+177.1+38</f>
        <v>1194.3999999999999</v>
      </c>
    </row>
    <row r="2701" spans="2:8" x14ac:dyDescent="0.2">
      <c r="B2701" t="str">
        <f>VLOOKUP(G2701,PC!B:D,3,FALSE)</f>
        <v>RECEITA</v>
      </c>
      <c r="C2701" s="22">
        <v>2023</v>
      </c>
      <c r="D2701" t="s">
        <v>84</v>
      </c>
      <c r="F2701" t="str">
        <f>VLOOKUP(G2701,PC!B:D,2,FALSE)</f>
        <v>RECEITA</v>
      </c>
      <c r="G2701" s="4" t="s">
        <v>54</v>
      </c>
      <c r="H2701" s="1">
        <v>1500</v>
      </c>
    </row>
    <row r="2702" spans="2:8" x14ac:dyDescent="0.2">
      <c r="B2702" t="str">
        <f>VLOOKUP(G2702,PC!B:D,3,FALSE)</f>
        <v>RECEITA</v>
      </c>
      <c r="C2702" s="22">
        <v>2023</v>
      </c>
      <c r="D2702" t="s">
        <v>84</v>
      </c>
      <c r="F2702" t="str">
        <f>VLOOKUP(G2702,PC!B:D,2,FALSE)</f>
        <v>RECEITA</v>
      </c>
      <c r="G2702" s="4" t="s">
        <v>54</v>
      </c>
      <c r="H2702" s="1">
        <v>1250</v>
      </c>
    </row>
    <row r="2703" spans="2:8" x14ac:dyDescent="0.2">
      <c r="B2703" t="str">
        <f>VLOOKUP(G2703,PC!B:D,3,FALSE)</f>
        <v>RECEITA</v>
      </c>
      <c r="C2703" s="22">
        <v>2023</v>
      </c>
      <c r="D2703" t="s">
        <v>84</v>
      </c>
      <c r="F2703" t="str">
        <f>VLOOKUP(G2703,PC!B:D,2,FALSE)</f>
        <v>RECEITA</v>
      </c>
      <c r="G2703" s="4" t="s">
        <v>54</v>
      </c>
      <c r="H2703" s="1">
        <f>129+70+177.24</f>
        <v>376.24</v>
      </c>
    </row>
    <row r="2704" spans="2:8" x14ac:dyDescent="0.2">
      <c r="B2704" t="str">
        <f>VLOOKUP(G2704,PC!B:D,3,FALSE)</f>
        <v>DESPESA PESSOAL</v>
      </c>
      <c r="C2704" s="22">
        <v>2023</v>
      </c>
      <c r="D2704" t="s">
        <v>84</v>
      </c>
      <c r="F2704" t="str">
        <f>VLOOKUP(G2704,PC!B:D,2,FALSE)</f>
        <v>DESPESA PESSOAL</v>
      </c>
      <c r="G2704" s="4" t="s">
        <v>68</v>
      </c>
      <c r="H2704" s="1">
        <v>126</v>
      </c>
    </row>
    <row r="2705" spans="2:8" x14ac:dyDescent="0.2">
      <c r="B2705" t="str">
        <f>VLOOKUP(G2705,PC!B:D,3,FALSE)</f>
        <v>RECEITA</v>
      </c>
      <c r="C2705" s="22">
        <v>2023</v>
      </c>
      <c r="D2705" t="s">
        <v>84</v>
      </c>
      <c r="F2705" t="str">
        <f>VLOOKUP(G2705,PC!B:D,2,FALSE)</f>
        <v>RECEITA</v>
      </c>
      <c r="G2705" s="4" t="s">
        <v>54</v>
      </c>
      <c r="H2705" s="1">
        <v>100</v>
      </c>
    </row>
    <row r="2706" spans="2:8" x14ac:dyDescent="0.2">
      <c r="B2706" t="str">
        <f>VLOOKUP(G2706,PC!B:D,3,FALSE)</f>
        <v>RECEITA</v>
      </c>
      <c r="C2706" s="22">
        <v>2023</v>
      </c>
      <c r="D2706" t="s">
        <v>84</v>
      </c>
      <c r="F2706" t="str">
        <f>VLOOKUP(G2706,PC!B:D,2,FALSE)</f>
        <v>RECEITA</v>
      </c>
      <c r="G2706" s="4" t="s">
        <v>54</v>
      </c>
      <c r="H2706" s="1">
        <f>435+300+100+40</f>
        <v>875</v>
      </c>
    </row>
    <row r="2707" spans="2:8" x14ac:dyDescent="0.2">
      <c r="B2707" t="str">
        <f>VLOOKUP(G2707,PC!B:D,3,FALSE)</f>
        <v>RECEITA</v>
      </c>
      <c r="C2707" s="22">
        <v>2023</v>
      </c>
      <c r="D2707" t="s">
        <v>84</v>
      </c>
      <c r="F2707" t="str">
        <f>VLOOKUP(G2707,PC!B:D,2,FALSE)</f>
        <v>RECEITA</v>
      </c>
      <c r="G2707" s="4" t="s">
        <v>54</v>
      </c>
      <c r="H2707" s="1">
        <v>1200</v>
      </c>
    </row>
    <row r="2708" spans="2:8" x14ac:dyDescent="0.2">
      <c r="B2708" t="str">
        <f>VLOOKUP(G2708,PC!B:D,3,FALSE)</f>
        <v>RECEITA</v>
      </c>
      <c r="C2708" s="22">
        <v>2023</v>
      </c>
      <c r="D2708" t="s">
        <v>84</v>
      </c>
      <c r="F2708" t="str">
        <f>VLOOKUP(G2708,PC!B:D,2,FALSE)</f>
        <v>RECEITA</v>
      </c>
      <c r="G2708" s="4" t="s">
        <v>54</v>
      </c>
      <c r="H2708" s="1">
        <v>700</v>
      </c>
    </row>
    <row r="2709" spans="2:8" x14ac:dyDescent="0.2">
      <c r="B2709" t="str">
        <f>VLOOKUP(G2709,PC!B:D,3,FALSE)</f>
        <v>DESPESA PESSOAL</v>
      </c>
      <c r="C2709" s="22">
        <v>2023</v>
      </c>
      <c r="D2709" t="s">
        <v>84</v>
      </c>
      <c r="F2709" t="str">
        <f>VLOOKUP(G2709,PC!B:D,2,FALSE)</f>
        <v>DESPESA PESSOAL</v>
      </c>
      <c r="G2709" s="4" t="s">
        <v>56</v>
      </c>
      <c r="H2709" s="1">
        <v>40</v>
      </c>
    </row>
    <row r="2710" spans="2:8" x14ac:dyDescent="0.2">
      <c r="B2710" t="str">
        <f>VLOOKUP(G2710,PC!B:D,3,FALSE)</f>
        <v>DESPESA PESSOAL</v>
      </c>
      <c r="C2710" s="22">
        <v>2023</v>
      </c>
      <c r="D2710" t="s">
        <v>84</v>
      </c>
      <c r="F2710" t="str">
        <f>VLOOKUP(G2710,PC!B:D,2,FALSE)</f>
        <v>DESPESA PESSOAL</v>
      </c>
      <c r="G2710" s="4" t="s">
        <v>56</v>
      </c>
      <c r="H2710" s="1">
        <v>300</v>
      </c>
    </row>
    <row r="2711" spans="2:8" x14ac:dyDescent="0.2">
      <c r="B2711" t="str">
        <f>VLOOKUP(G2711,PC!B:D,3,FALSE)</f>
        <v>RECEITA</v>
      </c>
      <c r="C2711" s="22">
        <v>2023</v>
      </c>
      <c r="D2711" t="s">
        <v>84</v>
      </c>
      <c r="F2711" t="str">
        <f>VLOOKUP(G2711,PC!B:D,2,FALSE)</f>
        <v>RECEITA</v>
      </c>
      <c r="G2711" s="4" t="s">
        <v>54</v>
      </c>
      <c r="H2711" s="1">
        <f>110+410.4+10+350</f>
        <v>880.4</v>
      </c>
    </row>
    <row r="2712" spans="2:8" x14ac:dyDescent="0.2">
      <c r="B2712" t="str">
        <f>VLOOKUP(G2712,PC!B:D,3,FALSE)</f>
        <v>DESPESA PESSOAL</v>
      </c>
      <c r="C2712" s="22">
        <v>2023</v>
      </c>
      <c r="D2712" t="s">
        <v>84</v>
      </c>
      <c r="F2712" t="str">
        <f>VLOOKUP(G2712,PC!B:D,2,FALSE)</f>
        <v>DESPESA PESSOAL</v>
      </c>
      <c r="G2712" s="4" t="s">
        <v>56</v>
      </c>
      <c r="H2712" s="1">
        <v>350</v>
      </c>
    </row>
    <row r="2713" spans="2:8" x14ac:dyDescent="0.2">
      <c r="B2713" t="str">
        <f>VLOOKUP(G2713,PC!B:D,3,FALSE)</f>
        <v>DESPESA PESSOAL</v>
      </c>
      <c r="C2713" s="22">
        <v>2023</v>
      </c>
      <c r="D2713" t="s">
        <v>84</v>
      </c>
      <c r="F2713" t="str">
        <f>VLOOKUP(G2713,PC!B:D,2,FALSE)</f>
        <v>DESPESA PESSOAL</v>
      </c>
      <c r="G2713" s="4" t="s">
        <v>124</v>
      </c>
      <c r="H2713" s="1">
        <v>500</v>
      </c>
    </row>
    <row r="2714" spans="2:8" x14ac:dyDescent="0.2">
      <c r="B2714" t="str">
        <f>VLOOKUP(G2714,PC!B:D,3,FALSE)</f>
        <v>RECEITA</v>
      </c>
      <c r="C2714" s="22">
        <v>2023</v>
      </c>
      <c r="D2714" t="s">
        <v>84</v>
      </c>
      <c r="F2714" t="str">
        <f>VLOOKUP(G2714,PC!B:D,2,FALSE)</f>
        <v>RECEITA</v>
      </c>
      <c r="G2714" s="4" t="s">
        <v>54</v>
      </c>
      <c r="H2714" s="1">
        <v>1600</v>
      </c>
    </row>
    <row r="2715" spans="2:8" x14ac:dyDescent="0.2">
      <c r="B2715" t="str">
        <f>VLOOKUP(G2715,PC!B:D,3,FALSE)</f>
        <v>RECEITA</v>
      </c>
      <c r="C2715" s="22">
        <v>2023</v>
      </c>
      <c r="D2715" t="s">
        <v>84</v>
      </c>
      <c r="F2715" t="str">
        <f>VLOOKUP(G2715,PC!B:D,2,FALSE)</f>
        <v>RECEITA</v>
      </c>
      <c r="G2715" s="4" t="s">
        <v>54</v>
      </c>
      <c r="H2715" s="1">
        <f>H2713</f>
        <v>500</v>
      </c>
    </row>
    <row r="2716" spans="2:8" x14ac:dyDescent="0.2">
      <c r="B2716" t="str">
        <f>VLOOKUP(G2716,PC!B:D,3,FALSE)</f>
        <v>DESPESA PESSOAL</v>
      </c>
      <c r="C2716" s="22">
        <v>2023</v>
      </c>
      <c r="D2716" t="s">
        <v>84</v>
      </c>
      <c r="F2716" t="str">
        <f>VLOOKUP(G2716,PC!B:D,2,FALSE)</f>
        <v>DESPESA PESSOAL</v>
      </c>
      <c r="G2716" s="4" t="s">
        <v>68</v>
      </c>
      <c r="H2716" s="1">
        <v>10</v>
      </c>
    </row>
    <row r="2717" spans="2:8" x14ac:dyDescent="0.2">
      <c r="B2717" t="str">
        <f>VLOOKUP(G2717,PC!B:D,3,FALSE)</f>
        <v>RECEITA</v>
      </c>
      <c r="C2717" s="22">
        <v>2023</v>
      </c>
      <c r="D2717" t="s">
        <v>84</v>
      </c>
      <c r="F2717" t="str">
        <f>VLOOKUP(G2717,PC!B:D,2,FALSE)</f>
        <v>RECEITA</v>
      </c>
      <c r="G2717" s="4" t="s">
        <v>54</v>
      </c>
      <c r="H2717" s="1">
        <f>700+450+700+800</f>
        <v>2650</v>
      </c>
    </row>
    <row r="2718" spans="2:8" x14ac:dyDescent="0.2">
      <c r="B2718" t="str">
        <f>VLOOKUP(G2718,PC!B:D,3,FALSE)</f>
        <v>RECEITA</v>
      </c>
      <c r="C2718" s="22">
        <v>2023</v>
      </c>
      <c r="D2718" t="s">
        <v>84</v>
      </c>
      <c r="F2718" t="str">
        <f>VLOOKUP(G2718,PC!B:D,2,FALSE)</f>
        <v>RECEITA</v>
      </c>
      <c r="G2718" s="4" t="s">
        <v>54</v>
      </c>
      <c r="H2718" s="1">
        <f>47+80</f>
        <v>127</v>
      </c>
    </row>
    <row r="2719" spans="2:8" x14ac:dyDescent="0.2">
      <c r="B2719" t="str">
        <f>VLOOKUP(G2719,PC!B:D,3,FALSE)</f>
        <v>RECEITA</v>
      </c>
      <c r="C2719" s="22">
        <v>2023</v>
      </c>
      <c r="D2719" t="s">
        <v>84</v>
      </c>
      <c r="F2719" t="str">
        <f>VLOOKUP(G2719,PC!B:D,2,FALSE)</f>
        <v>RECEITA</v>
      </c>
      <c r="G2719" s="4" t="s">
        <v>54</v>
      </c>
      <c r="H2719" s="1">
        <v>1800</v>
      </c>
    </row>
    <row r="2720" spans="2:8" x14ac:dyDescent="0.2">
      <c r="B2720" t="str">
        <f>VLOOKUP(G2720,PC!B:D,3,FALSE)</f>
        <v>RECEITA</v>
      </c>
      <c r="C2720" s="22">
        <v>2023</v>
      </c>
      <c r="D2720" t="s">
        <v>84</v>
      </c>
      <c r="F2720" t="str">
        <f>VLOOKUP(G2720,PC!B:D,2,FALSE)</f>
        <v>RECEITA</v>
      </c>
      <c r="G2720" s="4" t="s">
        <v>54</v>
      </c>
      <c r="H2720" s="1">
        <f>80+105+114.2+71.2+111+30</f>
        <v>511.4</v>
      </c>
    </row>
    <row r="2721" spans="2:8" x14ac:dyDescent="0.2">
      <c r="B2721" t="str">
        <f>VLOOKUP(G2721,PC!B:D,3,FALSE)</f>
        <v>RECEITA</v>
      </c>
      <c r="C2721" s="22">
        <v>2023</v>
      </c>
      <c r="D2721" t="s">
        <v>84</v>
      </c>
      <c r="F2721" t="str">
        <f>VLOOKUP(G2721,PC!B:D,2,FALSE)</f>
        <v>RECEITA</v>
      </c>
      <c r="G2721" s="4" t="s">
        <v>54</v>
      </c>
      <c r="H2721" s="1">
        <f>2600+100+750+550+500</f>
        <v>4500</v>
      </c>
    </row>
    <row r="2722" spans="2:8" x14ac:dyDescent="0.2">
      <c r="B2722" t="str">
        <f>VLOOKUP(G2722,PC!B:D,3,FALSE)</f>
        <v>RECEITA</v>
      </c>
      <c r="C2722" s="22">
        <v>2023</v>
      </c>
      <c r="D2722" t="s">
        <v>84</v>
      </c>
      <c r="F2722" t="str">
        <f>VLOOKUP(G2722,PC!B:D,2,FALSE)</f>
        <v>RECEITA</v>
      </c>
      <c r="G2722" s="4" t="s">
        <v>59</v>
      </c>
      <c r="H2722" s="1">
        <v>373</v>
      </c>
    </row>
    <row r="2723" spans="2:8" x14ac:dyDescent="0.2">
      <c r="B2723" t="str">
        <f>VLOOKUP(G2723,PC!B:D,3,FALSE)</f>
        <v>RECEITA</v>
      </c>
      <c r="C2723" s="22">
        <v>2023</v>
      </c>
      <c r="D2723" t="s">
        <v>84</v>
      </c>
      <c r="F2723" t="str">
        <f>VLOOKUP(G2723,PC!B:D,2,FALSE)</f>
        <v>RECEITA</v>
      </c>
      <c r="G2723" s="4" t="s">
        <v>54</v>
      </c>
      <c r="H2723" s="1">
        <f>13+80+26+20+24+252.4+219+130</f>
        <v>764.4</v>
      </c>
    </row>
    <row r="2724" spans="2:8" x14ac:dyDescent="0.2">
      <c r="B2724" t="str">
        <f>VLOOKUP(G2724,PC!B:D,3,FALSE)</f>
        <v>DESPESA PESSOAL</v>
      </c>
      <c r="C2724" s="22">
        <v>2023</v>
      </c>
      <c r="D2724" t="s">
        <v>84</v>
      </c>
      <c r="F2724" t="str">
        <f>VLOOKUP(G2724,PC!B:D,2,FALSE)</f>
        <v>DESPESA PESSOAL</v>
      </c>
      <c r="G2724" s="4" t="s">
        <v>68</v>
      </c>
      <c r="H2724" s="1">
        <v>130</v>
      </c>
    </row>
    <row r="2725" spans="2:8" x14ac:dyDescent="0.2">
      <c r="B2725" t="str">
        <f>VLOOKUP(G2725,PC!B:D,3,FALSE)</f>
        <v>RECEITA</v>
      </c>
      <c r="C2725" s="22">
        <v>2023</v>
      </c>
      <c r="D2725" t="s">
        <v>84</v>
      </c>
      <c r="F2725" t="str">
        <f>VLOOKUP(G2725,PC!B:D,2,FALSE)</f>
        <v>RECEITA</v>
      </c>
      <c r="G2725" s="4" t="s">
        <v>54</v>
      </c>
      <c r="H2725" s="1">
        <v>300</v>
      </c>
    </row>
    <row r="2726" spans="2:8" x14ac:dyDescent="0.2">
      <c r="B2726" t="str">
        <f>VLOOKUP(G2726,PC!B:D,3,FALSE)</f>
        <v>RECEITA</v>
      </c>
      <c r="C2726" s="22">
        <v>2023</v>
      </c>
      <c r="D2726" t="s">
        <v>84</v>
      </c>
      <c r="F2726" t="str">
        <f>VLOOKUP(G2726,PC!B:D,2,FALSE)</f>
        <v>RECEITA</v>
      </c>
      <c r="G2726" s="4" t="s">
        <v>54</v>
      </c>
      <c r="H2726" s="1">
        <v>1950</v>
      </c>
    </row>
    <row r="2727" spans="2:8" x14ac:dyDescent="0.2">
      <c r="B2727" t="str">
        <f>VLOOKUP(G2727,PC!B:D,3,FALSE)</f>
        <v>RECEITA</v>
      </c>
      <c r="C2727" s="22">
        <v>2023</v>
      </c>
      <c r="D2727" t="s">
        <v>84</v>
      </c>
      <c r="F2727" t="str">
        <f>VLOOKUP(G2727,PC!B:D,2,FALSE)</f>
        <v>RECEITA</v>
      </c>
      <c r="G2727" s="4" t="s">
        <v>54</v>
      </c>
      <c r="H2727" s="1">
        <f>230+250+184.8+159.6+66+34</f>
        <v>924.4</v>
      </c>
    </row>
    <row r="2728" spans="2:8" x14ac:dyDescent="0.2">
      <c r="B2728" t="str">
        <f>VLOOKUP(G2728,PC!B:D,3,FALSE)</f>
        <v>RECEITA</v>
      </c>
      <c r="C2728" s="22">
        <v>2023</v>
      </c>
      <c r="D2728" t="s">
        <v>84</v>
      </c>
      <c r="F2728" t="str">
        <f>VLOOKUP(G2728,PC!B:D,2,FALSE)</f>
        <v>RECEITA</v>
      </c>
      <c r="G2728" s="4" t="s">
        <v>54</v>
      </c>
      <c r="H2728" s="1">
        <v>1900</v>
      </c>
    </row>
    <row r="2729" spans="2:8" x14ac:dyDescent="0.2">
      <c r="B2729" t="str">
        <f>VLOOKUP(G2729,PC!B:D,3,FALSE)</f>
        <v>RECEITA</v>
      </c>
      <c r="C2729" s="22">
        <v>2023</v>
      </c>
      <c r="D2729" t="s">
        <v>84</v>
      </c>
      <c r="F2729" t="str">
        <f>VLOOKUP(G2729,PC!B:D,2,FALSE)</f>
        <v>RECEITA</v>
      </c>
      <c r="G2729" s="4" t="s">
        <v>54</v>
      </c>
      <c r="H2729" s="1">
        <v>1650</v>
      </c>
    </row>
    <row r="2730" spans="2:8" x14ac:dyDescent="0.2">
      <c r="B2730" t="str">
        <f>VLOOKUP(G2730,PC!B:D,3,FALSE)</f>
        <v>RECEITA</v>
      </c>
      <c r="C2730" s="22">
        <v>2023</v>
      </c>
      <c r="D2730" t="s">
        <v>84</v>
      </c>
      <c r="F2730" t="str">
        <f>VLOOKUP(G2730,PC!B:D,2,FALSE)</f>
        <v>RECEITA</v>
      </c>
      <c r="G2730" s="4" t="s">
        <v>54</v>
      </c>
      <c r="H2730" s="1">
        <f>117+226+41.5+224+300</f>
        <v>908.5</v>
      </c>
    </row>
    <row r="2731" spans="2:8" x14ac:dyDescent="0.2">
      <c r="B2731" t="str">
        <f>VLOOKUP(G2731,PC!B:D,3,FALSE)</f>
        <v>RECEITA</v>
      </c>
      <c r="C2731" s="22">
        <v>2023</v>
      </c>
      <c r="D2731" t="s">
        <v>84</v>
      </c>
      <c r="F2731" t="str">
        <f>VLOOKUP(G2731,PC!B:D,2,FALSE)</f>
        <v>RECEITA</v>
      </c>
      <c r="G2731" s="4" t="s">
        <v>54</v>
      </c>
      <c r="H2731" s="1">
        <v>1000</v>
      </c>
    </row>
    <row r="2732" spans="2:8" x14ac:dyDescent="0.2">
      <c r="B2732" t="str">
        <f>VLOOKUP(G2732,PC!B:D,3,FALSE)</f>
        <v>RECEITA</v>
      </c>
      <c r="C2732" s="22">
        <v>2023</v>
      </c>
      <c r="D2732" t="s">
        <v>84</v>
      </c>
      <c r="F2732" t="str">
        <f>VLOOKUP(G2732,PC!B:D,2,FALSE)</f>
        <v>RECEITA</v>
      </c>
      <c r="G2732" s="4" t="s">
        <v>54</v>
      </c>
      <c r="H2732" s="1">
        <v>1200</v>
      </c>
    </row>
    <row r="2733" spans="2:8" x14ac:dyDescent="0.2">
      <c r="B2733" t="str">
        <f>VLOOKUP(G2733,PC!B:D,3,FALSE)</f>
        <v>RECEITA</v>
      </c>
      <c r="C2733" s="22">
        <v>2023</v>
      </c>
      <c r="D2733" t="s">
        <v>84</v>
      </c>
      <c r="F2733" t="str">
        <f>VLOOKUP(G2733,PC!B:D,2,FALSE)</f>
        <v>RECEITA</v>
      </c>
      <c r="G2733" s="4" t="s">
        <v>54</v>
      </c>
      <c r="H2733" s="1">
        <v>1250</v>
      </c>
    </row>
    <row r="2734" spans="2:8" x14ac:dyDescent="0.2">
      <c r="B2734" t="str">
        <f>VLOOKUP(G2734,PC!B:D,3,FALSE)</f>
        <v>DESPESA PESSOAL</v>
      </c>
      <c r="C2734" s="22">
        <v>2023</v>
      </c>
      <c r="D2734" t="s">
        <v>84</v>
      </c>
      <c r="F2734" t="str">
        <f>VLOOKUP(G2734,PC!B:D,2,FALSE)</f>
        <v>DESPESA PESSOAL</v>
      </c>
      <c r="G2734" s="4" t="s">
        <v>56</v>
      </c>
      <c r="H2734" s="1">
        <v>350</v>
      </c>
    </row>
    <row r="2735" spans="2:8" x14ac:dyDescent="0.2">
      <c r="B2735" t="str">
        <f>VLOOKUP(G2735,PC!B:D,3,FALSE)</f>
        <v>RECEITA</v>
      </c>
      <c r="C2735" s="22">
        <v>2023</v>
      </c>
      <c r="D2735" t="s">
        <v>84</v>
      </c>
      <c r="F2735" t="str">
        <f>VLOOKUP(G2735,PC!B:D,2,FALSE)</f>
        <v>RECEITA</v>
      </c>
      <c r="G2735" s="4" t="s">
        <v>54</v>
      </c>
      <c r="H2735" s="1">
        <v>2200</v>
      </c>
    </row>
    <row r="2736" spans="2:8" x14ac:dyDescent="0.2">
      <c r="B2736" t="str">
        <f>VLOOKUP(G2736,PC!B:D,3,FALSE)</f>
        <v>RECEITA</v>
      </c>
      <c r="C2736" s="22">
        <v>2023</v>
      </c>
      <c r="D2736" t="s">
        <v>84</v>
      </c>
      <c r="F2736" t="str">
        <f>VLOOKUP(G2736,PC!B:D,2,FALSE)</f>
        <v>RECEITA</v>
      </c>
      <c r="G2736" s="4" t="s">
        <v>54</v>
      </c>
      <c r="H2736" s="1">
        <v>350</v>
      </c>
    </row>
    <row r="2737" spans="2:8" x14ac:dyDescent="0.2">
      <c r="B2737" t="str">
        <f>VLOOKUP(G2737,PC!B:D,3,FALSE)</f>
        <v>RECEITA</v>
      </c>
      <c r="C2737" s="22">
        <v>2023</v>
      </c>
      <c r="D2737" t="s">
        <v>84</v>
      </c>
      <c r="F2737" t="str">
        <f>VLOOKUP(G2737,PC!B:D,2,FALSE)</f>
        <v>RECEITA</v>
      </c>
      <c r="G2737" s="4" t="s">
        <v>54</v>
      </c>
      <c r="H2737" s="1">
        <f>24+286</f>
        <v>310</v>
      </c>
    </row>
    <row r="2738" spans="2:8" x14ac:dyDescent="0.2">
      <c r="B2738" t="str">
        <f>VLOOKUP(G2738,PC!B:D,3,FALSE)</f>
        <v>RECEITA</v>
      </c>
      <c r="C2738" s="22">
        <v>2023</v>
      </c>
      <c r="D2738" t="s">
        <v>84</v>
      </c>
      <c r="F2738" t="str">
        <f>VLOOKUP(G2738,PC!B:D,2,FALSE)</f>
        <v>RECEITA</v>
      </c>
      <c r="G2738" s="4" t="s">
        <v>54</v>
      </c>
      <c r="H2738" s="1">
        <v>800</v>
      </c>
    </row>
    <row r="2739" spans="2:8" x14ac:dyDescent="0.2">
      <c r="B2739" t="str">
        <f>VLOOKUP(G2739,PC!B:D,3,FALSE)</f>
        <v>RECEITA</v>
      </c>
      <c r="C2739" s="22">
        <v>2023</v>
      </c>
      <c r="D2739" t="s">
        <v>84</v>
      </c>
      <c r="F2739" t="str">
        <f>VLOOKUP(G2739,PC!B:D,2,FALSE)</f>
        <v>RECEITA</v>
      </c>
      <c r="G2739" s="4" t="s">
        <v>54</v>
      </c>
      <c r="H2739" s="1">
        <v>900</v>
      </c>
    </row>
    <row r="2740" spans="2:8" x14ac:dyDescent="0.2">
      <c r="B2740" t="str">
        <f>VLOOKUP(G2740,PC!B:D,3,FALSE)</f>
        <v>RECEITA</v>
      </c>
      <c r="C2740" s="22">
        <v>2023</v>
      </c>
      <c r="D2740" t="s">
        <v>84</v>
      </c>
      <c r="F2740" t="str">
        <f>VLOOKUP(G2740,PC!B:D,2,FALSE)</f>
        <v>RECEITA</v>
      </c>
      <c r="G2740" s="4" t="s">
        <v>54</v>
      </c>
      <c r="H2740" s="1">
        <f>385+28+56.4+400+30</f>
        <v>899.4</v>
      </c>
    </row>
    <row r="2741" spans="2:8" x14ac:dyDescent="0.2">
      <c r="B2741" t="str">
        <f>VLOOKUP(G2741,PC!B:D,3,FALSE)</f>
        <v>RECEITA</v>
      </c>
      <c r="C2741" s="22">
        <v>2023</v>
      </c>
      <c r="D2741" t="s">
        <v>84</v>
      </c>
      <c r="F2741" t="str">
        <f>VLOOKUP(G2741,PC!B:D,2,FALSE)</f>
        <v>RECEITA</v>
      </c>
      <c r="G2741" s="4" t="s">
        <v>54</v>
      </c>
      <c r="H2741" s="1">
        <v>1750</v>
      </c>
    </row>
    <row r="2742" spans="2:8" x14ac:dyDescent="0.2">
      <c r="B2742" t="str">
        <f>VLOOKUP(G2742,PC!B:D,3,FALSE)</f>
        <v>RECEITA</v>
      </c>
      <c r="C2742" s="22">
        <v>2023</v>
      </c>
      <c r="D2742" t="s">
        <v>84</v>
      </c>
      <c r="F2742" t="str">
        <f>VLOOKUP(G2742,PC!B:D,2,FALSE)</f>
        <v>RECEITA</v>
      </c>
      <c r="G2742" s="4" t="s">
        <v>54</v>
      </c>
      <c r="H2742" s="1">
        <f>58+184+74+98+76+36</f>
        <v>526</v>
      </c>
    </row>
    <row r="2743" spans="2:8" x14ac:dyDescent="0.2">
      <c r="B2743" t="str">
        <f>VLOOKUP(G2743,PC!B:D,3,FALSE)</f>
        <v>RECEITA</v>
      </c>
      <c r="C2743" s="22">
        <v>2023</v>
      </c>
      <c r="D2743" t="s">
        <v>84</v>
      </c>
      <c r="F2743" t="str">
        <f>VLOOKUP(G2743,PC!B:D,2,FALSE)</f>
        <v>RECEITA</v>
      </c>
      <c r="G2743" s="4" t="s">
        <v>54</v>
      </c>
      <c r="H2743" s="1">
        <f>900+550+600</f>
        <v>2050</v>
      </c>
    </row>
    <row r="2744" spans="2:8" x14ac:dyDescent="0.2">
      <c r="B2744" t="str">
        <f>VLOOKUP(G2744,PC!B:D,3,FALSE)</f>
        <v>RECEITA</v>
      </c>
      <c r="C2744" s="22">
        <v>2023</v>
      </c>
      <c r="D2744" t="s">
        <v>84</v>
      </c>
      <c r="F2744" t="str">
        <f>VLOOKUP(G2744,PC!B:D,2,FALSE)</f>
        <v>RECEITA</v>
      </c>
      <c r="G2744" s="4" t="s">
        <v>54</v>
      </c>
      <c r="H2744" s="1">
        <f>274+63+30+48+60+230</f>
        <v>705</v>
      </c>
    </row>
    <row r="2745" spans="2:8" x14ac:dyDescent="0.2">
      <c r="B2745" t="str">
        <f>VLOOKUP(G2745,PC!B:D,3,FALSE)</f>
        <v>RECEITA</v>
      </c>
      <c r="C2745" s="22">
        <v>2023</v>
      </c>
      <c r="D2745" t="s">
        <v>84</v>
      </c>
      <c r="F2745" t="str">
        <f>VLOOKUP(G2745,PC!B:D,2,FALSE)</f>
        <v>RECEITA</v>
      </c>
      <c r="G2745" s="4" t="s">
        <v>54</v>
      </c>
      <c r="H2745" s="1">
        <v>500</v>
      </c>
    </row>
    <row r="2746" spans="2:8" x14ac:dyDescent="0.2">
      <c r="B2746" t="str">
        <f>VLOOKUP(G2746,PC!B:D,3,FALSE)</f>
        <v>RECEITA</v>
      </c>
      <c r="C2746" s="22">
        <v>2023</v>
      </c>
      <c r="D2746" t="s">
        <v>84</v>
      </c>
      <c r="F2746" t="str">
        <f>VLOOKUP(G2746,PC!B:D,2,FALSE)</f>
        <v>RECEITA</v>
      </c>
      <c r="G2746" s="4" t="s">
        <v>54</v>
      </c>
      <c r="H2746" s="1">
        <v>1300</v>
      </c>
    </row>
    <row r="2747" spans="2:8" x14ac:dyDescent="0.2">
      <c r="B2747" t="str">
        <f>VLOOKUP(G2747,PC!B:D,3,FALSE)</f>
        <v>DESPESA PESSOAL</v>
      </c>
      <c r="C2747" s="22">
        <v>2023</v>
      </c>
      <c r="D2747" t="s">
        <v>84</v>
      </c>
      <c r="F2747" t="str">
        <f>VLOOKUP(G2747,PC!B:D,2,FALSE)</f>
        <v>DESPESA PESSOAL</v>
      </c>
      <c r="G2747" s="4" t="s">
        <v>68</v>
      </c>
      <c r="H2747" s="1">
        <v>160</v>
      </c>
    </row>
    <row r="2748" spans="2:8" x14ac:dyDescent="0.2">
      <c r="B2748" t="str">
        <f>VLOOKUP(G2748,PC!B:D,3,FALSE)</f>
        <v>CPV</v>
      </c>
      <c r="C2748" s="22">
        <v>2023</v>
      </c>
      <c r="D2748" t="s">
        <v>84</v>
      </c>
      <c r="E2748" t="s">
        <v>129</v>
      </c>
      <c r="F2748" t="str">
        <f>VLOOKUP(G2748,PC!B:D,2,FALSE)</f>
        <v>COMIDA</v>
      </c>
      <c r="G2748" s="4" t="s">
        <v>33</v>
      </c>
      <c r="H2748" s="1">
        <v>250</v>
      </c>
    </row>
    <row r="2749" spans="2:8" x14ac:dyDescent="0.2">
      <c r="B2749" t="str">
        <f>VLOOKUP(G2749,PC!B:D,3,FALSE)</f>
        <v>RECEITA</v>
      </c>
      <c r="C2749" s="22">
        <v>2023</v>
      </c>
      <c r="D2749" t="s">
        <v>84</v>
      </c>
      <c r="F2749" t="str">
        <f>VLOOKUP(G2749,PC!B:D,2,FALSE)</f>
        <v>RECEITA</v>
      </c>
      <c r="G2749" s="4" t="s">
        <v>54</v>
      </c>
      <c r="H2749" s="1">
        <f>160+250+70+92.4+32</f>
        <v>604.4</v>
      </c>
    </row>
    <row r="2750" spans="2:8" x14ac:dyDescent="0.2">
      <c r="B2750" t="str">
        <f>VLOOKUP(G2750,PC!B:D,3,FALSE)</f>
        <v>RECEITA</v>
      </c>
      <c r="C2750" s="22">
        <v>2023</v>
      </c>
      <c r="D2750" t="s">
        <v>84</v>
      </c>
      <c r="F2750" t="str">
        <f>VLOOKUP(G2750,PC!B:D,2,FALSE)</f>
        <v>RECEITA</v>
      </c>
      <c r="G2750" s="4" t="s">
        <v>54</v>
      </c>
      <c r="H2750" s="1">
        <f>1900+600+500</f>
        <v>3000</v>
      </c>
    </row>
    <row r="2751" spans="2:8" x14ac:dyDescent="0.2">
      <c r="B2751" t="str">
        <f>VLOOKUP(G2751,PC!B:D,3,FALSE)</f>
        <v>RECEITA</v>
      </c>
      <c r="C2751" s="22">
        <v>2023</v>
      </c>
      <c r="D2751" t="s">
        <v>84</v>
      </c>
      <c r="F2751" t="str">
        <f>VLOOKUP(G2751,PC!B:D,2,FALSE)</f>
        <v>RECEITA</v>
      </c>
      <c r="G2751" s="4" t="s">
        <v>54</v>
      </c>
      <c r="H2751" s="1">
        <f>30+115+94+40+300</f>
        <v>579</v>
      </c>
    </row>
    <row r="2752" spans="2:8" x14ac:dyDescent="0.2">
      <c r="B2752" t="str">
        <f>VLOOKUP(G2752,PC!B:D,3,FALSE)</f>
        <v>DESPESA PESSOAL</v>
      </c>
      <c r="C2752" s="22">
        <v>2023</v>
      </c>
      <c r="D2752" t="s">
        <v>84</v>
      </c>
      <c r="F2752" t="str">
        <f>VLOOKUP(G2752,PC!B:D,2,FALSE)</f>
        <v>DESPESA PESSOAL</v>
      </c>
      <c r="G2752" s="4" t="s">
        <v>56</v>
      </c>
      <c r="H2752" s="1">
        <v>300</v>
      </c>
    </row>
    <row r="2753" spans="2:8" x14ac:dyDescent="0.2">
      <c r="B2753" t="str">
        <f>VLOOKUP(G2753,PC!B:D,3,FALSE)</f>
        <v>DESPESA PESSOAL</v>
      </c>
      <c r="C2753" s="22">
        <v>2023</v>
      </c>
      <c r="D2753" t="s">
        <v>84</v>
      </c>
      <c r="F2753" t="str">
        <f>VLOOKUP(G2753,PC!B:D,2,FALSE)</f>
        <v>DESPESA PESSOAL</v>
      </c>
      <c r="G2753" s="4" t="s">
        <v>56</v>
      </c>
      <c r="H2753" s="1">
        <v>40</v>
      </c>
    </row>
    <row r="2754" spans="2:8" x14ac:dyDescent="0.2">
      <c r="B2754" t="str">
        <f>VLOOKUP(G2754,PC!B:D,3,FALSE)</f>
        <v>RECEITA</v>
      </c>
      <c r="C2754" s="22">
        <v>2023</v>
      </c>
      <c r="D2754" t="s">
        <v>84</v>
      </c>
      <c r="F2754" t="str">
        <f>VLOOKUP(G2754,PC!B:D,2,FALSE)</f>
        <v>RECEITA</v>
      </c>
      <c r="G2754" s="4" t="s">
        <v>54</v>
      </c>
      <c r="H2754" s="1">
        <v>1800</v>
      </c>
    </row>
    <row r="2755" spans="2:8" x14ac:dyDescent="0.2">
      <c r="B2755" t="str">
        <f>VLOOKUP(G2755,PC!B:D,3,FALSE)</f>
        <v>RECEITA</v>
      </c>
      <c r="C2755" s="22">
        <v>2023</v>
      </c>
      <c r="D2755" t="s">
        <v>84</v>
      </c>
      <c r="F2755" t="str">
        <f>VLOOKUP(G2755,PC!B:D,2,FALSE)</f>
        <v>RECEITA</v>
      </c>
      <c r="G2755" s="4" t="s">
        <v>54</v>
      </c>
      <c r="H2755" s="1">
        <v>1000</v>
      </c>
    </row>
    <row r="2756" spans="2:8" x14ac:dyDescent="0.2">
      <c r="B2756" t="str">
        <f>VLOOKUP(G2756,PC!B:D,3,FALSE)</f>
        <v>RECEITA</v>
      </c>
      <c r="C2756" s="22">
        <v>2023</v>
      </c>
      <c r="D2756" t="s">
        <v>84</v>
      </c>
      <c r="F2756" t="str">
        <f>VLOOKUP(G2756,PC!B:D,2,FALSE)</f>
        <v>RECEITA</v>
      </c>
      <c r="G2756" s="4" t="s">
        <v>54</v>
      </c>
      <c r="H2756" s="1">
        <v>1650</v>
      </c>
    </row>
    <row r="2757" spans="2:8" x14ac:dyDescent="0.2">
      <c r="B2757" t="str">
        <f>VLOOKUP(G2757,PC!B:D,3,FALSE)</f>
        <v>DESPESA PESSOAL</v>
      </c>
      <c r="C2757" s="22">
        <v>2023</v>
      </c>
      <c r="D2757" t="s">
        <v>84</v>
      </c>
      <c r="F2757" t="str">
        <f>VLOOKUP(G2757,PC!B:D,2,FALSE)</f>
        <v>DESPESA PESSOAL</v>
      </c>
      <c r="G2757" s="4" t="s">
        <v>56</v>
      </c>
      <c r="H2757" s="1">
        <v>350</v>
      </c>
    </row>
    <row r="2758" spans="2:8" x14ac:dyDescent="0.2">
      <c r="B2758" t="str">
        <f>VLOOKUP(G2758,PC!B:D,3,FALSE)</f>
        <v>RECEITA</v>
      </c>
      <c r="C2758" s="22">
        <v>2023</v>
      </c>
      <c r="D2758" t="s">
        <v>84</v>
      </c>
      <c r="F2758" t="str">
        <f>VLOOKUP(G2758,PC!B:D,2,FALSE)</f>
        <v>RECEITA</v>
      </c>
      <c r="G2758" s="4" t="s">
        <v>54</v>
      </c>
      <c r="H2758" s="1">
        <f>150+350</f>
        <v>500</v>
      </c>
    </row>
    <row r="2759" spans="2:8" x14ac:dyDescent="0.2">
      <c r="B2759" t="str">
        <f>VLOOKUP(G2759,PC!B:D,3,FALSE)</f>
        <v>RECEITA</v>
      </c>
      <c r="C2759" s="22">
        <v>2023</v>
      </c>
      <c r="D2759" t="s">
        <v>84</v>
      </c>
      <c r="F2759" t="str">
        <f>VLOOKUP(G2759,PC!B:D,2,FALSE)</f>
        <v>RECEITA</v>
      </c>
      <c r="G2759" s="4" t="s">
        <v>54</v>
      </c>
      <c r="H2759" s="1">
        <v>500</v>
      </c>
    </row>
    <row r="2760" spans="2:8" x14ac:dyDescent="0.2">
      <c r="B2760" t="str">
        <f>VLOOKUP(G2760,PC!B:D,3,FALSE)</f>
        <v>RECEITA</v>
      </c>
      <c r="C2760" s="22">
        <v>2023</v>
      </c>
      <c r="D2760" t="s">
        <v>84</v>
      </c>
      <c r="F2760" t="str">
        <f>VLOOKUP(G2760,PC!B:D,2,FALSE)</f>
        <v>RECEITA</v>
      </c>
      <c r="G2760" s="4" t="s">
        <v>54</v>
      </c>
      <c r="H2760" s="1">
        <f>210+47+35</f>
        <v>292</v>
      </c>
    </row>
    <row r="2761" spans="2:8" x14ac:dyDescent="0.2">
      <c r="B2761" t="str">
        <f>VLOOKUP(G2761,PC!B:D,3,FALSE)</f>
        <v>RECEITA</v>
      </c>
      <c r="C2761" s="22">
        <v>2023</v>
      </c>
      <c r="D2761" t="s">
        <v>84</v>
      </c>
      <c r="F2761" t="str">
        <f>VLOOKUP(G2761,PC!B:D,2,FALSE)</f>
        <v>RECEITA</v>
      </c>
      <c r="G2761" s="4" t="s">
        <v>54</v>
      </c>
      <c r="H2761" s="1">
        <v>1000</v>
      </c>
    </row>
    <row r="2762" spans="2:8" x14ac:dyDescent="0.2">
      <c r="B2762" t="str">
        <f>VLOOKUP(G2762,PC!B:D,3,FALSE)</f>
        <v>RECEITA</v>
      </c>
      <c r="C2762" s="22">
        <v>2023</v>
      </c>
      <c r="D2762" t="s">
        <v>84</v>
      </c>
      <c r="F2762" t="str">
        <f>VLOOKUP(G2762,PC!B:D,2,FALSE)</f>
        <v>RECEITA</v>
      </c>
      <c r="G2762" s="4" t="s">
        <v>54</v>
      </c>
      <c r="H2762" s="1">
        <v>1000</v>
      </c>
    </row>
    <row r="2763" spans="2:8" x14ac:dyDescent="0.2">
      <c r="B2763" t="str">
        <f>VLOOKUP(G2763,PC!B:D,3,FALSE)</f>
        <v>RECEITA</v>
      </c>
      <c r="C2763" s="22">
        <v>2023</v>
      </c>
      <c r="D2763" t="s">
        <v>84</v>
      </c>
      <c r="F2763" t="str">
        <f>VLOOKUP(G2763,PC!B:D,2,FALSE)</f>
        <v>RECEITA</v>
      </c>
      <c r="G2763" s="4" t="s">
        <v>54</v>
      </c>
      <c r="H2763" s="1">
        <f>200+80</f>
        <v>280</v>
      </c>
    </row>
    <row r="2764" spans="2:8" x14ac:dyDescent="0.2">
      <c r="B2764" t="str">
        <f>VLOOKUP(G2764,PC!B:D,3,FALSE)</f>
        <v>RECEITA</v>
      </c>
      <c r="C2764" s="22">
        <v>2023</v>
      </c>
      <c r="D2764" t="s">
        <v>84</v>
      </c>
      <c r="F2764" t="str">
        <f>VLOOKUP(G2764,PC!B:D,2,FALSE)</f>
        <v>RECEITA</v>
      </c>
      <c r="G2764" s="4" t="s">
        <v>54</v>
      </c>
      <c r="H2764" s="1">
        <f>400+600+2150</f>
        <v>3150</v>
      </c>
    </row>
    <row r="2765" spans="2:8" x14ac:dyDescent="0.2">
      <c r="B2765" t="str">
        <f>VLOOKUP(G2765,PC!B:D,3,FALSE)</f>
        <v>RECEITA</v>
      </c>
      <c r="C2765" s="22">
        <v>2023</v>
      </c>
      <c r="D2765" t="s">
        <v>84</v>
      </c>
      <c r="F2765" t="str">
        <f>VLOOKUP(G2765,PC!B:D,2,FALSE)</f>
        <v>RECEITA</v>
      </c>
      <c r="G2765" s="4" t="s">
        <v>137</v>
      </c>
      <c r="H2765" s="1">
        <v>2586.1999999999998</v>
      </c>
    </row>
    <row r="2766" spans="2:8" x14ac:dyDescent="0.2">
      <c r="B2766" t="str">
        <f>VLOOKUP(G2766,PC!B:D,3,FALSE)</f>
        <v>RECEITA</v>
      </c>
      <c r="C2766" s="22">
        <v>2023</v>
      </c>
      <c r="D2766" t="s">
        <v>84</v>
      </c>
      <c r="F2766" t="str">
        <f>VLOOKUP(G2766,PC!B:D,2,FALSE)</f>
        <v>RECEITA</v>
      </c>
      <c r="G2766" s="4" t="s">
        <v>136</v>
      </c>
      <c r="H2766" s="1">
        <v>22728.9</v>
      </c>
    </row>
    <row r="2767" spans="2:8" x14ac:dyDescent="0.2">
      <c r="B2767" t="str">
        <f>VLOOKUP(G2767,PC!B:D,3,FALSE)</f>
        <v>DESCONTO DE FATURAMENTO</v>
      </c>
      <c r="C2767" s="22">
        <v>2023</v>
      </c>
      <c r="D2767" t="s">
        <v>84</v>
      </c>
      <c r="F2767" t="str">
        <f>VLOOKUP(G2767,PC!B:D,2,FALSE)</f>
        <v>OUTROS DESCONTOS</v>
      </c>
      <c r="G2767" s="4" t="s">
        <v>63</v>
      </c>
      <c r="H2767" s="1">
        <f>0.01*H2766</f>
        <v>227.28900000000002</v>
      </c>
    </row>
    <row r="2768" spans="2:8" x14ac:dyDescent="0.2">
      <c r="B2768" t="str">
        <f>VLOOKUP(G2768,PC!B:D,3,FALSE)</f>
        <v>DESCONTO DE FATURAMENTO</v>
      </c>
      <c r="C2768" s="22">
        <v>2023</v>
      </c>
      <c r="D2768" t="s">
        <v>84</v>
      </c>
      <c r="F2768" t="str">
        <f>VLOOKUP(G2768,PC!B:D,2,FALSE)</f>
        <v>OUTROS DESCONTOS</v>
      </c>
      <c r="G2768" s="4" t="s">
        <v>63</v>
      </c>
      <c r="H2768" s="1">
        <f>0.02*H2765</f>
        <v>51.723999999999997</v>
      </c>
    </row>
    <row r="2769" spans="2:8" x14ac:dyDescent="0.2">
      <c r="B2769" t="str">
        <f>VLOOKUP(G2769,PC!B:D,3,FALSE)</f>
        <v>RECEITA</v>
      </c>
      <c r="C2769" s="22">
        <v>2023</v>
      </c>
      <c r="D2769" t="s">
        <v>84</v>
      </c>
      <c r="F2769" t="str">
        <f>VLOOKUP(G2769,PC!B:D,2,FALSE)</f>
        <v>RECEITA</v>
      </c>
      <c r="G2769" s="4" t="s">
        <v>136</v>
      </c>
      <c r="H2769" s="1">
        <v>242.8</v>
      </c>
    </row>
    <row r="2770" spans="2:8" x14ac:dyDescent="0.2">
      <c r="B2770" t="str">
        <f>VLOOKUP(G2770,PC!B:D,3,FALSE)</f>
        <v>DESCONTO DE FATURAMENTO</v>
      </c>
      <c r="C2770" s="22">
        <v>2023</v>
      </c>
      <c r="D2770" t="s">
        <v>84</v>
      </c>
      <c r="F2770" t="str">
        <f>VLOOKUP(G2770,PC!B:D,2,FALSE)</f>
        <v>OUTROS DESCONTOS</v>
      </c>
      <c r="G2770" s="4" t="s">
        <v>63</v>
      </c>
      <c r="H2770" s="1">
        <f>H2769-239.42</f>
        <v>3.3800000000000239</v>
      </c>
    </row>
    <row r="2771" spans="2:8" x14ac:dyDescent="0.2">
      <c r="B2771" t="str">
        <f>VLOOKUP(G2771,PC!B:D,3,FALSE)</f>
        <v>RECEITA</v>
      </c>
      <c r="C2771" s="22">
        <v>2023</v>
      </c>
      <c r="D2771" t="s">
        <v>84</v>
      </c>
      <c r="F2771" t="str">
        <f>VLOOKUP(G2771,PC!B:D,2,FALSE)</f>
        <v>RECEITA</v>
      </c>
      <c r="G2771" s="4" t="s">
        <v>137</v>
      </c>
      <c r="H2771" s="1">
        <v>8260</v>
      </c>
    </row>
    <row r="2772" spans="2:8" x14ac:dyDescent="0.2">
      <c r="B2772" t="str">
        <f>VLOOKUP(G2772,PC!B:D,3,FALSE)</f>
        <v>DESCONTO DE FATURAMENTO</v>
      </c>
      <c r="C2772" s="22">
        <v>2023</v>
      </c>
      <c r="D2772" t="s">
        <v>84</v>
      </c>
      <c r="F2772" t="str">
        <f>VLOOKUP(G2772,PC!B:D,2,FALSE)</f>
        <v>OUTROS DESCONTOS</v>
      </c>
      <c r="G2772" s="4" t="s">
        <v>63</v>
      </c>
      <c r="H2772" s="1">
        <f>H2771-8083.75</f>
        <v>176.25</v>
      </c>
    </row>
    <row r="2773" spans="2:8" x14ac:dyDescent="0.2">
      <c r="B2773" t="str">
        <f>VLOOKUP(G2773,PC!B:D,3,FALSE)</f>
        <v>SERV. PUBLICOS</v>
      </c>
      <c r="C2773" s="22">
        <v>2023</v>
      </c>
      <c r="D2773" t="s">
        <v>84</v>
      </c>
      <c r="F2773" t="str">
        <f>VLOOKUP(G2773,PC!B:D,2,FALSE)</f>
        <v>SERV. PUBLICOS</v>
      </c>
      <c r="G2773" s="4" t="s">
        <v>91</v>
      </c>
      <c r="H2773" s="1">
        <f>1574.52+37.2</f>
        <v>1611.72</v>
      </c>
    </row>
    <row r="2774" spans="2:8" x14ac:dyDescent="0.2">
      <c r="B2774" t="str">
        <f>VLOOKUP(G2774,PC!B:D,3,FALSE)</f>
        <v>CPV</v>
      </c>
      <c r="C2774" s="22">
        <v>2023</v>
      </c>
      <c r="D2774" t="s">
        <v>94</v>
      </c>
      <c r="E2774" t="s">
        <v>28</v>
      </c>
      <c r="F2774" t="str">
        <f>VLOOKUP(G2774,PC!B:D,2,FALSE)</f>
        <v>BEBIDAS</v>
      </c>
      <c r="G2774" s="4" t="s">
        <v>26</v>
      </c>
      <c r="H2774" s="1">
        <v>5159.6000000000004</v>
      </c>
    </row>
    <row r="2775" spans="2:8" x14ac:dyDescent="0.2">
      <c r="B2775" t="str">
        <f>VLOOKUP(G2775,PC!B:D,3,FALSE)</f>
        <v>CPV</v>
      </c>
      <c r="C2775" s="22">
        <v>2023</v>
      </c>
      <c r="D2775" t="s">
        <v>94</v>
      </c>
      <c r="E2775" t="s">
        <v>28</v>
      </c>
      <c r="F2775" t="str">
        <f>VLOOKUP(G2775,PC!B:D,2,FALSE)</f>
        <v>BEBIDAS</v>
      </c>
      <c r="G2775" s="4" t="s">
        <v>25</v>
      </c>
      <c r="H2775" s="1">
        <v>1063.23</v>
      </c>
    </row>
    <row r="2776" spans="2:8" x14ac:dyDescent="0.2">
      <c r="B2776" t="str">
        <f>VLOOKUP(G2776,PC!B:D,3,FALSE)</f>
        <v>CPV</v>
      </c>
      <c r="C2776" s="22">
        <v>2023</v>
      </c>
      <c r="D2776" t="s">
        <v>94</v>
      </c>
      <c r="E2776" t="s">
        <v>14</v>
      </c>
      <c r="F2776" t="str">
        <f>VLOOKUP(G2776,PC!B:D,2,FALSE)</f>
        <v>BEBIDAS</v>
      </c>
      <c r="G2776" s="4" t="s">
        <v>26</v>
      </c>
      <c r="H2776" s="1">
        <v>85.58</v>
      </c>
    </row>
    <row r="2777" spans="2:8" x14ac:dyDescent="0.2">
      <c r="B2777" t="str">
        <f>VLOOKUP(G2777,PC!B:D,3,FALSE)</f>
        <v>CPV</v>
      </c>
      <c r="C2777" s="22">
        <v>2023</v>
      </c>
      <c r="D2777" t="s">
        <v>94</v>
      </c>
      <c r="E2777" t="s">
        <v>14</v>
      </c>
      <c r="F2777" t="str">
        <f>VLOOKUP(G2777,PC!B:D,2,FALSE)</f>
        <v>BEBIDAS</v>
      </c>
      <c r="G2777" s="4" t="s">
        <v>25</v>
      </c>
      <c r="H2777" s="1">
        <f>516.62-H2776</f>
        <v>431.04</v>
      </c>
    </row>
    <row r="2778" spans="2:8" x14ac:dyDescent="0.2">
      <c r="B2778" t="str">
        <f>VLOOKUP(G2778,PC!B:D,3,FALSE)</f>
        <v>CPV</v>
      </c>
      <c r="C2778" s="22">
        <v>2023</v>
      </c>
      <c r="D2778" t="s">
        <v>94</v>
      </c>
      <c r="E2778" t="s">
        <v>163</v>
      </c>
      <c r="F2778" t="str">
        <f>VLOOKUP(G2778,PC!B:D,2,FALSE)</f>
        <v>LIMPEZA</v>
      </c>
      <c r="G2778" s="4" t="s">
        <v>43</v>
      </c>
      <c r="H2778" s="1">
        <v>400</v>
      </c>
    </row>
    <row r="2779" spans="2:8" x14ac:dyDescent="0.2">
      <c r="B2779" t="str">
        <f>VLOOKUP(G2779,PC!B:D,3,FALSE)</f>
        <v>CPV</v>
      </c>
      <c r="C2779" s="22">
        <v>2023</v>
      </c>
      <c r="D2779" t="s">
        <v>94</v>
      </c>
      <c r="E2779" t="s">
        <v>163</v>
      </c>
      <c r="F2779" t="str">
        <f>VLOOKUP(G2779,PC!B:D,2,FALSE)</f>
        <v>HIGIENE</v>
      </c>
      <c r="G2779" s="4" t="s">
        <v>36</v>
      </c>
      <c r="H2779" s="1">
        <v>400</v>
      </c>
    </row>
    <row r="2780" spans="2:8" x14ac:dyDescent="0.2">
      <c r="B2780" t="str">
        <f>VLOOKUP(G2780,PC!B:D,3,FALSE)</f>
        <v>CPV</v>
      </c>
      <c r="C2780" s="22">
        <v>2023</v>
      </c>
      <c r="D2780" t="s">
        <v>94</v>
      </c>
      <c r="E2780" t="s">
        <v>163</v>
      </c>
      <c r="F2780" t="str">
        <f>VLOOKUP(G2780,PC!B:D,2,FALSE)</f>
        <v>OUTROS</v>
      </c>
      <c r="G2780" s="4" t="s">
        <v>37</v>
      </c>
      <c r="H2780" s="1">
        <f>1051.58-800</f>
        <v>251.57999999999993</v>
      </c>
    </row>
    <row r="2781" spans="2:8" x14ac:dyDescent="0.2">
      <c r="B2781" t="e">
        <f>VLOOKUP(G2781,PC!B:D,3,FALSE)</f>
        <v>#N/A</v>
      </c>
      <c r="C2781" s="22">
        <v>2023</v>
      </c>
      <c r="D2781" t="s">
        <v>94</v>
      </c>
      <c r="F2781" t="e">
        <f>VLOOKUP(G2781,PC!B:D,2,FALSE)</f>
        <v>#N/A</v>
      </c>
      <c r="G2781" s="4" t="s">
        <v>204</v>
      </c>
      <c r="H2781" s="1">
        <v>29.2</v>
      </c>
    </row>
    <row r="2782" spans="2:8" x14ac:dyDescent="0.2">
      <c r="B2782" t="str">
        <f>VLOOKUP(G2782,PC!B:D,3,FALSE)</f>
        <v>CPV</v>
      </c>
      <c r="C2782" s="22">
        <v>2023</v>
      </c>
      <c r="D2782" t="s">
        <v>94</v>
      </c>
      <c r="E2782" t="s">
        <v>19</v>
      </c>
      <c r="F2782" t="str">
        <f>VLOOKUP(G2782,PC!B:D,2,FALSE)</f>
        <v>COMIDA</v>
      </c>
      <c r="G2782" s="4" t="s">
        <v>145</v>
      </c>
      <c r="H2782" s="1">
        <v>189</v>
      </c>
    </row>
    <row r="2783" spans="2:8" x14ac:dyDescent="0.2">
      <c r="B2783" t="str">
        <f>VLOOKUP(G2783,PC!B:D,3,FALSE)</f>
        <v>CPV</v>
      </c>
      <c r="C2783" s="22">
        <v>2023</v>
      </c>
      <c r="D2783" t="s">
        <v>94</v>
      </c>
      <c r="E2783" t="s">
        <v>24</v>
      </c>
      <c r="F2783" t="str">
        <f>VLOOKUP(G2783,PC!B:D,2,FALSE)</f>
        <v>COMIDA</v>
      </c>
      <c r="G2783" s="4" t="s">
        <v>33</v>
      </c>
      <c r="H2783" s="1">
        <v>490.71</v>
      </c>
    </row>
    <row r="2784" spans="2:8" x14ac:dyDescent="0.2">
      <c r="B2784" t="str">
        <f>VLOOKUP(G2784,PC!B:D,3,FALSE)</f>
        <v>CPV</v>
      </c>
      <c r="C2784" s="22">
        <v>2023</v>
      </c>
      <c r="D2784" t="s">
        <v>94</v>
      </c>
      <c r="E2784" t="s">
        <v>28</v>
      </c>
      <c r="F2784" t="str">
        <f>VLOOKUP(G2784,PC!B:D,2,FALSE)</f>
        <v>BEBIDAS</v>
      </c>
      <c r="G2784" s="4" t="s">
        <v>26</v>
      </c>
      <c r="H2784" s="1">
        <v>3534.86</v>
      </c>
    </row>
    <row r="2785" spans="2:8" x14ac:dyDescent="0.2">
      <c r="B2785" t="str">
        <f>VLOOKUP(G2785,PC!B:D,3,FALSE)</f>
        <v>CPV</v>
      </c>
      <c r="C2785" s="22">
        <v>2023</v>
      </c>
      <c r="D2785" t="s">
        <v>94</v>
      </c>
      <c r="E2785" t="s">
        <v>28</v>
      </c>
      <c r="F2785" t="str">
        <f>VLOOKUP(G2785,PC!B:D,2,FALSE)</f>
        <v>BEBIDAS</v>
      </c>
      <c r="G2785" s="4" t="s">
        <v>26</v>
      </c>
      <c r="H2785" s="1">
        <v>239.87</v>
      </c>
    </row>
    <row r="2786" spans="2:8" x14ac:dyDescent="0.2">
      <c r="B2786" t="str">
        <f>VLOOKUP(G2786,PC!B:D,3,FALSE)</f>
        <v>CPV</v>
      </c>
      <c r="C2786" s="22">
        <v>2023</v>
      </c>
      <c r="D2786" t="s">
        <v>94</v>
      </c>
      <c r="E2786" t="s">
        <v>45</v>
      </c>
      <c r="F2786" t="str">
        <f>VLOOKUP(G2786,PC!B:D,2,FALSE)</f>
        <v>HIGIENE</v>
      </c>
      <c r="G2786" s="4" t="s">
        <v>36</v>
      </c>
      <c r="H2786" s="1">
        <v>300</v>
      </c>
    </row>
    <row r="2787" spans="2:8" x14ac:dyDescent="0.2">
      <c r="B2787" t="str">
        <f>VLOOKUP(G2787,PC!B:D,3,FALSE)</f>
        <v>CPV</v>
      </c>
      <c r="C2787" s="22">
        <v>2023</v>
      </c>
      <c r="D2787" t="s">
        <v>94</v>
      </c>
      <c r="E2787" t="s">
        <v>45</v>
      </c>
      <c r="F2787" t="str">
        <f>VLOOKUP(G2787,PC!B:D,2,FALSE)</f>
        <v>OUTROS</v>
      </c>
      <c r="G2787" s="4" t="s">
        <v>37</v>
      </c>
      <c r="H2787" s="1">
        <f>648.95-H2786</f>
        <v>348.95000000000005</v>
      </c>
    </row>
    <row r="2788" spans="2:8" x14ac:dyDescent="0.2">
      <c r="B2788" t="e">
        <f>VLOOKUP(G2788,PC!B:D,3,FALSE)</f>
        <v>#N/A</v>
      </c>
      <c r="C2788" s="22">
        <v>2023</v>
      </c>
      <c r="D2788" t="s">
        <v>94</v>
      </c>
      <c r="F2788" t="e">
        <f>VLOOKUP(G2788,PC!B:D,2,FALSE)</f>
        <v>#N/A</v>
      </c>
      <c r="G2788" s="4" t="s">
        <v>205</v>
      </c>
      <c r="H2788" s="1">
        <v>24.01</v>
      </c>
    </row>
    <row r="2789" spans="2:8" x14ac:dyDescent="0.2">
      <c r="B2789" t="str">
        <f>VLOOKUP(G2789,PC!B:D,3,FALSE)</f>
        <v>CPV</v>
      </c>
      <c r="C2789" s="22">
        <v>2023</v>
      </c>
      <c r="D2789" t="s">
        <v>94</v>
      </c>
      <c r="E2789" t="s">
        <v>160</v>
      </c>
      <c r="F2789" t="str">
        <f>VLOOKUP(G2789,PC!B:D,2,FALSE)</f>
        <v>LIMPEZA</v>
      </c>
      <c r="G2789" s="4" t="s">
        <v>43</v>
      </c>
      <c r="H2789" s="1">
        <v>249.61</v>
      </c>
    </row>
    <row r="2790" spans="2:8" x14ac:dyDescent="0.2">
      <c r="B2790" t="str">
        <f>VLOOKUP(G2790,PC!B:D,3,FALSE)</f>
        <v>CPV</v>
      </c>
      <c r="C2790" s="22">
        <v>2023</v>
      </c>
      <c r="D2790" t="s">
        <v>94</v>
      </c>
      <c r="E2790" t="s">
        <v>13</v>
      </c>
      <c r="F2790" t="str">
        <f>VLOOKUP(G2790,PC!B:D,2,FALSE)</f>
        <v>COMIDA</v>
      </c>
      <c r="G2790" s="4" t="s">
        <v>33</v>
      </c>
      <c r="H2790" s="1">
        <v>144.06</v>
      </c>
    </row>
    <row r="2791" spans="2:8" x14ac:dyDescent="0.2">
      <c r="B2791" t="str">
        <f>VLOOKUP(G2791,PC!B:D,3,FALSE)</f>
        <v>CPV</v>
      </c>
      <c r="C2791" s="22">
        <v>2023</v>
      </c>
      <c r="D2791" t="s">
        <v>94</v>
      </c>
      <c r="E2791" t="s">
        <v>100</v>
      </c>
      <c r="F2791" t="str">
        <f>VLOOKUP(G2791,PC!B:D,2,FALSE)</f>
        <v>SOBREMESA</v>
      </c>
      <c r="G2791" s="4" t="s">
        <v>23</v>
      </c>
      <c r="H2791" s="1">
        <v>71.75</v>
      </c>
    </row>
    <row r="2792" spans="2:8" x14ac:dyDescent="0.2">
      <c r="B2792" t="str">
        <f>VLOOKUP(G2792,PC!B:D,3,FALSE)</f>
        <v>DESPESA PESSOAL</v>
      </c>
      <c r="C2792" s="22">
        <v>2023</v>
      </c>
      <c r="D2792" t="s">
        <v>94</v>
      </c>
      <c r="F2792" t="str">
        <f>VLOOKUP(G2792,PC!B:D,2,FALSE)</f>
        <v>DESPESA PESSOAL</v>
      </c>
      <c r="G2792" s="4" t="s">
        <v>68</v>
      </c>
      <c r="H2792" s="1">
        <v>236.73</v>
      </c>
    </row>
    <row r="2793" spans="2:8" x14ac:dyDescent="0.2">
      <c r="B2793" t="str">
        <f>VLOOKUP(G2793,PC!B:D,3,FALSE)</f>
        <v>CPV</v>
      </c>
      <c r="C2793" s="22">
        <v>2023</v>
      </c>
      <c r="D2793" t="s">
        <v>94</v>
      </c>
      <c r="E2793" t="s">
        <v>14</v>
      </c>
      <c r="F2793" t="str">
        <f>VLOOKUP(G2793,PC!B:D,2,FALSE)</f>
        <v>BEBIDAS</v>
      </c>
      <c r="G2793" s="4" t="s">
        <v>25</v>
      </c>
      <c r="H2793" s="1">
        <v>74.459999999999994</v>
      </c>
    </row>
    <row r="2794" spans="2:8" x14ac:dyDescent="0.2">
      <c r="B2794" t="str">
        <f>VLOOKUP(G2794,PC!B:D,3,FALSE)</f>
        <v>CPV</v>
      </c>
      <c r="C2794" s="22">
        <v>2023</v>
      </c>
      <c r="D2794" t="s">
        <v>94</v>
      </c>
      <c r="E2794" t="s">
        <v>19</v>
      </c>
      <c r="F2794" t="str">
        <f>VLOOKUP(G2794,PC!B:D,2,FALSE)</f>
        <v>COMIDA</v>
      </c>
      <c r="G2794" s="4" t="s">
        <v>38</v>
      </c>
      <c r="H2794" s="1">
        <v>200</v>
      </c>
    </row>
    <row r="2795" spans="2:8" x14ac:dyDescent="0.2">
      <c r="B2795" t="str">
        <f>VLOOKUP(G2795,PC!B:D,3,FALSE)</f>
        <v>CPV</v>
      </c>
      <c r="C2795" s="22">
        <v>2023</v>
      </c>
      <c r="D2795" t="s">
        <v>94</v>
      </c>
      <c r="E2795" t="s">
        <v>19</v>
      </c>
      <c r="F2795" t="str">
        <f>VLOOKUP(G2795,PC!B:D,2,FALSE)</f>
        <v>OUTROS</v>
      </c>
      <c r="G2795" s="4" t="s">
        <v>37</v>
      </c>
      <c r="H2795" s="1">
        <f>354.03-H2794</f>
        <v>154.02999999999997</v>
      </c>
    </row>
    <row r="2796" spans="2:8" x14ac:dyDescent="0.2">
      <c r="B2796" t="str">
        <f>VLOOKUP(G2796,PC!B:D,3,FALSE)</f>
        <v>CPV</v>
      </c>
      <c r="C2796" s="22">
        <v>2023</v>
      </c>
      <c r="D2796" t="s">
        <v>94</v>
      </c>
      <c r="E2796" t="s">
        <v>28</v>
      </c>
      <c r="F2796" t="str">
        <f>VLOOKUP(G2796,PC!B:D,2,FALSE)</f>
        <v>BEBIDAS</v>
      </c>
      <c r="G2796" s="4" t="s">
        <v>26</v>
      </c>
      <c r="H2796" s="1">
        <v>256.2</v>
      </c>
    </row>
    <row r="2797" spans="2:8" x14ac:dyDescent="0.2">
      <c r="B2797" t="str">
        <f>VLOOKUP(G2797,PC!B:D,3,FALSE)</f>
        <v>CPV</v>
      </c>
      <c r="C2797" s="22">
        <v>2023</v>
      </c>
      <c r="D2797" t="s">
        <v>94</v>
      </c>
      <c r="E2797" t="s">
        <v>175</v>
      </c>
      <c r="F2797" t="str">
        <f>VLOOKUP(G2797,PC!B:D,2,FALSE)</f>
        <v>BEBIDAS</v>
      </c>
      <c r="G2797" s="4" t="s">
        <v>25</v>
      </c>
      <c r="H2797" s="1">
        <v>253</v>
      </c>
    </row>
    <row r="2798" spans="2:8" x14ac:dyDescent="0.2">
      <c r="B2798" t="str">
        <f>VLOOKUP(G2798,PC!B:D,3,FALSE)</f>
        <v>CPV</v>
      </c>
      <c r="C2798" s="22">
        <v>2023</v>
      </c>
      <c r="D2798" t="s">
        <v>94</v>
      </c>
      <c r="E2798" t="s">
        <v>24</v>
      </c>
      <c r="F2798" t="str">
        <f>VLOOKUP(G2798,PC!B:D,2,FALSE)</f>
        <v>COMIDA</v>
      </c>
      <c r="G2798" s="4" t="s">
        <v>33</v>
      </c>
      <c r="H2798" s="1">
        <v>263.45</v>
      </c>
    </row>
    <row r="2799" spans="2:8" x14ac:dyDescent="0.2">
      <c r="B2799" t="str">
        <f>VLOOKUP(G2799,PC!B:D,3,FALSE)</f>
        <v>CPV</v>
      </c>
      <c r="C2799" s="22">
        <v>2023</v>
      </c>
      <c r="D2799" t="s">
        <v>94</v>
      </c>
      <c r="E2799" t="s">
        <v>156</v>
      </c>
      <c r="F2799" t="str">
        <f>VLOOKUP(G2799,PC!B:D,2,FALSE)</f>
        <v>BEBIDAS</v>
      </c>
      <c r="G2799" s="4" t="s">
        <v>26</v>
      </c>
      <c r="H2799" s="1">
        <v>414.9</v>
      </c>
    </row>
    <row r="2800" spans="2:8" x14ac:dyDescent="0.2">
      <c r="B2800" t="str">
        <f>VLOOKUP(G2800,PC!B:D,3,FALSE)</f>
        <v>CPV</v>
      </c>
      <c r="C2800" s="22">
        <v>2023</v>
      </c>
      <c r="D2800" t="s">
        <v>94</v>
      </c>
      <c r="E2800" t="s">
        <v>40</v>
      </c>
      <c r="F2800" t="str">
        <f>VLOOKUP(G2800,PC!B:D,2,FALSE)</f>
        <v>BEBIDAS</v>
      </c>
      <c r="G2800" s="4" t="s">
        <v>26</v>
      </c>
      <c r="H2800" s="1">
        <v>64</v>
      </c>
    </row>
    <row r="2801" spans="2:8" x14ac:dyDescent="0.2">
      <c r="B2801" t="str">
        <f>VLOOKUP(G2801,PC!B:D,3,FALSE)</f>
        <v>CPV</v>
      </c>
      <c r="C2801" s="22">
        <v>2023</v>
      </c>
      <c r="D2801" t="s">
        <v>94</v>
      </c>
      <c r="E2801" t="s">
        <v>14</v>
      </c>
      <c r="F2801" t="str">
        <f>VLOOKUP(G2801,PC!B:D,2,FALSE)</f>
        <v>BEBIDAS</v>
      </c>
      <c r="G2801" s="4" t="s">
        <v>25</v>
      </c>
      <c r="H2801" s="1">
        <v>727.91</v>
      </c>
    </row>
    <row r="2802" spans="2:8" x14ac:dyDescent="0.2">
      <c r="B2802" t="str">
        <f>VLOOKUP(G2802,PC!B:D,3,FALSE)</f>
        <v>CPV</v>
      </c>
      <c r="C2802" s="22">
        <v>2023</v>
      </c>
      <c r="D2802" t="s">
        <v>94</v>
      </c>
      <c r="E2802" t="s">
        <v>206</v>
      </c>
      <c r="F2802" t="str">
        <f>VLOOKUP(G2802,PC!B:D,2,FALSE)</f>
        <v>HIGIENE</v>
      </c>
      <c r="G2802" s="4" t="s">
        <v>36</v>
      </c>
      <c r="H2802" s="1">
        <v>264.76</v>
      </c>
    </row>
    <row r="2803" spans="2:8" x14ac:dyDescent="0.2">
      <c r="B2803" t="str">
        <f>VLOOKUP(G2803,PC!B:D,3,FALSE)</f>
        <v>CPV</v>
      </c>
      <c r="C2803" s="22">
        <v>2023</v>
      </c>
      <c r="D2803" t="s">
        <v>94</v>
      </c>
      <c r="E2803" t="s">
        <v>207</v>
      </c>
      <c r="F2803" t="str">
        <f>VLOOKUP(G2803,PC!B:D,2,FALSE)</f>
        <v>HIGIENE</v>
      </c>
      <c r="G2803" s="4" t="s">
        <v>36</v>
      </c>
      <c r="H2803" s="1">
        <v>275.92</v>
      </c>
    </row>
    <row r="2804" spans="2:8" x14ac:dyDescent="0.2">
      <c r="B2804" t="str">
        <f>VLOOKUP(G2804,PC!B:D,3,FALSE)</f>
        <v>CPV</v>
      </c>
      <c r="C2804" s="22">
        <v>2023</v>
      </c>
      <c r="D2804" t="s">
        <v>94</v>
      </c>
      <c r="E2804" t="s">
        <v>207</v>
      </c>
      <c r="F2804" t="str">
        <f>VLOOKUP(G2804,PC!B:D,2,FALSE)</f>
        <v>COMIDA</v>
      </c>
      <c r="G2804" s="4" t="s">
        <v>38</v>
      </c>
      <c r="H2804" s="1">
        <v>189.96</v>
      </c>
    </row>
    <row r="2805" spans="2:8" x14ac:dyDescent="0.2">
      <c r="B2805" t="str">
        <f>VLOOKUP(G2805,PC!B:D,3,FALSE)</f>
        <v>CPV</v>
      </c>
      <c r="C2805" s="22">
        <v>2023</v>
      </c>
      <c r="D2805" t="s">
        <v>94</v>
      </c>
      <c r="E2805" t="s">
        <v>21</v>
      </c>
      <c r="F2805" t="str">
        <f>VLOOKUP(G2805,PC!B:D,2,FALSE)</f>
        <v>SOBREMESA</v>
      </c>
      <c r="G2805" s="4" t="s">
        <v>23</v>
      </c>
      <c r="H2805" s="1">
        <v>119.5</v>
      </c>
    </row>
    <row r="2806" spans="2:8" x14ac:dyDescent="0.2">
      <c r="B2806" t="str">
        <f>VLOOKUP(G2806,PC!B:D,3,FALSE)</f>
        <v>CPV</v>
      </c>
      <c r="C2806" s="22">
        <v>2023</v>
      </c>
      <c r="D2806" t="s">
        <v>94</v>
      </c>
      <c r="E2806" t="s">
        <v>101</v>
      </c>
      <c r="F2806" t="str">
        <f>VLOOKUP(G2806,PC!B:D,2,FALSE)</f>
        <v>COMIDA</v>
      </c>
      <c r="G2806" s="4" t="s">
        <v>34</v>
      </c>
      <c r="H2806" s="1">
        <v>259.27999999999997</v>
      </c>
    </row>
    <row r="2807" spans="2:8" x14ac:dyDescent="0.2">
      <c r="B2807" t="str">
        <f>VLOOKUP(G2807,PC!B:D,3,FALSE)</f>
        <v>CPV</v>
      </c>
      <c r="C2807" s="22">
        <v>2023</v>
      </c>
      <c r="D2807" t="s">
        <v>94</v>
      </c>
      <c r="E2807" t="s">
        <v>49</v>
      </c>
      <c r="F2807" t="str">
        <f>VLOOKUP(G2807,PC!B:D,2,FALSE)</f>
        <v>CIGARRO</v>
      </c>
      <c r="G2807" s="4" t="s">
        <v>52</v>
      </c>
      <c r="H2807" s="1">
        <v>4368.2299999999996</v>
      </c>
    </row>
    <row r="2808" spans="2:8" x14ac:dyDescent="0.2">
      <c r="B2808" t="str">
        <f>VLOOKUP(G2808,PC!B:D,3,FALSE)</f>
        <v>CPV</v>
      </c>
      <c r="C2808" s="22">
        <v>2023</v>
      </c>
      <c r="D2808" t="s">
        <v>94</v>
      </c>
      <c r="E2808" t="s">
        <v>13</v>
      </c>
      <c r="F2808" t="str">
        <f>VLOOKUP(G2808,PC!B:D,2,FALSE)</f>
        <v>COMIDA</v>
      </c>
      <c r="G2808" s="4" t="s">
        <v>33</v>
      </c>
      <c r="H2808" s="1">
        <v>163.69999999999999</v>
      </c>
    </row>
    <row r="2809" spans="2:8" x14ac:dyDescent="0.2">
      <c r="B2809" t="str">
        <f>VLOOKUP(G2809,PC!B:D,3,FALSE)</f>
        <v>CPV</v>
      </c>
      <c r="C2809" s="22">
        <v>2023</v>
      </c>
      <c r="D2809" t="s">
        <v>94</v>
      </c>
      <c r="E2809" t="s">
        <v>27</v>
      </c>
      <c r="F2809" t="str">
        <f>VLOOKUP(G2809,PC!B:D,2,FALSE)</f>
        <v>COMIDA</v>
      </c>
      <c r="G2809" s="4" t="s">
        <v>12</v>
      </c>
      <c r="H2809" s="1">
        <v>198.22</v>
      </c>
    </row>
    <row r="2810" spans="2:8" x14ac:dyDescent="0.2">
      <c r="B2810" t="str">
        <f>VLOOKUP(G2810,PC!B:D,3,FALSE)</f>
        <v>CPV</v>
      </c>
      <c r="C2810" s="22">
        <v>2023</v>
      </c>
      <c r="D2810" t="s">
        <v>94</v>
      </c>
      <c r="E2810" t="s">
        <v>13</v>
      </c>
      <c r="F2810" t="str">
        <f>VLOOKUP(G2810,PC!B:D,2,FALSE)</f>
        <v>COMIDA</v>
      </c>
      <c r="G2810" s="4" t="s">
        <v>33</v>
      </c>
      <c r="H2810" s="1">
        <v>121.87</v>
      </c>
    </row>
    <row r="2811" spans="2:8" x14ac:dyDescent="0.2">
      <c r="B2811" t="str">
        <f>VLOOKUP(G2811,PC!B:D,3,FALSE)</f>
        <v>CPV</v>
      </c>
      <c r="C2811" s="22">
        <v>2023</v>
      </c>
      <c r="D2811" t="s">
        <v>94</v>
      </c>
      <c r="E2811" t="s">
        <v>16</v>
      </c>
      <c r="F2811" t="str">
        <f>VLOOKUP(G2811,PC!B:D,2,FALSE)</f>
        <v>COMIDA</v>
      </c>
      <c r="G2811" s="4" t="s">
        <v>12</v>
      </c>
      <c r="H2811" s="1">
        <v>552.78</v>
      </c>
    </row>
    <row r="2812" spans="2:8" x14ac:dyDescent="0.2">
      <c r="B2812" t="str">
        <f>VLOOKUP(G2812,PC!B:D,3,FALSE)</f>
        <v>CPV</v>
      </c>
      <c r="C2812" s="22">
        <v>2023</v>
      </c>
      <c r="D2812" t="s">
        <v>94</v>
      </c>
      <c r="E2812" t="s">
        <v>20</v>
      </c>
      <c r="F2812" t="str">
        <f>VLOOKUP(G2812,PC!B:D,2,FALSE)</f>
        <v>COMIDA</v>
      </c>
      <c r="G2812" s="4" t="s">
        <v>29</v>
      </c>
      <c r="H2812" s="1">
        <v>61.9</v>
      </c>
    </row>
    <row r="2813" spans="2:8" x14ac:dyDescent="0.2">
      <c r="B2813" t="str">
        <f>VLOOKUP(G2813,PC!B:D,3,FALSE)</f>
        <v>CPV</v>
      </c>
      <c r="C2813" s="22">
        <v>2023</v>
      </c>
      <c r="D2813" t="s">
        <v>94</v>
      </c>
      <c r="E2813" t="s">
        <v>129</v>
      </c>
      <c r="F2813" t="str">
        <f>VLOOKUP(G2813,PC!B:D,2,FALSE)</f>
        <v>COMIDA</v>
      </c>
      <c r="G2813" s="4" t="s">
        <v>18</v>
      </c>
      <c r="H2813" s="1">
        <v>43.5</v>
      </c>
    </row>
    <row r="2814" spans="2:8" x14ac:dyDescent="0.2">
      <c r="B2814" t="e">
        <f>VLOOKUP(G2814,PC!B:D,3,FALSE)</f>
        <v>#N/A</v>
      </c>
      <c r="C2814" s="22">
        <v>2023</v>
      </c>
      <c r="D2814" t="s">
        <v>94</v>
      </c>
      <c r="F2814" t="e">
        <f>VLOOKUP(G2814,PC!B:D,2,FALSE)</f>
        <v>#N/A</v>
      </c>
      <c r="G2814" s="4" t="s">
        <v>204</v>
      </c>
      <c r="H2814" s="1">
        <v>25</v>
      </c>
    </row>
    <row r="2815" spans="2:8" x14ac:dyDescent="0.2">
      <c r="B2815" t="str">
        <f>VLOOKUP(G2815,PC!B:D,3,FALSE)</f>
        <v>CPV</v>
      </c>
      <c r="C2815" s="22">
        <v>2023</v>
      </c>
      <c r="D2815" t="s">
        <v>94</v>
      </c>
      <c r="E2815" t="s">
        <v>45</v>
      </c>
      <c r="F2815" t="str">
        <f>VLOOKUP(G2815,PC!B:D,2,FALSE)</f>
        <v>SOBREMESA</v>
      </c>
      <c r="G2815" s="4" t="s">
        <v>23</v>
      </c>
      <c r="H2815" s="1">
        <v>389.96</v>
      </c>
    </row>
    <row r="2816" spans="2:8" x14ac:dyDescent="0.2">
      <c r="B2816" t="str">
        <f>VLOOKUP(G2816,PC!B:D,3,FALSE)</f>
        <v>CPV</v>
      </c>
      <c r="C2816" s="22">
        <v>2023</v>
      </c>
      <c r="D2816" t="s">
        <v>94</v>
      </c>
      <c r="E2816" t="s">
        <v>14</v>
      </c>
      <c r="F2816" t="str">
        <f>VLOOKUP(G2816,PC!B:D,2,FALSE)</f>
        <v>BEBIDAS</v>
      </c>
      <c r="G2816" s="4" t="s">
        <v>25</v>
      </c>
      <c r="H2816" s="1">
        <v>183.52</v>
      </c>
    </row>
    <row r="2817" spans="2:8" x14ac:dyDescent="0.2">
      <c r="B2817" t="str">
        <f>VLOOKUP(G2817,PC!B:D,3,FALSE)</f>
        <v>CPV</v>
      </c>
      <c r="C2817" s="22">
        <v>2023</v>
      </c>
      <c r="D2817" t="s">
        <v>94</v>
      </c>
      <c r="E2817" t="s">
        <v>28</v>
      </c>
      <c r="F2817" t="str">
        <f>VLOOKUP(G2817,PC!B:D,2,FALSE)</f>
        <v>BEBIDAS</v>
      </c>
      <c r="G2817" s="4" t="s">
        <v>26</v>
      </c>
      <c r="H2817" s="1">
        <v>497.45</v>
      </c>
    </row>
    <row r="2818" spans="2:8" x14ac:dyDescent="0.2">
      <c r="B2818" t="str">
        <f>VLOOKUP(G2818,PC!B:D,3,FALSE)</f>
        <v>CPV</v>
      </c>
      <c r="C2818" s="22">
        <v>2023</v>
      </c>
      <c r="D2818" t="s">
        <v>94</v>
      </c>
      <c r="E2818" t="s">
        <v>28</v>
      </c>
      <c r="F2818" t="str">
        <f>VLOOKUP(G2818,PC!B:D,2,FALSE)</f>
        <v>BEBIDAS</v>
      </c>
      <c r="G2818" s="4" t="s">
        <v>26</v>
      </c>
      <c r="H2818" s="1">
        <v>119.76</v>
      </c>
    </row>
    <row r="2819" spans="2:8" x14ac:dyDescent="0.2">
      <c r="B2819" t="str">
        <f>VLOOKUP(G2819,PC!B:D,3,FALSE)</f>
        <v>CPV</v>
      </c>
      <c r="C2819" s="22">
        <v>2023</v>
      </c>
      <c r="D2819" t="s">
        <v>94</v>
      </c>
      <c r="E2819" t="s">
        <v>28</v>
      </c>
      <c r="F2819" t="str">
        <f>VLOOKUP(G2819,PC!B:D,2,FALSE)</f>
        <v>BEBIDAS</v>
      </c>
      <c r="G2819" s="4" t="s">
        <v>26</v>
      </c>
      <c r="H2819" s="1">
        <v>4691.55</v>
      </c>
    </row>
    <row r="2820" spans="2:8" x14ac:dyDescent="0.2">
      <c r="B2820" t="str">
        <f>VLOOKUP(G2820,PC!B:D,3,FALSE)</f>
        <v>CPV</v>
      </c>
      <c r="C2820" s="22">
        <v>2023</v>
      </c>
      <c r="D2820" t="s">
        <v>94</v>
      </c>
      <c r="E2820" t="s">
        <v>14</v>
      </c>
      <c r="F2820" t="str">
        <f>VLOOKUP(G2820,PC!B:D,2,FALSE)</f>
        <v>BEBIDAS</v>
      </c>
      <c r="G2820" s="4" t="s">
        <v>25</v>
      </c>
      <c r="H2820" s="1">
        <v>847.67</v>
      </c>
    </row>
    <row r="2821" spans="2:8" x14ac:dyDescent="0.2">
      <c r="B2821" t="str">
        <f>VLOOKUP(G2821,PC!B:D,3,FALSE)</f>
        <v>CPV</v>
      </c>
      <c r="C2821" s="22">
        <v>2023</v>
      </c>
      <c r="D2821" t="s">
        <v>94</v>
      </c>
      <c r="E2821" t="s">
        <v>14</v>
      </c>
      <c r="F2821" t="str">
        <f>VLOOKUP(G2821,PC!B:D,2,FALSE)</f>
        <v>BEBIDAS</v>
      </c>
      <c r="G2821" s="4" t="s">
        <v>51</v>
      </c>
      <c r="H2821" s="1">
        <v>11.99</v>
      </c>
    </row>
    <row r="2822" spans="2:8" x14ac:dyDescent="0.2">
      <c r="B2822" t="str">
        <f>VLOOKUP(G2822,PC!B:D,3,FALSE)</f>
        <v>CPV</v>
      </c>
      <c r="C2822" s="22">
        <v>2023</v>
      </c>
      <c r="D2822" t="s">
        <v>94</v>
      </c>
      <c r="E2822" t="s">
        <v>35</v>
      </c>
      <c r="F2822" t="str">
        <f>VLOOKUP(G2822,PC!B:D,2,FALSE)</f>
        <v>BEBIDAS</v>
      </c>
      <c r="G2822" s="4" t="s">
        <v>46</v>
      </c>
      <c r="H2822" s="1">
        <v>872.18</v>
      </c>
    </row>
    <row r="2823" spans="2:8" x14ac:dyDescent="0.2">
      <c r="B2823" t="str">
        <f>VLOOKUP(G2823,PC!B:D,3,FALSE)</f>
        <v>CPV</v>
      </c>
      <c r="C2823" s="22">
        <v>2023</v>
      </c>
      <c r="D2823" t="s">
        <v>94</v>
      </c>
      <c r="E2823" t="s">
        <v>6</v>
      </c>
      <c r="F2823" t="str">
        <f>VLOOKUP(G2823,PC!B:D,2,FALSE)</f>
        <v>COMIDA</v>
      </c>
      <c r="G2823" s="4" t="s">
        <v>145</v>
      </c>
      <c r="H2823" s="1">
        <v>49.2</v>
      </c>
    </row>
    <row r="2824" spans="2:8" x14ac:dyDescent="0.2">
      <c r="B2824" t="str">
        <f>VLOOKUP(G2824,PC!B:D,3,FALSE)</f>
        <v>CPV</v>
      </c>
      <c r="C2824" s="22">
        <v>2023</v>
      </c>
      <c r="D2824" t="s">
        <v>94</v>
      </c>
      <c r="F2824" t="str">
        <f>VLOOKUP(G2824,PC!B:D,2,FALSE)</f>
        <v>CIGARRO</v>
      </c>
      <c r="G2824" s="4" t="s">
        <v>131</v>
      </c>
      <c r="H2824" s="1">
        <v>370</v>
      </c>
    </row>
    <row r="2825" spans="2:8" x14ac:dyDescent="0.2">
      <c r="B2825" t="str">
        <f>VLOOKUP(G2825,PC!B:D,3,FALSE)</f>
        <v>DESPESA FINANCEIRA</v>
      </c>
      <c r="C2825" s="22">
        <v>2023</v>
      </c>
      <c r="D2825" t="s">
        <v>94</v>
      </c>
      <c r="F2825" t="str">
        <f>VLOOKUP(G2825,PC!B:D,2,FALSE)</f>
        <v>DESPESA FINANCEIRA</v>
      </c>
      <c r="G2825" s="4" t="s">
        <v>90</v>
      </c>
      <c r="H2825" s="1">
        <v>718</v>
      </c>
    </row>
    <row r="2826" spans="2:8" x14ac:dyDescent="0.2">
      <c r="B2826" t="str">
        <f>VLOOKUP(G2826,PC!B:D,3,FALSE)</f>
        <v>CPV</v>
      </c>
      <c r="C2826" s="22">
        <v>2023</v>
      </c>
      <c r="D2826" t="s">
        <v>94</v>
      </c>
      <c r="F2826" t="str">
        <f>VLOOKUP(G2826,PC!B:D,2,FALSE)</f>
        <v>COMIDA</v>
      </c>
      <c r="G2826" s="4" t="s">
        <v>155</v>
      </c>
      <c r="H2826" s="1">
        <v>385</v>
      </c>
    </row>
    <row r="2827" spans="2:8" x14ac:dyDescent="0.2">
      <c r="B2827" t="str">
        <f>VLOOKUP(G2827,PC!B:D,3,FALSE)</f>
        <v>CPV</v>
      </c>
      <c r="C2827" s="22">
        <v>2023</v>
      </c>
      <c r="D2827" t="s">
        <v>94</v>
      </c>
      <c r="F2827" t="str">
        <f>VLOOKUP(G2827,PC!B:D,2,FALSE)</f>
        <v>COMIDA</v>
      </c>
      <c r="G2827" s="4" t="s">
        <v>12</v>
      </c>
      <c r="H2827" s="1">
        <v>49.2</v>
      </c>
    </row>
    <row r="2828" spans="2:8" x14ac:dyDescent="0.2">
      <c r="B2828" t="str">
        <f>VLOOKUP(G2828,PC!B:D,3,FALSE)</f>
        <v>DESPESA OPERACIONAL</v>
      </c>
      <c r="C2828" s="22">
        <v>2023</v>
      </c>
      <c r="D2828" t="s">
        <v>94</v>
      </c>
      <c r="F2828" t="str">
        <f>VLOOKUP(G2828,PC!B:D,2,FALSE)</f>
        <v>DESPESA OPERACIONAL</v>
      </c>
      <c r="G2828" s="4" t="s">
        <v>70</v>
      </c>
      <c r="H2828" s="1">
        <v>112</v>
      </c>
    </row>
    <row r="2829" spans="2:8" x14ac:dyDescent="0.2">
      <c r="B2829" t="str">
        <f>VLOOKUP(G2829,PC!B:D,3,FALSE)</f>
        <v>CPV</v>
      </c>
      <c r="C2829" s="22">
        <v>2023</v>
      </c>
      <c r="D2829" t="s">
        <v>94</v>
      </c>
      <c r="F2829" t="str">
        <f>VLOOKUP(G2829,PC!B:D,2,FALSE)</f>
        <v>COMIDA</v>
      </c>
      <c r="G2829" s="4" t="s">
        <v>12</v>
      </c>
      <c r="H2829" s="1">
        <v>200</v>
      </c>
    </row>
    <row r="2830" spans="2:8" x14ac:dyDescent="0.2">
      <c r="B2830" t="str">
        <f>VLOOKUP(G2830,PC!B:D,3,FALSE)</f>
        <v>CPV</v>
      </c>
      <c r="C2830" s="22">
        <v>2023</v>
      </c>
      <c r="D2830" t="s">
        <v>94</v>
      </c>
      <c r="F2830" t="str">
        <f>VLOOKUP(G2830,PC!B:D,2,FALSE)</f>
        <v>SOBREMESA</v>
      </c>
      <c r="G2830" s="4" t="s">
        <v>7</v>
      </c>
      <c r="H2830" s="1">
        <v>135</v>
      </c>
    </row>
    <row r="2831" spans="2:8" x14ac:dyDescent="0.2">
      <c r="B2831" t="str">
        <f>VLOOKUP(G2831,PC!B:D,3,FALSE)</f>
        <v>CPV</v>
      </c>
      <c r="C2831" s="22">
        <v>2023</v>
      </c>
      <c r="D2831" t="s">
        <v>94</v>
      </c>
      <c r="F2831" t="str">
        <f>VLOOKUP(G2831,PC!B:D,2,FALSE)</f>
        <v>COMIDA</v>
      </c>
      <c r="G2831" s="4" t="s">
        <v>12</v>
      </c>
      <c r="H2831" s="1">
        <v>500</v>
      </c>
    </row>
    <row r="2832" spans="2:8" x14ac:dyDescent="0.2">
      <c r="B2832" t="str">
        <f>VLOOKUP(G2832,PC!B:D,3,FALSE)</f>
        <v>CPV</v>
      </c>
      <c r="C2832" s="22">
        <v>2023</v>
      </c>
      <c r="D2832" t="s">
        <v>94</v>
      </c>
      <c r="F2832" t="str">
        <f>VLOOKUP(G2832,PC!B:D,2,FALSE)</f>
        <v>BEBIDAS</v>
      </c>
      <c r="G2832" s="4" t="s">
        <v>39</v>
      </c>
      <c r="H2832" s="1">
        <f>84+45+138.5</f>
        <v>267.5</v>
      </c>
    </row>
    <row r="2833" spans="2:8" x14ac:dyDescent="0.2">
      <c r="B2833" t="str">
        <f>VLOOKUP(G2833,PC!B:D,3,FALSE)</f>
        <v>CPV</v>
      </c>
      <c r="C2833" s="22">
        <v>2023</v>
      </c>
      <c r="D2833" t="s">
        <v>94</v>
      </c>
      <c r="F2833" t="str">
        <f>VLOOKUP(G2833,PC!B:D,2,FALSE)</f>
        <v>SOBREMESA</v>
      </c>
      <c r="G2833" s="4" t="s">
        <v>7</v>
      </c>
      <c r="H2833" s="1">
        <v>9.9</v>
      </c>
    </row>
    <row r="2834" spans="2:8" x14ac:dyDescent="0.2">
      <c r="B2834" t="str">
        <f>VLOOKUP(G2834,PC!B:D,3,FALSE)</f>
        <v>DESPESA PESSOAL</v>
      </c>
      <c r="C2834" s="22">
        <v>2023</v>
      </c>
      <c r="D2834" t="s">
        <v>94</v>
      </c>
      <c r="F2834" t="str">
        <f>VLOOKUP(G2834,PC!B:D,2,FALSE)</f>
        <v>DESPESA PESSOAL</v>
      </c>
      <c r="G2834" s="4" t="s">
        <v>68</v>
      </c>
      <c r="H2834" s="1">
        <v>30</v>
      </c>
    </row>
    <row r="2835" spans="2:8" x14ac:dyDescent="0.2">
      <c r="B2835" t="str">
        <f>VLOOKUP(G2835,PC!B:D,3,FALSE)</f>
        <v>CPV</v>
      </c>
      <c r="C2835" s="22">
        <v>2023</v>
      </c>
      <c r="D2835" t="s">
        <v>94</v>
      </c>
      <c r="F2835" t="str">
        <f>VLOOKUP(G2835,PC!B:D,2,FALSE)</f>
        <v>CIGARRO</v>
      </c>
      <c r="G2835" s="4" t="s">
        <v>57</v>
      </c>
      <c r="H2835" s="1">
        <v>1136</v>
      </c>
    </row>
    <row r="2836" spans="2:8" x14ac:dyDescent="0.2">
      <c r="B2836" t="str">
        <f>VLOOKUP(G2836,PC!B:D,3,FALSE)</f>
        <v>CPV</v>
      </c>
      <c r="C2836" s="22">
        <v>2023</v>
      </c>
      <c r="D2836" t="s">
        <v>94</v>
      </c>
      <c r="F2836" t="str">
        <f>VLOOKUP(G2836,PC!B:D,2,FALSE)</f>
        <v>COMIDA</v>
      </c>
      <c r="G2836" s="4" t="s">
        <v>33</v>
      </c>
      <c r="H2836" s="1">
        <v>42</v>
      </c>
    </row>
    <row r="2837" spans="2:8" x14ac:dyDescent="0.2">
      <c r="B2837" t="str">
        <f>VLOOKUP(G2837,PC!B:D,3,FALSE)</f>
        <v>CPV</v>
      </c>
      <c r="C2837" s="22">
        <v>2023</v>
      </c>
      <c r="D2837" t="s">
        <v>94</v>
      </c>
      <c r="F2837" t="str">
        <f>VLOOKUP(G2837,PC!B:D,2,FALSE)</f>
        <v>BEBIDAS</v>
      </c>
      <c r="G2837" s="4" t="s">
        <v>26</v>
      </c>
      <c r="H2837" s="1">
        <v>370</v>
      </c>
    </row>
    <row r="2838" spans="2:8" x14ac:dyDescent="0.2">
      <c r="B2838" t="str">
        <f>VLOOKUP(G2838,PC!B:D,3,FALSE)</f>
        <v>CPV</v>
      </c>
      <c r="C2838" s="22">
        <v>2023</v>
      </c>
      <c r="D2838" t="s">
        <v>94</v>
      </c>
      <c r="E2838" t="s">
        <v>77</v>
      </c>
      <c r="F2838" t="str">
        <f>VLOOKUP(G2838,PC!B:D,2,FALSE)</f>
        <v>OUTROS</v>
      </c>
      <c r="G2838" s="4" t="s">
        <v>37</v>
      </c>
      <c r="H2838" s="1">
        <v>473.1</v>
      </c>
    </row>
    <row r="2839" spans="2:8" x14ac:dyDescent="0.2">
      <c r="B2839" t="str">
        <f>VLOOKUP(G2839,PC!B:D,3,FALSE)</f>
        <v>CPV</v>
      </c>
      <c r="C2839" s="22">
        <v>2023</v>
      </c>
      <c r="D2839" t="s">
        <v>94</v>
      </c>
      <c r="E2839" t="s">
        <v>89</v>
      </c>
      <c r="F2839" t="str">
        <f>VLOOKUP(G2839,PC!B:D,2,FALSE)</f>
        <v>OUTROS</v>
      </c>
      <c r="G2839" s="4" t="s">
        <v>37</v>
      </c>
      <c r="H2839" s="1">
        <v>454</v>
      </c>
    </row>
    <row r="2840" spans="2:8" x14ac:dyDescent="0.2">
      <c r="B2840" t="str">
        <f>VLOOKUP(G2840,PC!B:D,3,FALSE)</f>
        <v>CPV</v>
      </c>
      <c r="C2840" s="22">
        <v>2023</v>
      </c>
      <c r="D2840" t="s">
        <v>94</v>
      </c>
      <c r="E2840" t="s">
        <v>129</v>
      </c>
      <c r="F2840" t="str">
        <f>VLOOKUP(G2840,PC!B:D,2,FALSE)</f>
        <v>SOBREMESA</v>
      </c>
      <c r="G2840" s="4" t="s">
        <v>7</v>
      </c>
      <c r="H2840" s="1">
        <v>34</v>
      </c>
    </row>
    <row r="2841" spans="2:8" x14ac:dyDescent="0.2">
      <c r="B2841" t="str">
        <f>VLOOKUP(G2841,PC!B:D,3,FALSE)</f>
        <v>CPV</v>
      </c>
      <c r="C2841" s="22">
        <v>2023</v>
      </c>
      <c r="D2841" t="s">
        <v>94</v>
      </c>
      <c r="E2841" t="s">
        <v>129</v>
      </c>
      <c r="F2841" t="str">
        <f>VLOOKUP(G2841,PC!B:D,2,FALSE)</f>
        <v>OUTROS</v>
      </c>
      <c r="G2841" s="4" t="s">
        <v>37</v>
      </c>
      <c r="H2841" s="1">
        <v>118.8</v>
      </c>
    </row>
    <row r="2842" spans="2:8" x14ac:dyDescent="0.2">
      <c r="B2842" t="str">
        <f>VLOOKUP(G2842,PC!B:D,3,FALSE)</f>
        <v>CPV</v>
      </c>
      <c r="C2842" s="22">
        <v>2023</v>
      </c>
      <c r="D2842" t="s">
        <v>94</v>
      </c>
      <c r="E2842" t="s">
        <v>129</v>
      </c>
      <c r="F2842" t="str">
        <f>VLOOKUP(G2842,PC!B:D,2,FALSE)</f>
        <v>OUTROS</v>
      </c>
      <c r="G2842" s="4" t="s">
        <v>37</v>
      </c>
      <c r="H2842" s="1">
        <v>36</v>
      </c>
    </row>
    <row r="2843" spans="2:8" x14ac:dyDescent="0.2">
      <c r="B2843" t="str">
        <f>VLOOKUP(G2843,PC!B:D,3,FALSE)</f>
        <v>CPV</v>
      </c>
      <c r="C2843" s="22">
        <v>2023</v>
      </c>
      <c r="D2843" t="s">
        <v>94</v>
      </c>
      <c r="E2843" t="s">
        <v>129</v>
      </c>
      <c r="F2843" t="str">
        <f>VLOOKUP(G2843,PC!B:D,2,FALSE)</f>
        <v>COMIDA</v>
      </c>
      <c r="G2843" s="4" t="s">
        <v>145</v>
      </c>
      <c r="H2843" s="1">
        <v>49.2</v>
      </c>
    </row>
    <row r="2844" spans="2:8" x14ac:dyDescent="0.2">
      <c r="B2844" t="str">
        <f>VLOOKUP(G2844,PC!B:D,3,FALSE)</f>
        <v>CPV</v>
      </c>
      <c r="C2844" s="22">
        <v>2023</v>
      </c>
      <c r="D2844" t="s">
        <v>94</v>
      </c>
      <c r="E2844" t="s">
        <v>129</v>
      </c>
      <c r="F2844" t="str">
        <f>VLOOKUP(G2844,PC!B:D,2,FALSE)</f>
        <v>COMIDA</v>
      </c>
      <c r="G2844" s="4" t="s">
        <v>146</v>
      </c>
      <c r="H2844" s="1">
        <v>134</v>
      </c>
    </row>
    <row r="2845" spans="2:8" x14ac:dyDescent="0.2">
      <c r="B2845" t="str">
        <f>VLOOKUP(G2845,PC!B:D,3,FALSE)</f>
        <v>CPV</v>
      </c>
      <c r="C2845" s="22">
        <v>2023</v>
      </c>
      <c r="D2845" t="s">
        <v>94</v>
      </c>
      <c r="F2845" t="str">
        <f>VLOOKUP(G2845,PC!B:D,2,FALSE)</f>
        <v>SOBREMESA</v>
      </c>
      <c r="G2845" s="4" t="s">
        <v>7</v>
      </c>
      <c r="H2845" s="1">
        <v>52</v>
      </c>
    </row>
    <row r="2846" spans="2:8" x14ac:dyDescent="0.2">
      <c r="B2846" t="str">
        <f>VLOOKUP(G2846,PC!B:D,3,FALSE)</f>
        <v>CPV</v>
      </c>
      <c r="C2846" s="22">
        <v>2023</v>
      </c>
      <c r="D2846" t="s">
        <v>94</v>
      </c>
      <c r="F2846" t="str">
        <f>VLOOKUP(G2846,PC!B:D,2,FALSE)</f>
        <v>BEBIDAS</v>
      </c>
      <c r="G2846" s="4" t="s">
        <v>39</v>
      </c>
      <c r="H2846" s="1">
        <v>105</v>
      </c>
    </row>
    <row r="2847" spans="2:8" x14ac:dyDescent="0.2">
      <c r="B2847" t="str">
        <f>VLOOKUP(G2847,PC!B:D,3,FALSE)</f>
        <v>CPV</v>
      </c>
      <c r="C2847" s="22">
        <v>2023</v>
      </c>
      <c r="D2847" t="s">
        <v>94</v>
      </c>
      <c r="F2847" t="str">
        <f>VLOOKUP(G2847,PC!B:D,2,FALSE)</f>
        <v>OUTROS</v>
      </c>
      <c r="G2847" s="4" t="s">
        <v>149</v>
      </c>
      <c r="H2847" s="1">
        <v>222</v>
      </c>
    </row>
    <row r="2848" spans="2:8" x14ac:dyDescent="0.2">
      <c r="B2848" t="str">
        <f>VLOOKUP(G2848,PC!B:D,3,FALSE)</f>
        <v>CPV</v>
      </c>
      <c r="C2848" s="22">
        <v>2023</v>
      </c>
      <c r="D2848" t="s">
        <v>94</v>
      </c>
      <c r="F2848" t="str">
        <f>VLOOKUP(G2848,PC!B:D,2,FALSE)</f>
        <v>COMIDA</v>
      </c>
      <c r="G2848" s="4" t="s">
        <v>145</v>
      </c>
      <c r="H2848" s="1">
        <v>53.4</v>
      </c>
    </row>
    <row r="2849" spans="2:8" x14ac:dyDescent="0.2">
      <c r="B2849" t="str">
        <f>VLOOKUP(G2849,PC!B:D,3,FALSE)</f>
        <v>CPV</v>
      </c>
      <c r="C2849" s="22">
        <v>2023</v>
      </c>
      <c r="D2849" t="s">
        <v>94</v>
      </c>
      <c r="F2849" t="str">
        <f>VLOOKUP(G2849,PC!B:D,2,FALSE)</f>
        <v>OUTROS</v>
      </c>
      <c r="G2849" s="4" t="s">
        <v>37</v>
      </c>
      <c r="H2849" s="1">
        <v>68</v>
      </c>
    </row>
    <row r="2850" spans="2:8" x14ac:dyDescent="0.2">
      <c r="B2850" t="str">
        <f>VLOOKUP(G2850,PC!B:D,3,FALSE)</f>
        <v>CPV</v>
      </c>
      <c r="C2850" s="22">
        <v>2023</v>
      </c>
      <c r="D2850" t="s">
        <v>94</v>
      </c>
      <c r="F2850" t="str">
        <f>VLOOKUP(G2850,PC!B:D,2,FALSE)</f>
        <v>BEBIDAS</v>
      </c>
      <c r="G2850" s="4" t="s">
        <v>48</v>
      </c>
      <c r="H2850" s="1">
        <v>184.8</v>
      </c>
    </row>
    <row r="2851" spans="2:8" x14ac:dyDescent="0.2">
      <c r="B2851" t="str">
        <f>VLOOKUP(G2851,PC!B:D,3,FALSE)</f>
        <v>CPV</v>
      </c>
      <c r="C2851" s="22">
        <v>2023</v>
      </c>
      <c r="D2851" t="s">
        <v>94</v>
      </c>
      <c r="F2851" t="str">
        <f>VLOOKUP(G2851,PC!B:D,2,FALSE)</f>
        <v>SOBREMESA</v>
      </c>
      <c r="G2851" s="4" t="s">
        <v>75</v>
      </c>
      <c r="H2851" s="1">
        <v>912.28</v>
      </c>
    </row>
    <row r="2852" spans="2:8" x14ac:dyDescent="0.2">
      <c r="B2852" t="str">
        <f>VLOOKUP(G2852,PC!B:D,3,FALSE)</f>
        <v>CPV</v>
      </c>
      <c r="C2852" s="22">
        <v>2023</v>
      </c>
      <c r="D2852" t="s">
        <v>94</v>
      </c>
      <c r="F2852" t="str">
        <f>VLOOKUP(G2852,PC!B:D,2,FALSE)</f>
        <v>OUTROS</v>
      </c>
      <c r="G2852" s="4" t="s">
        <v>37</v>
      </c>
      <c r="H2852" s="7">
        <v>968.8</v>
      </c>
    </row>
    <row r="2853" spans="2:8" x14ac:dyDescent="0.2">
      <c r="B2853" t="str">
        <f>VLOOKUP(G2853,PC!B:D,3,FALSE)</f>
        <v>DESPESA OPERACIONAL</v>
      </c>
      <c r="C2853" s="22">
        <v>2023</v>
      </c>
      <c r="D2853" t="s">
        <v>94</v>
      </c>
      <c r="F2853" t="str">
        <f>VLOOKUP(G2853,PC!B:D,2,FALSE)</f>
        <v>DESPESA OPERACIONAL</v>
      </c>
      <c r="G2853" s="4" t="s">
        <v>73</v>
      </c>
      <c r="H2853" s="1">
        <f>621.23+702.37+499.05</f>
        <v>1822.6499999999999</v>
      </c>
    </row>
    <row r="2854" spans="2:8" x14ac:dyDescent="0.2">
      <c r="B2854" t="str">
        <f>VLOOKUP(G2854,PC!B:D,3,FALSE)</f>
        <v>RECEITA</v>
      </c>
      <c r="C2854" s="22">
        <v>2023</v>
      </c>
      <c r="D2854" t="s">
        <v>94</v>
      </c>
      <c r="F2854" t="str">
        <f>VLOOKUP(G2854,PC!B:D,2,FALSE)</f>
        <v>RECEITA</v>
      </c>
      <c r="G2854" s="4" t="s">
        <v>64</v>
      </c>
      <c r="H2854" s="1">
        <f>14.27+16.13+11.45</f>
        <v>41.849999999999994</v>
      </c>
    </row>
    <row r="2855" spans="2:8" x14ac:dyDescent="0.2">
      <c r="B2855" t="str">
        <f>VLOOKUP(G2855,PC!B:D,3,FALSE)</f>
        <v>CPV</v>
      </c>
      <c r="C2855" s="22">
        <v>2023</v>
      </c>
      <c r="D2855" t="s">
        <v>94</v>
      </c>
      <c r="E2855" t="s">
        <v>77</v>
      </c>
      <c r="F2855" t="str">
        <f>VLOOKUP(G2855,PC!B:D,2,FALSE)</f>
        <v>OUTROS</v>
      </c>
      <c r="G2855" s="4" t="s">
        <v>37</v>
      </c>
      <c r="H2855" s="1">
        <v>960.31</v>
      </c>
    </row>
    <row r="2856" spans="2:8" x14ac:dyDescent="0.2">
      <c r="B2856" t="str">
        <f>VLOOKUP(G2856,PC!B:D,3,FALSE)</f>
        <v>CPV</v>
      </c>
      <c r="C2856" s="22">
        <v>2023</v>
      </c>
      <c r="D2856" t="s">
        <v>94</v>
      </c>
      <c r="E2856" t="s">
        <v>89</v>
      </c>
      <c r="F2856" t="str">
        <f>VLOOKUP(G2856,PC!B:D,2,FALSE)</f>
        <v>OUTROS</v>
      </c>
      <c r="G2856" s="4" t="s">
        <v>37</v>
      </c>
      <c r="H2856" s="1">
        <v>361.21</v>
      </c>
    </row>
    <row r="2857" spans="2:8" x14ac:dyDescent="0.2">
      <c r="B2857" t="str">
        <f>VLOOKUP(G2857,PC!B:D,3,FALSE)</f>
        <v>CPV</v>
      </c>
      <c r="C2857" s="22">
        <v>2023</v>
      </c>
      <c r="D2857" t="s">
        <v>94</v>
      </c>
      <c r="E2857" t="s">
        <v>28</v>
      </c>
      <c r="F2857" t="str">
        <f>VLOOKUP(G2857,PC!B:D,2,FALSE)</f>
        <v>BEBIDAS</v>
      </c>
      <c r="G2857" s="4" t="s">
        <v>26</v>
      </c>
      <c r="H2857" s="1">
        <v>863.03</v>
      </c>
    </row>
    <row r="2858" spans="2:8" x14ac:dyDescent="0.2">
      <c r="B2858" t="str">
        <f>VLOOKUP(G2858,PC!B:D,3,FALSE)</f>
        <v>CPV</v>
      </c>
      <c r="C2858" s="22">
        <v>2023</v>
      </c>
      <c r="D2858" t="s">
        <v>94</v>
      </c>
      <c r="E2858" t="s">
        <v>129</v>
      </c>
      <c r="F2858" t="str">
        <f>VLOOKUP(G2858,PC!B:D,2,FALSE)</f>
        <v>COMIDA</v>
      </c>
      <c r="G2858" s="4" t="s">
        <v>18</v>
      </c>
      <c r="H2858" s="1">
        <v>84.75</v>
      </c>
    </row>
    <row r="2859" spans="2:8" x14ac:dyDescent="0.2">
      <c r="B2859" t="str">
        <f>VLOOKUP(G2859,PC!B:D,3,FALSE)</f>
        <v>CPV</v>
      </c>
      <c r="C2859" s="22">
        <v>2023</v>
      </c>
      <c r="D2859" t="s">
        <v>94</v>
      </c>
      <c r="E2859" t="s">
        <v>129</v>
      </c>
      <c r="F2859" t="str">
        <f>VLOOKUP(G2859,PC!B:D,2,FALSE)</f>
        <v>SOBREMESA</v>
      </c>
      <c r="G2859" s="4" t="s">
        <v>7</v>
      </c>
      <c r="H2859" s="1">
        <v>52</v>
      </c>
    </row>
    <row r="2860" spans="2:8" x14ac:dyDescent="0.2">
      <c r="B2860" t="str">
        <f>VLOOKUP(G2860,PC!B:D,3,FALSE)</f>
        <v>CPV</v>
      </c>
      <c r="C2860" s="22">
        <v>2023</v>
      </c>
      <c r="D2860" t="s">
        <v>94</v>
      </c>
      <c r="E2860" t="s">
        <v>40</v>
      </c>
      <c r="F2860" t="str">
        <f>VLOOKUP(G2860,PC!B:D,2,FALSE)</f>
        <v>BEBIDAS</v>
      </c>
      <c r="G2860" s="4" t="s">
        <v>26</v>
      </c>
      <c r="H2860" s="1">
        <v>1505.42</v>
      </c>
    </row>
    <row r="2861" spans="2:8" x14ac:dyDescent="0.2">
      <c r="B2861" t="str">
        <f>VLOOKUP(G2861,PC!B:D,3,FALSE)</f>
        <v>CPV</v>
      </c>
      <c r="C2861" s="22">
        <v>2023</v>
      </c>
      <c r="D2861" t="s">
        <v>94</v>
      </c>
      <c r="E2861" t="s">
        <v>19</v>
      </c>
      <c r="F2861" t="str">
        <f>VLOOKUP(G2861,PC!B:D,2,FALSE)</f>
        <v>COMIDA</v>
      </c>
      <c r="G2861" s="4" t="s">
        <v>145</v>
      </c>
      <c r="H2861" s="1">
        <f>421.72-H2862</f>
        <v>221.72000000000003</v>
      </c>
    </row>
    <row r="2862" spans="2:8" x14ac:dyDescent="0.2">
      <c r="B2862" t="str">
        <f>VLOOKUP(G2862,PC!B:D,3,FALSE)</f>
        <v>CPV</v>
      </c>
      <c r="C2862" s="22">
        <v>2023</v>
      </c>
      <c r="D2862" t="s">
        <v>94</v>
      </c>
      <c r="E2862" t="s">
        <v>19</v>
      </c>
      <c r="F2862" t="str">
        <f>VLOOKUP(G2862,PC!B:D,2,FALSE)</f>
        <v>LIMPEZA</v>
      </c>
      <c r="G2862" s="4" t="s">
        <v>43</v>
      </c>
      <c r="H2862" s="1">
        <v>200</v>
      </c>
    </row>
    <row r="2863" spans="2:8" x14ac:dyDescent="0.2">
      <c r="B2863" t="str">
        <f>VLOOKUP(G2863,PC!B:D,3,FALSE)</f>
        <v>CPV</v>
      </c>
      <c r="C2863" s="22">
        <v>2023</v>
      </c>
      <c r="D2863" t="s">
        <v>94</v>
      </c>
      <c r="E2863" t="s">
        <v>27</v>
      </c>
      <c r="F2863" t="str">
        <f>VLOOKUP(G2863,PC!B:D,2,FALSE)</f>
        <v>COMIDA</v>
      </c>
      <c r="G2863" s="4" t="s">
        <v>12</v>
      </c>
      <c r="H2863" s="1">
        <v>182.5</v>
      </c>
    </row>
    <row r="2864" spans="2:8" x14ac:dyDescent="0.2">
      <c r="B2864" t="str">
        <f>VLOOKUP(G2864,PC!B:D,3,FALSE)</f>
        <v>CPV</v>
      </c>
      <c r="C2864" s="22">
        <v>2023</v>
      </c>
      <c r="D2864" t="s">
        <v>94</v>
      </c>
      <c r="E2864" t="s">
        <v>208</v>
      </c>
      <c r="F2864" t="str">
        <f>VLOOKUP(G2864,PC!B:D,2,FALSE)</f>
        <v>SOBREMESA</v>
      </c>
      <c r="G2864" s="4" t="s">
        <v>8</v>
      </c>
      <c r="H2864" s="1">
        <v>166.18</v>
      </c>
    </row>
    <row r="2865" spans="2:9" x14ac:dyDescent="0.2">
      <c r="B2865" t="str">
        <f>VLOOKUP(G2865,PC!B:D,3,FALSE)</f>
        <v>CPV</v>
      </c>
      <c r="C2865" s="22">
        <v>2023</v>
      </c>
      <c r="D2865" t="s">
        <v>94</v>
      </c>
      <c r="E2865" t="s">
        <v>21</v>
      </c>
      <c r="F2865" t="str">
        <f>VLOOKUP(G2865,PC!B:D,2,FALSE)</f>
        <v>SOBREMESA</v>
      </c>
      <c r="G2865" s="4" t="s">
        <v>23</v>
      </c>
      <c r="H2865" s="1">
        <v>184.16</v>
      </c>
    </row>
    <row r="2866" spans="2:9" x14ac:dyDescent="0.2">
      <c r="B2866" t="str">
        <f>VLOOKUP(G2866,PC!B:D,3,FALSE)</f>
        <v>CPV</v>
      </c>
      <c r="C2866" s="22">
        <v>2023</v>
      </c>
      <c r="D2866" t="s">
        <v>94</v>
      </c>
      <c r="E2866" t="s">
        <v>35</v>
      </c>
      <c r="F2866" t="str">
        <f>VLOOKUP(G2866,PC!B:D,2,FALSE)</f>
        <v>BEBIDAS</v>
      </c>
      <c r="G2866" s="4" t="s">
        <v>46</v>
      </c>
      <c r="H2866" s="1">
        <v>771.26</v>
      </c>
    </row>
    <row r="2867" spans="2:9" x14ac:dyDescent="0.2">
      <c r="B2867" t="str">
        <f>VLOOKUP(G2867,PC!B:D,3,FALSE)</f>
        <v>CPV</v>
      </c>
      <c r="C2867" s="22">
        <v>2023</v>
      </c>
      <c r="D2867" t="s">
        <v>94</v>
      </c>
      <c r="E2867" t="s">
        <v>24</v>
      </c>
      <c r="F2867" t="str">
        <f>VLOOKUP(G2867,PC!B:D,2,FALSE)</f>
        <v>COMIDA</v>
      </c>
      <c r="G2867" s="4" t="s">
        <v>33</v>
      </c>
      <c r="H2867" s="1">
        <v>521.17999999999995</v>
      </c>
    </row>
    <row r="2868" spans="2:9" x14ac:dyDescent="0.2">
      <c r="B2868" t="str">
        <f>VLOOKUP(G2868,PC!B:D,3,FALSE)</f>
        <v>CPV</v>
      </c>
      <c r="C2868" s="22">
        <v>2023</v>
      </c>
      <c r="D2868" t="s">
        <v>94</v>
      </c>
      <c r="E2868" t="s">
        <v>21</v>
      </c>
      <c r="F2868" t="str">
        <f>VLOOKUP(G2868,PC!B:D,2,FALSE)</f>
        <v>SOBREMESA</v>
      </c>
      <c r="G2868" s="4" t="s">
        <v>23</v>
      </c>
      <c r="H2868" s="1">
        <v>50.66</v>
      </c>
    </row>
    <row r="2869" spans="2:9" x14ac:dyDescent="0.2">
      <c r="B2869" t="str">
        <f>VLOOKUP(G2869,PC!B:D,3,FALSE)</f>
        <v>CPV</v>
      </c>
      <c r="C2869" s="22">
        <v>2023</v>
      </c>
      <c r="D2869" t="s">
        <v>94</v>
      </c>
      <c r="E2869" t="s">
        <v>14</v>
      </c>
      <c r="F2869" t="str">
        <f>VLOOKUP(G2869,PC!B:D,2,FALSE)</f>
        <v>BEBIDAS</v>
      </c>
      <c r="G2869" s="4" t="s">
        <v>41</v>
      </c>
      <c r="H2869" s="1">
        <v>71.92</v>
      </c>
      <c r="I2869" s="20"/>
    </row>
    <row r="2870" spans="2:9" x14ac:dyDescent="0.2">
      <c r="B2870" t="str">
        <f>VLOOKUP(G2870,PC!B:D,3,FALSE)</f>
        <v>CPV</v>
      </c>
      <c r="C2870" s="22">
        <v>2023</v>
      </c>
      <c r="D2870" t="s">
        <v>94</v>
      </c>
      <c r="E2870" t="s">
        <v>14</v>
      </c>
      <c r="F2870" t="str">
        <f>VLOOKUP(G2870,PC!B:D,2,FALSE)</f>
        <v>BEBIDAS</v>
      </c>
      <c r="G2870" s="4" t="s">
        <v>25</v>
      </c>
      <c r="H2870" s="1">
        <f>423.55-H2869</f>
        <v>351.63</v>
      </c>
      <c r="I2870" s="20"/>
    </row>
    <row r="2871" spans="2:9" x14ac:dyDescent="0.2">
      <c r="B2871" t="str">
        <f>VLOOKUP(G2871,PC!B:D,3,FALSE)</f>
        <v>CPV</v>
      </c>
      <c r="C2871" s="22">
        <v>2023</v>
      </c>
      <c r="D2871" t="s">
        <v>94</v>
      </c>
      <c r="E2871" t="s">
        <v>16</v>
      </c>
      <c r="F2871" t="str">
        <f>VLOOKUP(G2871,PC!B:D,2,FALSE)</f>
        <v>COMIDA</v>
      </c>
      <c r="G2871" s="4" t="s">
        <v>12</v>
      </c>
      <c r="H2871" s="1">
        <v>764.06</v>
      </c>
    </row>
    <row r="2872" spans="2:9" x14ac:dyDescent="0.2">
      <c r="B2872" t="str">
        <f>VLOOKUP(G2872,PC!B:D,3,FALSE)</f>
        <v>CPV</v>
      </c>
      <c r="C2872" s="22">
        <v>2023</v>
      </c>
      <c r="D2872" t="s">
        <v>94</v>
      </c>
      <c r="E2872" t="s">
        <v>6</v>
      </c>
      <c r="F2872" t="str">
        <f>VLOOKUP(G2872,PC!B:D,2,FALSE)</f>
        <v>COMIDA</v>
      </c>
      <c r="G2872" s="4" t="s">
        <v>145</v>
      </c>
      <c r="H2872" s="1">
        <v>49.2</v>
      </c>
    </row>
    <row r="2873" spans="2:9" x14ac:dyDescent="0.2">
      <c r="B2873" t="str">
        <f>VLOOKUP(G2873,PC!B:D,3,FALSE)</f>
        <v>CPV</v>
      </c>
      <c r="C2873" s="22">
        <v>2023</v>
      </c>
      <c r="D2873" t="s">
        <v>94</v>
      </c>
      <c r="E2873" t="s">
        <v>35</v>
      </c>
      <c r="F2873" t="str">
        <f>VLOOKUP(G2873,PC!B:D,2,FALSE)</f>
        <v>BEBIDAS</v>
      </c>
      <c r="G2873" s="4" t="s">
        <v>39</v>
      </c>
      <c r="H2873" s="1">
        <v>300</v>
      </c>
    </row>
    <row r="2874" spans="2:9" x14ac:dyDescent="0.2">
      <c r="B2874" t="str">
        <f>VLOOKUP(G2874,PC!B:D,3,FALSE)</f>
        <v>CPV</v>
      </c>
      <c r="C2874" s="22">
        <v>2023</v>
      </c>
      <c r="D2874" t="s">
        <v>94</v>
      </c>
      <c r="E2874" t="s">
        <v>35</v>
      </c>
      <c r="F2874" t="str">
        <f>VLOOKUP(G2874,PC!B:D,2,FALSE)</f>
        <v>OUTROS</v>
      </c>
      <c r="G2874" s="4" t="s">
        <v>37</v>
      </c>
      <c r="H2874" s="1">
        <f>784.3-H2873</f>
        <v>484.29999999999995</v>
      </c>
    </row>
    <row r="2875" spans="2:9" x14ac:dyDescent="0.2">
      <c r="B2875" t="str">
        <f>VLOOKUP(G2875,PC!B:D,3,FALSE)</f>
        <v>CPV</v>
      </c>
      <c r="C2875" s="22">
        <v>2023</v>
      </c>
      <c r="D2875" t="s">
        <v>94</v>
      </c>
      <c r="E2875" t="s">
        <v>28</v>
      </c>
      <c r="F2875" t="str">
        <f>VLOOKUP(G2875,PC!B:D,2,FALSE)</f>
        <v>BEBIDAS</v>
      </c>
      <c r="G2875" s="4" t="s">
        <v>26</v>
      </c>
      <c r="H2875" s="1">
        <v>3000</v>
      </c>
    </row>
    <row r="2876" spans="2:9" x14ac:dyDescent="0.2">
      <c r="B2876" t="str">
        <f>VLOOKUP(G2876,PC!B:D,3,FALSE)</f>
        <v>CPV</v>
      </c>
      <c r="C2876" s="22">
        <v>2023</v>
      </c>
      <c r="D2876" t="s">
        <v>94</v>
      </c>
      <c r="E2876" t="s">
        <v>28</v>
      </c>
      <c r="F2876" t="str">
        <f>VLOOKUP(G2876,PC!B:D,2,FALSE)</f>
        <v>BEBIDAS</v>
      </c>
      <c r="G2876" s="4" t="s">
        <v>25</v>
      </c>
      <c r="H2876" s="1">
        <v>524.98</v>
      </c>
    </row>
    <row r="2877" spans="2:9" x14ac:dyDescent="0.2">
      <c r="B2877" t="str">
        <f>VLOOKUP(G2877,PC!B:D,3,FALSE)</f>
        <v>CPV</v>
      </c>
      <c r="C2877" s="22">
        <v>2023</v>
      </c>
      <c r="D2877" t="s">
        <v>94</v>
      </c>
      <c r="E2877" t="s">
        <v>14</v>
      </c>
      <c r="F2877" t="str">
        <f>VLOOKUP(G2877,PC!B:D,2,FALSE)</f>
        <v>BEBIDAS</v>
      </c>
      <c r="G2877" s="4" t="s">
        <v>51</v>
      </c>
      <c r="H2877" s="1">
        <v>25.07</v>
      </c>
    </row>
    <row r="2878" spans="2:9" x14ac:dyDescent="0.2">
      <c r="B2878" t="str">
        <f>VLOOKUP(G2878,PC!B:D,3,FALSE)</f>
        <v>CPV</v>
      </c>
      <c r="C2878" s="22">
        <v>2023</v>
      </c>
      <c r="D2878" t="s">
        <v>94</v>
      </c>
      <c r="E2878" t="s">
        <v>209</v>
      </c>
      <c r="F2878" t="str">
        <f>VLOOKUP(G2878,PC!B:D,2,FALSE)</f>
        <v>COMIDA</v>
      </c>
      <c r="G2878" s="4" t="s">
        <v>18</v>
      </c>
      <c r="H2878" s="1">
        <v>310.88</v>
      </c>
    </row>
    <row r="2879" spans="2:9" x14ac:dyDescent="0.2">
      <c r="B2879" t="str">
        <f>VLOOKUP(G2879,PC!B:D,3,FALSE)</f>
        <v>CPV</v>
      </c>
      <c r="C2879" s="22">
        <v>2023</v>
      </c>
      <c r="D2879" t="s">
        <v>94</v>
      </c>
      <c r="E2879" t="s">
        <v>10</v>
      </c>
      <c r="F2879" t="str">
        <f>VLOOKUP(G2879,PC!B:D,2,FALSE)</f>
        <v>COMIDA</v>
      </c>
      <c r="G2879" s="4" t="s">
        <v>12</v>
      </c>
      <c r="H2879" s="1">
        <v>581.13</v>
      </c>
    </row>
    <row r="2880" spans="2:9" x14ac:dyDescent="0.2">
      <c r="B2880" t="str">
        <f>VLOOKUP(G2880,PC!B:D,3,FALSE)</f>
        <v>CPV</v>
      </c>
      <c r="C2880" s="22">
        <v>2023</v>
      </c>
      <c r="D2880" t="s">
        <v>94</v>
      </c>
      <c r="E2880" t="s">
        <v>156</v>
      </c>
      <c r="F2880" t="str">
        <f>VLOOKUP(G2880,PC!B:D,2,FALSE)</f>
        <v>BEBIDAS</v>
      </c>
      <c r="G2880" s="4" t="s">
        <v>48</v>
      </c>
      <c r="H2880" s="1">
        <v>85.8</v>
      </c>
    </row>
    <row r="2881" spans="2:8" x14ac:dyDescent="0.2">
      <c r="B2881" t="str">
        <f>VLOOKUP(G2881,PC!B:D,3,FALSE)</f>
        <v>CPV</v>
      </c>
      <c r="C2881" s="22">
        <v>2023</v>
      </c>
      <c r="D2881" t="s">
        <v>94</v>
      </c>
      <c r="E2881" t="s">
        <v>28</v>
      </c>
      <c r="F2881" t="str">
        <f>VLOOKUP(G2881,PC!B:D,2,FALSE)</f>
        <v>BEBIDAS</v>
      </c>
      <c r="G2881" s="4" t="s">
        <v>26</v>
      </c>
      <c r="H2881" s="1">
        <v>1192.69</v>
      </c>
    </row>
    <row r="2882" spans="2:8" x14ac:dyDescent="0.2">
      <c r="B2882" t="str">
        <f>VLOOKUP(G2882,PC!B:D,3,FALSE)</f>
        <v>CPV</v>
      </c>
      <c r="C2882" s="22">
        <v>2023</v>
      </c>
      <c r="D2882" t="s">
        <v>94</v>
      </c>
      <c r="E2882" t="s">
        <v>14</v>
      </c>
      <c r="F2882" t="str">
        <f>VLOOKUP(G2882,PC!B:D,2,FALSE)</f>
        <v>BEBIDAS</v>
      </c>
      <c r="G2882" s="4" t="s">
        <v>25</v>
      </c>
      <c r="H2882" s="1">
        <v>1124.4100000000001</v>
      </c>
    </row>
    <row r="2883" spans="2:8" x14ac:dyDescent="0.2">
      <c r="B2883" t="str">
        <f>VLOOKUP(G2883,PC!B:D,3,FALSE)</f>
        <v>CPV</v>
      </c>
      <c r="C2883" s="22">
        <v>2023</v>
      </c>
      <c r="D2883" t="s">
        <v>94</v>
      </c>
      <c r="E2883" t="s">
        <v>14</v>
      </c>
      <c r="F2883" t="str">
        <f>VLOOKUP(G2883,PC!B:D,2,FALSE)</f>
        <v>BEBIDAS</v>
      </c>
      <c r="G2883" s="4" t="s">
        <v>26</v>
      </c>
      <c r="H2883" s="1">
        <v>920.21</v>
      </c>
    </row>
    <row r="2884" spans="2:8" x14ac:dyDescent="0.2">
      <c r="B2884" t="str">
        <f>VLOOKUP(G2884,PC!B:D,3,FALSE)</f>
        <v>CPV</v>
      </c>
      <c r="C2884" s="22">
        <v>2023</v>
      </c>
      <c r="D2884" t="s">
        <v>94</v>
      </c>
      <c r="E2884" t="s">
        <v>14</v>
      </c>
      <c r="F2884" t="str">
        <f>VLOOKUP(G2884,PC!B:D,2,FALSE)</f>
        <v>BEBIDAS</v>
      </c>
      <c r="G2884" s="4" t="s">
        <v>41</v>
      </c>
      <c r="H2884" s="1">
        <f>1028.76-H2883</f>
        <v>108.54999999999995</v>
      </c>
    </row>
    <row r="2885" spans="2:8" x14ac:dyDescent="0.2">
      <c r="B2885" t="str">
        <f>VLOOKUP(G2885,PC!B:D,3,FALSE)</f>
        <v>CPV</v>
      </c>
      <c r="C2885" s="22">
        <v>2023</v>
      </c>
      <c r="D2885" t="s">
        <v>94</v>
      </c>
      <c r="E2885" t="s">
        <v>14</v>
      </c>
      <c r="F2885" t="str">
        <f>VLOOKUP(G2885,PC!B:D,2,FALSE)</f>
        <v>BEBIDAS</v>
      </c>
      <c r="G2885" s="4" t="s">
        <v>25</v>
      </c>
      <c r="H2885" s="1">
        <v>278.27</v>
      </c>
    </row>
    <row r="2886" spans="2:8" x14ac:dyDescent="0.2">
      <c r="B2886" t="str">
        <f>VLOOKUP(G2886,PC!B:D,3,FALSE)</f>
        <v>CPV</v>
      </c>
      <c r="C2886" s="22">
        <v>2023</v>
      </c>
      <c r="D2886" t="s">
        <v>94</v>
      </c>
      <c r="E2886" t="s">
        <v>49</v>
      </c>
      <c r="F2886" t="str">
        <f>VLOOKUP(G2886,PC!B:D,2,FALSE)</f>
        <v>CIGARRO</v>
      </c>
      <c r="G2886" s="4" t="s">
        <v>52</v>
      </c>
      <c r="H2886" s="1">
        <v>2291.44</v>
      </c>
    </row>
    <row r="2887" spans="2:8" x14ac:dyDescent="0.2">
      <c r="B2887" t="str">
        <f>VLOOKUP(G2887,PC!B:D,3,FALSE)</f>
        <v>CPV</v>
      </c>
      <c r="C2887" s="22">
        <v>2023</v>
      </c>
      <c r="D2887" t="s">
        <v>94</v>
      </c>
      <c r="E2887" t="s">
        <v>21</v>
      </c>
      <c r="F2887" t="str">
        <f>VLOOKUP(G2887,PC!B:D,2,FALSE)</f>
        <v>SOBREMESA</v>
      </c>
      <c r="G2887" s="4" t="s">
        <v>23</v>
      </c>
      <c r="H2887" s="1">
        <v>209.18</v>
      </c>
    </row>
    <row r="2888" spans="2:8" x14ac:dyDescent="0.2">
      <c r="B2888" t="str">
        <f>VLOOKUP(G2888,PC!B:D,3,FALSE)</f>
        <v>CPV</v>
      </c>
      <c r="C2888" s="22">
        <v>2023</v>
      </c>
      <c r="D2888" t="s">
        <v>94</v>
      </c>
      <c r="E2888" t="s">
        <v>28</v>
      </c>
      <c r="F2888" t="str">
        <f>VLOOKUP(G2888,PC!B:D,2,FALSE)</f>
        <v>BEBIDAS</v>
      </c>
      <c r="G2888" s="4" t="s">
        <v>26</v>
      </c>
      <c r="H2888" s="1">
        <v>3101.96</v>
      </c>
    </row>
    <row r="2889" spans="2:8" x14ac:dyDescent="0.2">
      <c r="B2889" t="str">
        <f>VLOOKUP(G2889,PC!B:D,3,FALSE)</f>
        <v>CPV</v>
      </c>
      <c r="C2889" s="22">
        <v>2023</v>
      </c>
      <c r="D2889" t="s">
        <v>94</v>
      </c>
      <c r="E2889" t="s">
        <v>49</v>
      </c>
      <c r="F2889" t="str">
        <f>VLOOKUP(G2889,PC!B:D,2,FALSE)</f>
        <v>CIGARRO</v>
      </c>
      <c r="G2889" s="4" t="s">
        <v>52</v>
      </c>
      <c r="H2889" s="1">
        <v>1583.15</v>
      </c>
    </row>
    <row r="2890" spans="2:8" x14ac:dyDescent="0.2">
      <c r="B2890" t="str">
        <f>VLOOKUP(G2890,PC!B:D,3,FALSE)</f>
        <v>CPV</v>
      </c>
      <c r="C2890" s="22">
        <v>2023</v>
      </c>
      <c r="D2890" t="s">
        <v>94</v>
      </c>
      <c r="E2890" t="s">
        <v>14</v>
      </c>
      <c r="F2890" t="str">
        <f>VLOOKUP(G2890,PC!B:D,2,FALSE)</f>
        <v>BEBIDAS</v>
      </c>
      <c r="G2890" s="4" t="s">
        <v>25</v>
      </c>
      <c r="H2890" s="1">
        <v>509.42</v>
      </c>
    </row>
    <row r="2891" spans="2:8" x14ac:dyDescent="0.2">
      <c r="B2891" t="str">
        <f>VLOOKUP(G2891,PC!B:D,3,FALSE)</f>
        <v>CPV</v>
      </c>
      <c r="C2891" s="22">
        <v>2023</v>
      </c>
      <c r="D2891" t="s">
        <v>94</v>
      </c>
      <c r="E2891" t="s">
        <v>19</v>
      </c>
      <c r="F2891" t="str">
        <f>VLOOKUP(G2891,PC!B:D,2,FALSE)</f>
        <v>COMIDA</v>
      </c>
      <c r="G2891" s="4" t="s">
        <v>18</v>
      </c>
      <c r="H2891" s="1">
        <v>35</v>
      </c>
    </row>
    <row r="2892" spans="2:8" x14ac:dyDescent="0.2">
      <c r="B2892" t="str">
        <f>VLOOKUP(G2892,PC!B:D,3,FALSE)</f>
        <v>CPV</v>
      </c>
      <c r="C2892" s="22">
        <v>2023</v>
      </c>
      <c r="D2892" t="s">
        <v>94</v>
      </c>
      <c r="E2892" t="s">
        <v>129</v>
      </c>
      <c r="F2892" t="str">
        <f>VLOOKUP(G2892,PC!B:D,2,FALSE)</f>
        <v>BEBIDAS</v>
      </c>
      <c r="G2892" s="4" t="s">
        <v>51</v>
      </c>
      <c r="H2892" s="1">
        <v>90</v>
      </c>
    </row>
    <row r="2893" spans="2:8" x14ac:dyDescent="0.2">
      <c r="B2893" t="str">
        <f>VLOOKUP(G2893,PC!B:D,3,FALSE)</f>
        <v>CPV</v>
      </c>
      <c r="C2893" s="22">
        <v>2023</v>
      </c>
      <c r="D2893" t="s">
        <v>94</v>
      </c>
      <c r="E2893" t="s">
        <v>129</v>
      </c>
      <c r="F2893" t="str">
        <f>VLOOKUP(G2893,PC!B:D,2,FALSE)</f>
        <v>BEBIDAS</v>
      </c>
      <c r="G2893" s="4" t="s">
        <v>39</v>
      </c>
      <c r="H2893" s="1">
        <v>120</v>
      </c>
    </row>
    <row r="2894" spans="2:8" x14ac:dyDescent="0.2">
      <c r="B2894" t="str">
        <f>VLOOKUP(G2894,PC!B:D,3,FALSE)</f>
        <v>CPV</v>
      </c>
      <c r="C2894" s="22">
        <v>2023</v>
      </c>
      <c r="D2894" t="s">
        <v>94</v>
      </c>
      <c r="E2894" t="s">
        <v>129</v>
      </c>
      <c r="F2894" t="str">
        <f>VLOOKUP(G2894,PC!B:D,2,FALSE)</f>
        <v>COMIDA</v>
      </c>
      <c r="G2894" s="4" t="s">
        <v>12</v>
      </c>
      <c r="H2894" s="1">
        <v>82</v>
      </c>
    </row>
    <row r="2895" spans="2:8" x14ac:dyDescent="0.2">
      <c r="B2895" t="str">
        <f>VLOOKUP(G2895,PC!B:D,3,FALSE)</f>
        <v>CPV</v>
      </c>
      <c r="C2895" s="22">
        <v>2023</v>
      </c>
      <c r="D2895" t="s">
        <v>94</v>
      </c>
      <c r="E2895" t="s">
        <v>129</v>
      </c>
      <c r="F2895" t="str">
        <f>VLOOKUP(G2895,PC!B:D,2,FALSE)</f>
        <v>COMIDA</v>
      </c>
      <c r="G2895" s="4" t="s">
        <v>33</v>
      </c>
      <c r="H2895" s="1">
        <v>36</v>
      </c>
    </row>
    <row r="2896" spans="2:8" x14ac:dyDescent="0.2">
      <c r="B2896" t="str">
        <f>VLOOKUP(G2896,PC!B:D,3,FALSE)</f>
        <v>CPV</v>
      </c>
      <c r="C2896" s="22">
        <v>2023</v>
      </c>
      <c r="D2896" t="s">
        <v>94</v>
      </c>
      <c r="E2896" t="s">
        <v>129</v>
      </c>
      <c r="F2896" t="str">
        <f>VLOOKUP(G2896,PC!B:D,2,FALSE)</f>
        <v>SOBREMESA</v>
      </c>
      <c r="G2896" s="4" t="s">
        <v>7</v>
      </c>
      <c r="H2896" s="1">
        <v>62</v>
      </c>
    </row>
    <row r="2897" spans="2:8" x14ac:dyDescent="0.2">
      <c r="B2897" t="str">
        <f>VLOOKUP(G2897,PC!B:D,3,FALSE)</f>
        <v>CPV</v>
      </c>
      <c r="C2897" s="22">
        <v>2023</v>
      </c>
      <c r="D2897" t="s">
        <v>94</v>
      </c>
      <c r="E2897" t="s">
        <v>129</v>
      </c>
      <c r="F2897" t="str">
        <f>VLOOKUP(G2897,PC!B:D,2,FALSE)</f>
        <v>COMIDA</v>
      </c>
      <c r="G2897" s="4" t="s">
        <v>155</v>
      </c>
      <c r="H2897" s="1">
        <v>290</v>
      </c>
    </row>
    <row r="2898" spans="2:8" x14ac:dyDescent="0.2">
      <c r="B2898" t="str">
        <f>VLOOKUP(G2898,PC!B:D,3,FALSE)</f>
        <v>CPV</v>
      </c>
      <c r="C2898" s="22">
        <v>2023</v>
      </c>
      <c r="D2898" t="s">
        <v>94</v>
      </c>
      <c r="E2898" t="s">
        <v>129</v>
      </c>
      <c r="F2898" t="str">
        <f>VLOOKUP(G2898,PC!B:D,2,FALSE)</f>
        <v>COMIDA</v>
      </c>
      <c r="G2898" s="4" t="s">
        <v>155</v>
      </c>
      <c r="H2898" s="1">
        <v>605</v>
      </c>
    </row>
    <row r="2899" spans="2:8" x14ac:dyDescent="0.2">
      <c r="B2899" t="str">
        <f>VLOOKUP(G2899,PC!B:D,3,FALSE)</f>
        <v>CPV</v>
      </c>
      <c r="C2899" s="22">
        <v>2023</v>
      </c>
      <c r="D2899" t="s">
        <v>94</v>
      </c>
      <c r="E2899" t="s">
        <v>129</v>
      </c>
      <c r="F2899" t="str">
        <f>VLOOKUP(G2899,PC!B:D,2,FALSE)</f>
        <v>COMIDA</v>
      </c>
      <c r="G2899" s="4" t="s">
        <v>12</v>
      </c>
      <c r="H2899" s="1">
        <v>114</v>
      </c>
    </row>
    <row r="2900" spans="2:8" x14ac:dyDescent="0.2">
      <c r="B2900" t="str">
        <f>VLOOKUP(G2900,PC!B:D,3,FALSE)</f>
        <v>CPV</v>
      </c>
      <c r="C2900" s="22">
        <v>2023</v>
      </c>
      <c r="D2900" t="s">
        <v>94</v>
      </c>
      <c r="E2900" t="s">
        <v>129</v>
      </c>
      <c r="F2900" t="str">
        <f>VLOOKUP(G2900,PC!B:D,2,FALSE)</f>
        <v>COMIDA</v>
      </c>
      <c r="G2900" s="4" t="s">
        <v>152</v>
      </c>
      <c r="H2900" s="1">
        <v>90</v>
      </c>
    </row>
    <row r="2901" spans="2:8" x14ac:dyDescent="0.2">
      <c r="B2901" t="str">
        <f>VLOOKUP(G2901,PC!B:D,3,FALSE)</f>
        <v>SERV. PUBLICOS</v>
      </c>
      <c r="C2901" s="22">
        <v>2023</v>
      </c>
      <c r="D2901" t="s">
        <v>94</v>
      </c>
      <c r="E2901" t="s">
        <v>129</v>
      </c>
      <c r="F2901" t="str">
        <f>VLOOKUP(G2901,PC!B:D,2,FALSE)</f>
        <v>SERV. PUBLICOS</v>
      </c>
      <c r="G2901" s="4" t="s">
        <v>104</v>
      </c>
      <c r="H2901" s="1">
        <v>307.11</v>
      </c>
    </row>
    <row r="2902" spans="2:8" x14ac:dyDescent="0.2">
      <c r="B2902" t="str">
        <f>VLOOKUP(G2902,PC!B:D,3,FALSE)</f>
        <v>CPV</v>
      </c>
      <c r="C2902" s="22">
        <v>2023</v>
      </c>
      <c r="D2902" t="s">
        <v>94</v>
      </c>
      <c r="E2902" t="s">
        <v>129</v>
      </c>
      <c r="F2902" t="str">
        <f>VLOOKUP(G2902,PC!B:D,2,FALSE)</f>
        <v>CIGARRO</v>
      </c>
      <c r="G2902" s="4" t="s">
        <v>53</v>
      </c>
      <c r="H2902" s="1">
        <v>1200</v>
      </c>
    </row>
    <row r="2903" spans="2:8" x14ac:dyDescent="0.2">
      <c r="B2903" t="str">
        <f>VLOOKUP(G2903,PC!B:D,3,FALSE)</f>
        <v>CPV</v>
      </c>
      <c r="C2903" s="22">
        <v>2023</v>
      </c>
      <c r="D2903" t="s">
        <v>94</v>
      </c>
      <c r="E2903" t="s">
        <v>129</v>
      </c>
      <c r="F2903" t="str">
        <f>VLOOKUP(G2903,PC!B:D,2,FALSE)</f>
        <v>SOBREMESA</v>
      </c>
      <c r="G2903" s="4" t="s">
        <v>75</v>
      </c>
      <c r="H2903" s="1">
        <v>1380.14</v>
      </c>
    </row>
    <row r="2904" spans="2:8" x14ac:dyDescent="0.2">
      <c r="B2904" t="str">
        <f>VLOOKUP(G2904,PC!B:D,3,FALSE)</f>
        <v>DESPESA OPERACIONAL</v>
      </c>
      <c r="C2904" s="22">
        <v>2023</v>
      </c>
      <c r="D2904" t="s">
        <v>94</v>
      </c>
      <c r="E2904" t="s">
        <v>129</v>
      </c>
      <c r="F2904" t="str">
        <f>VLOOKUP(G2904,PC!B:D,2,FALSE)</f>
        <v>DESPESA OPERACIONAL</v>
      </c>
      <c r="G2904" s="4" t="s">
        <v>70</v>
      </c>
      <c r="H2904" s="1">
        <v>114</v>
      </c>
    </row>
    <row r="2905" spans="2:8" x14ac:dyDescent="0.2">
      <c r="B2905" t="str">
        <f>VLOOKUP(G2905,PC!B:D,3,FALSE)</f>
        <v>CPV</v>
      </c>
      <c r="C2905" s="22">
        <v>2023</v>
      </c>
      <c r="D2905" t="s">
        <v>94</v>
      </c>
      <c r="E2905" t="s">
        <v>129</v>
      </c>
      <c r="F2905" t="str">
        <f>VLOOKUP(G2905,PC!B:D,2,FALSE)</f>
        <v>COMIDA</v>
      </c>
      <c r="G2905" s="4" t="s">
        <v>12</v>
      </c>
      <c r="H2905" s="1">
        <v>500</v>
      </c>
    </row>
    <row r="2906" spans="2:8" x14ac:dyDescent="0.2">
      <c r="B2906" t="str">
        <f>VLOOKUP(G2906,PC!B:D,3,FALSE)</f>
        <v>CPV</v>
      </c>
      <c r="C2906" s="22">
        <v>2023</v>
      </c>
      <c r="D2906" t="s">
        <v>94</v>
      </c>
      <c r="E2906" t="s">
        <v>129</v>
      </c>
      <c r="F2906" t="str">
        <f>VLOOKUP(G2906,PC!B:D,2,FALSE)</f>
        <v>SOBREMESA</v>
      </c>
      <c r="G2906" s="4" t="s">
        <v>7</v>
      </c>
      <c r="H2906" s="1">
        <v>136</v>
      </c>
    </row>
    <row r="2907" spans="2:8" x14ac:dyDescent="0.2">
      <c r="B2907" t="str">
        <f>VLOOKUP(G2907,PC!B:D,3,FALSE)</f>
        <v>CPV</v>
      </c>
      <c r="C2907" s="22">
        <v>2023</v>
      </c>
      <c r="D2907" t="s">
        <v>94</v>
      </c>
      <c r="E2907" t="s">
        <v>129</v>
      </c>
      <c r="F2907" t="str">
        <f>VLOOKUP(G2907,PC!B:D,2,FALSE)</f>
        <v>BEBIDAS</v>
      </c>
      <c r="G2907" s="4" t="s">
        <v>39</v>
      </c>
      <c r="H2907" s="1">
        <v>105</v>
      </c>
    </row>
    <row r="2908" spans="2:8" x14ac:dyDescent="0.2">
      <c r="B2908" t="str">
        <f>VLOOKUP(G2908,PC!B:D,3,FALSE)</f>
        <v>CPV</v>
      </c>
      <c r="C2908" s="22">
        <v>2023</v>
      </c>
      <c r="D2908" t="s">
        <v>94</v>
      </c>
      <c r="E2908" t="s">
        <v>129</v>
      </c>
      <c r="F2908" t="str">
        <f>VLOOKUP(G2908,PC!B:D,2,FALSE)</f>
        <v>COMIDA</v>
      </c>
      <c r="G2908" s="4" t="s">
        <v>145</v>
      </c>
      <c r="H2908" s="1">
        <v>66.599999999999994</v>
      </c>
    </row>
    <row r="2909" spans="2:8" x14ac:dyDescent="0.2">
      <c r="B2909" t="str">
        <f>VLOOKUP(G2909,PC!B:D,3,FALSE)</f>
        <v>CPV</v>
      </c>
      <c r="C2909" s="22">
        <v>2023</v>
      </c>
      <c r="D2909" t="s">
        <v>94</v>
      </c>
      <c r="E2909" t="s">
        <v>129</v>
      </c>
      <c r="F2909" t="str">
        <f>VLOOKUP(G2909,PC!B:D,2,FALSE)</f>
        <v>CIGARRO</v>
      </c>
      <c r="G2909" s="4" t="s">
        <v>57</v>
      </c>
      <c r="H2909" s="1">
        <v>704</v>
      </c>
    </row>
    <row r="2910" spans="2:8" x14ac:dyDescent="0.2">
      <c r="B2910" t="str">
        <f>VLOOKUP(G2910,PC!B:D,3,FALSE)</f>
        <v>CPV</v>
      </c>
      <c r="C2910" s="22">
        <v>2023</v>
      </c>
      <c r="D2910" t="s">
        <v>94</v>
      </c>
      <c r="E2910" t="s">
        <v>129</v>
      </c>
      <c r="F2910" t="str">
        <f>VLOOKUP(G2910,PC!B:D,2,FALSE)</f>
        <v>CIGARRO</v>
      </c>
      <c r="G2910" s="4" t="s">
        <v>131</v>
      </c>
      <c r="H2910" s="1">
        <v>370</v>
      </c>
    </row>
    <row r="2911" spans="2:8" x14ac:dyDescent="0.2">
      <c r="B2911" t="str">
        <f>VLOOKUP(G2911,PC!B:D,3,FALSE)</f>
        <v>CPV</v>
      </c>
      <c r="C2911" s="22">
        <v>2023</v>
      </c>
      <c r="D2911" t="s">
        <v>94</v>
      </c>
      <c r="E2911" t="s">
        <v>129</v>
      </c>
      <c r="F2911" t="str">
        <f>VLOOKUP(G2911,PC!B:D,2,FALSE)</f>
        <v>CIGARRO</v>
      </c>
      <c r="G2911" s="4" t="s">
        <v>131</v>
      </c>
      <c r="H2911" s="1">
        <f>866-H2909</f>
        <v>162</v>
      </c>
    </row>
    <row r="2912" spans="2:8" x14ac:dyDescent="0.2">
      <c r="B2912" t="str">
        <f>VLOOKUP(G2912,PC!B:D,3,FALSE)</f>
        <v>RECEITA</v>
      </c>
      <c r="C2912" s="22">
        <v>2023</v>
      </c>
      <c r="D2912" t="s">
        <v>94</v>
      </c>
      <c r="F2912" t="str">
        <f>VLOOKUP(G2912,PC!B:D,2,FALSE)</f>
        <v>RECEITA</v>
      </c>
      <c r="G2912" s="4" t="s">
        <v>64</v>
      </c>
      <c r="H2912" s="1">
        <f>23.42+15.73+20</f>
        <v>59.150000000000006</v>
      </c>
    </row>
    <row r="2913" spans="2:8" x14ac:dyDescent="0.2">
      <c r="B2913" t="str">
        <f>VLOOKUP(G2913,PC!B:D,3,FALSE)</f>
        <v>DESPESA OPERACIONAL</v>
      </c>
      <c r="C2913" s="22">
        <v>2023</v>
      </c>
      <c r="D2913" t="s">
        <v>94</v>
      </c>
      <c r="F2913" t="str">
        <f>VLOOKUP(G2913,PC!B:D,2,FALSE)</f>
        <v>DESPESA OPERACIONAL</v>
      </c>
      <c r="G2913" s="4" t="s">
        <v>73</v>
      </c>
      <c r="H2913" s="1">
        <f>872.45+684.77+1019.08</f>
        <v>2576.3000000000002</v>
      </c>
    </row>
    <row r="2914" spans="2:8" x14ac:dyDescent="0.2">
      <c r="B2914" t="str">
        <f>VLOOKUP(G2914,PC!B:D,3,FALSE)</f>
        <v>CPV</v>
      </c>
      <c r="C2914" s="22">
        <v>2023</v>
      </c>
      <c r="D2914" t="s">
        <v>94</v>
      </c>
      <c r="E2914" t="s">
        <v>10</v>
      </c>
      <c r="F2914" t="str">
        <f>VLOOKUP(G2914,PC!B:D,2,FALSE)</f>
        <v>COMIDA</v>
      </c>
      <c r="G2914" s="4" t="s">
        <v>12</v>
      </c>
      <c r="H2914" s="1">
        <v>448.86</v>
      </c>
    </row>
    <row r="2915" spans="2:8" x14ac:dyDescent="0.2">
      <c r="B2915" t="str">
        <f>VLOOKUP(G2915,PC!B:D,3,FALSE)</f>
        <v>CPV</v>
      </c>
      <c r="C2915" s="22">
        <v>2023</v>
      </c>
      <c r="D2915" t="s">
        <v>94</v>
      </c>
      <c r="E2915" t="s">
        <v>5</v>
      </c>
      <c r="F2915" t="str">
        <f>VLOOKUP(G2915,PC!B:D,2,FALSE)</f>
        <v>COMIDA</v>
      </c>
      <c r="G2915" s="4" t="s">
        <v>18</v>
      </c>
      <c r="H2915" s="1">
        <v>202.41</v>
      </c>
    </row>
    <row r="2916" spans="2:8" x14ac:dyDescent="0.2">
      <c r="B2916" t="str">
        <f>VLOOKUP(G2916,PC!B:D,3,FALSE)</f>
        <v>CPV</v>
      </c>
      <c r="C2916" s="22">
        <v>2023</v>
      </c>
      <c r="D2916" t="s">
        <v>94</v>
      </c>
      <c r="E2916" t="s">
        <v>165</v>
      </c>
      <c r="F2916" t="str">
        <f>VLOOKUP(G2916,PC!B:D,2,FALSE)</f>
        <v>COMIDA</v>
      </c>
      <c r="G2916" s="4" t="s">
        <v>33</v>
      </c>
      <c r="H2916" s="1">
        <v>519.21</v>
      </c>
    </row>
    <row r="2917" spans="2:8" x14ac:dyDescent="0.2">
      <c r="B2917" t="str">
        <f>VLOOKUP(G2917,PC!B:D,3,FALSE)</f>
        <v>CPV</v>
      </c>
      <c r="C2917" s="22">
        <v>2023</v>
      </c>
      <c r="D2917" t="s">
        <v>94</v>
      </c>
      <c r="E2917" t="s">
        <v>28</v>
      </c>
      <c r="F2917" t="str">
        <f>VLOOKUP(G2917,PC!B:D,2,FALSE)</f>
        <v>BEBIDAS</v>
      </c>
      <c r="G2917" s="4" t="s">
        <v>26</v>
      </c>
      <c r="H2917" s="1">
        <v>209.91</v>
      </c>
    </row>
    <row r="2918" spans="2:8" x14ac:dyDescent="0.2">
      <c r="B2918" t="str">
        <f>VLOOKUP(G2918,PC!B:D,3,FALSE)</f>
        <v>CPV</v>
      </c>
      <c r="C2918" s="22">
        <v>2023</v>
      </c>
      <c r="D2918" t="s">
        <v>94</v>
      </c>
      <c r="E2918" t="s">
        <v>28</v>
      </c>
      <c r="F2918" t="str">
        <f>VLOOKUP(G2918,PC!B:D,2,FALSE)</f>
        <v>BEBIDAS</v>
      </c>
      <c r="G2918" s="4" t="s">
        <v>26</v>
      </c>
      <c r="H2918" s="1">
        <v>1148.58</v>
      </c>
    </row>
    <row r="2919" spans="2:8" x14ac:dyDescent="0.2">
      <c r="B2919" t="str">
        <f>VLOOKUP(G2919,PC!B:D,3,FALSE)</f>
        <v>CPV</v>
      </c>
      <c r="C2919" s="22">
        <v>2023</v>
      </c>
      <c r="D2919" t="s">
        <v>94</v>
      </c>
      <c r="E2919" t="s">
        <v>28</v>
      </c>
      <c r="F2919" t="str">
        <f>VLOOKUP(G2919,PC!B:D,2,FALSE)</f>
        <v>BEBIDAS</v>
      </c>
      <c r="G2919" s="4" t="s">
        <v>26</v>
      </c>
      <c r="H2919" s="1">
        <v>855.02</v>
      </c>
    </row>
    <row r="2920" spans="2:8" x14ac:dyDescent="0.2">
      <c r="B2920" t="str">
        <f>VLOOKUP(G2920,PC!B:D,3,FALSE)</f>
        <v>CPV</v>
      </c>
      <c r="C2920" s="22">
        <v>2023</v>
      </c>
      <c r="D2920" t="s">
        <v>94</v>
      </c>
      <c r="E2920" t="s">
        <v>28</v>
      </c>
      <c r="F2920" t="str">
        <f>VLOOKUP(G2920,PC!B:D,2,FALSE)</f>
        <v>BEBIDAS</v>
      </c>
      <c r="G2920" s="4" t="s">
        <v>26</v>
      </c>
      <c r="H2920" s="1">
        <v>95.75</v>
      </c>
    </row>
    <row r="2921" spans="2:8" x14ac:dyDescent="0.2">
      <c r="B2921" t="str">
        <f>VLOOKUP(G2921,PC!B:D,3,FALSE)</f>
        <v>CPV</v>
      </c>
      <c r="C2921" s="22">
        <v>2023</v>
      </c>
      <c r="D2921" t="s">
        <v>94</v>
      </c>
      <c r="E2921" t="s">
        <v>19</v>
      </c>
      <c r="F2921" t="str">
        <f>VLOOKUP(G2921,PC!B:D,2,FALSE)</f>
        <v>LIMPEZA</v>
      </c>
      <c r="G2921" s="4" t="s">
        <v>43</v>
      </c>
      <c r="H2921" s="1">
        <v>119.14</v>
      </c>
    </row>
    <row r="2922" spans="2:8" x14ac:dyDescent="0.2">
      <c r="B2922" t="str">
        <f>VLOOKUP(G2922,PC!B:D,3,FALSE)</f>
        <v>CPV</v>
      </c>
      <c r="C2922" s="22">
        <v>2023</v>
      </c>
      <c r="D2922" t="s">
        <v>94</v>
      </c>
      <c r="E2922" t="s">
        <v>19</v>
      </c>
      <c r="F2922" t="str">
        <f>VLOOKUP(G2922,PC!B:D,2,FALSE)</f>
        <v>COMIDA</v>
      </c>
      <c r="G2922" s="4" t="s">
        <v>145</v>
      </c>
      <c r="H2922" s="1">
        <f>272.41-H2921</f>
        <v>153.27000000000004</v>
      </c>
    </row>
    <row r="2923" spans="2:8" x14ac:dyDescent="0.2">
      <c r="B2923" t="str">
        <f>VLOOKUP(G2923,PC!B:D,3,FALSE)</f>
        <v>CPV</v>
      </c>
      <c r="C2923" s="22">
        <v>2023</v>
      </c>
      <c r="D2923" t="s">
        <v>94</v>
      </c>
      <c r="E2923" t="s">
        <v>27</v>
      </c>
      <c r="F2923" t="str">
        <f>VLOOKUP(G2923,PC!B:D,2,FALSE)</f>
        <v>COMIDA</v>
      </c>
      <c r="G2923" s="4" t="s">
        <v>12</v>
      </c>
      <c r="H2923" s="1">
        <v>213.31</v>
      </c>
    </row>
    <row r="2924" spans="2:8" x14ac:dyDescent="0.2">
      <c r="B2924" t="str">
        <f>VLOOKUP(G2924,PC!B:D,3,FALSE)</f>
        <v>CPV</v>
      </c>
      <c r="C2924" s="22">
        <v>2023</v>
      </c>
      <c r="D2924" t="s">
        <v>94</v>
      </c>
      <c r="E2924" t="s">
        <v>49</v>
      </c>
      <c r="F2924" t="str">
        <f>VLOOKUP(G2924,PC!B:D,2,FALSE)</f>
        <v>CIGARRO</v>
      </c>
      <c r="G2924" s="4" t="s">
        <v>52</v>
      </c>
      <c r="H2924" s="1">
        <v>11211.04</v>
      </c>
    </row>
    <row r="2925" spans="2:8" x14ac:dyDescent="0.2">
      <c r="B2925" t="str">
        <f>VLOOKUP(G2925,PC!B:D,3,FALSE)</f>
        <v>CPV</v>
      </c>
      <c r="C2925" s="22">
        <v>2023</v>
      </c>
      <c r="D2925" t="s">
        <v>94</v>
      </c>
      <c r="E2925" t="s">
        <v>14</v>
      </c>
      <c r="F2925" t="str">
        <f>VLOOKUP(G2925,PC!B:D,2,FALSE)</f>
        <v>BEBIDAS</v>
      </c>
      <c r="G2925" s="4" t="s">
        <v>25</v>
      </c>
      <c r="H2925" s="1">
        <v>541.57000000000005</v>
      </c>
    </row>
    <row r="2926" spans="2:8" x14ac:dyDescent="0.2">
      <c r="B2926" t="e">
        <f>VLOOKUP(G2926,PC!B:D,3,FALSE)</f>
        <v>#N/A</v>
      </c>
      <c r="C2926" s="22">
        <v>2023</v>
      </c>
      <c r="D2926" t="s">
        <v>94</v>
      </c>
      <c r="F2926" t="e">
        <f>VLOOKUP(G2926,PC!B:D,2,FALSE)</f>
        <v>#N/A</v>
      </c>
      <c r="G2926" s="4" t="s">
        <v>210</v>
      </c>
      <c r="H2926" s="1">
        <v>29.51</v>
      </c>
    </row>
    <row r="2927" spans="2:8" x14ac:dyDescent="0.2">
      <c r="B2927" t="str">
        <f>VLOOKUP(G2927,PC!B:D,3,FALSE)</f>
        <v>CPV</v>
      </c>
      <c r="C2927" s="22">
        <v>2023</v>
      </c>
      <c r="D2927" t="s">
        <v>94</v>
      </c>
      <c r="E2927" t="s">
        <v>45</v>
      </c>
      <c r="F2927" t="str">
        <f>VLOOKUP(G2927,PC!B:D,2,FALSE)</f>
        <v>LIMPEZA</v>
      </c>
      <c r="G2927" s="4" t="s">
        <v>43</v>
      </c>
      <c r="H2927" s="1">
        <v>655.84</v>
      </c>
    </row>
    <row r="2928" spans="2:8" x14ac:dyDescent="0.2">
      <c r="B2928" t="str">
        <f>VLOOKUP(G2928,PC!B:D,3,FALSE)</f>
        <v>CPV</v>
      </c>
      <c r="C2928" s="22">
        <v>2023</v>
      </c>
      <c r="D2928" t="s">
        <v>94</v>
      </c>
      <c r="E2928" t="s">
        <v>21</v>
      </c>
      <c r="F2928" t="str">
        <f>VLOOKUP(G2928,PC!B:D,2,FALSE)</f>
        <v>SOBREMESA</v>
      </c>
      <c r="G2928" s="4" t="s">
        <v>23</v>
      </c>
      <c r="H2928" s="1">
        <v>334.44</v>
      </c>
    </row>
    <row r="2929" spans="2:8" x14ac:dyDescent="0.2">
      <c r="B2929" t="str">
        <f>VLOOKUP(G2929,PC!B:D,3,FALSE)</f>
        <v>CPV</v>
      </c>
      <c r="C2929" s="22">
        <v>2023</v>
      </c>
      <c r="D2929" t="s">
        <v>94</v>
      </c>
      <c r="E2929" t="s">
        <v>28</v>
      </c>
      <c r="F2929" t="str">
        <f>VLOOKUP(G2929,PC!B:D,2,FALSE)</f>
        <v>BEBIDAS</v>
      </c>
      <c r="G2929" s="4" t="s">
        <v>26</v>
      </c>
      <c r="H2929" s="1">
        <v>316.86</v>
      </c>
    </row>
    <row r="2930" spans="2:8" x14ac:dyDescent="0.2">
      <c r="B2930" t="str">
        <f>VLOOKUP(G2930,PC!B:D,3,FALSE)</f>
        <v>CPV</v>
      </c>
      <c r="C2930" s="22">
        <v>2023</v>
      </c>
      <c r="D2930" t="s">
        <v>94</v>
      </c>
      <c r="E2930" t="s">
        <v>28</v>
      </c>
      <c r="F2930" t="str">
        <f>VLOOKUP(G2930,PC!B:D,2,FALSE)</f>
        <v>BEBIDAS</v>
      </c>
      <c r="G2930" s="4" t="s">
        <v>26</v>
      </c>
      <c r="H2930" s="1">
        <v>5145.03</v>
      </c>
    </row>
    <row r="2931" spans="2:8" x14ac:dyDescent="0.2">
      <c r="B2931" t="str">
        <f>VLOOKUP(G2931,PC!B:D,3,FALSE)</f>
        <v>CPV</v>
      </c>
      <c r="C2931" s="22">
        <v>2023</v>
      </c>
      <c r="D2931" t="s">
        <v>94</v>
      </c>
      <c r="E2931" t="s">
        <v>6</v>
      </c>
      <c r="F2931" t="str">
        <f>VLOOKUP(G2931,PC!B:D,2,FALSE)</f>
        <v>COMIDA</v>
      </c>
      <c r="G2931" s="4" t="s">
        <v>145</v>
      </c>
      <c r="H2931" s="1">
        <v>49.2</v>
      </c>
    </row>
    <row r="2932" spans="2:8" x14ac:dyDescent="0.2">
      <c r="B2932" t="str">
        <f>VLOOKUP(G2932,PC!B:D,3,FALSE)</f>
        <v>CPV</v>
      </c>
      <c r="C2932" s="22">
        <v>2023</v>
      </c>
      <c r="D2932" t="s">
        <v>94</v>
      </c>
      <c r="E2932" t="s">
        <v>24</v>
      </c>
      <c r="F2932" t="str">
        <f>VLOOKUP(G2932,PC!B:D,2,FALSE)</f>
        <v>COMIDA</v>
      </c>
      <c r="G2932" s="4" t="s">
        <v>33</v>
      </c>
      <c r="H2932" s="1">
        <v>175.77</v>
      </c>
    </row>
    <row r="2933" spans="2:8" x14ac:dyDescent="0.2">
      <c r="B2933" t="str">
        <f>VLOOKUP(G2933,PC!B:D,3,FALSE)</f>
        <v>CPV</v>
      </c>
      <c r="C2933" s="22">
        <v>2023</v>
      </c>
      <c r="D2933" t="s">
        <v>94</v>
      </c>
      <c r="E2933" t="s">
        <v>35</v>
      </c>
      <c r="F2933" t="str">
        <f>VLOOKUP(G2933,PC!B:D,2,FALSE)</f>
        <v>OUTROS</v>
      </c>
      <c r="G2933" s="4" t="s">
        <v>37</v>
      </c>
      <c r="H2933" s="1">
        <v>909.16</v>
      </c>
    </row>
    <row r="2934" spans="2:8" x14ac:dyDescent="0.2">
      <c r="B2934" t="str">
        <f>VLOOKUP(G2934,PC!B:D,3,FALSE)</f>
        <v>CPV</v>
      </c>
      <c r="C2934" s="22">
        <v>2023</v>
      </c>
      <c r="D2934" t="s">
        <v>94</v>
      </c>
      <c r="E2934" t="s">
        <v>14</v>
      </c>
      <c r="F2934" t="str">
        <f>VLOOKUP(G2934,PC!B:D,2,FALSE)</f>
        <v>BEBIDAS</v>
      </c>
      <c r="G2934" s="4" t="s">
        <v>25</v>
      </c>
      <c r="H2934" s="1">
        <v>88.98</v>
      </c>
    </row>
    <row r="2935" spans="2:8" x14ac:dyDescent="0.2">
      <c r="B2935" t="str">
        <f>VLOOKUP(G2935,PC!B:D,3,FALSE)</f>
        <v>CPV</v>
      </c>
      <c r="C2935" s="22">
        <v>2023</v>
      </c>
      <c r="D2935" t="s">
        <v>94</v>
      </c>
      <c r="E2935" t="s">
        <v>14</v>
      </c>
      <c r="F2935" t="str">
        <f>VLOOKUP(G2935,PC!B:D,2,FALSE)</f>
        <v>BEBIDAS</v>
      </c>
      <c r="G2935" s="4" t="s">
        <v>25</v>
      </c>
      <c r="H2935" s="1">
        <v>85.72</v>
      </c>
    </row>
    <row r="2936" spans="2:8" x14ac:dyDescent="0.2">
      <c r="B2936" t="str">
        <f>VLOOKUP(G2936,PC!B:D,3,FALSE)</f>
        <v>CPV</v>
      </c>
      <c r="C2936" s="22">
        <v>2023</v>
      </c>
      <c r="D2936" t="s">
        <v>94</v>
      </c>
      <c r="E2936" t="s">
        <v>14</v>
      </c>
      <c r="F2936" t="str">
        <f>VLOOKUP(G2936,PC!B:D,2,FALSE)</f>
        <v>BEBIDAS</v>
      </c>
      <c r="G2936" s="4" t="s">
        <v>25</v>
      </c>
      <c r="H2936" s="1">
        <v>271.17</v>
      </c>
    </row>
    <row r="2937" spans="2:8" x14ac:dyDescent="0.2">
      <c r="B2937" t="str">
        <f>VLOOKUP(G2937,PC!B:D,3,FALSE)</f>
        <v>CPV</v>
      </c>
      <c r="C2937" s="22">
        <v>2023</v>
      </c>
      <c r="D2937" t="s">
        <v>94</v>
      </c>
      <c r="E2937" t="s">
        <v>14</v>
      </c>
      <c r="F2937" t="str">
        <f>VLOOKUP(G2937,PC!B:D,2,FALSE)</f>
        <v>BEBIDAS</v>
      </c>
      <c r="G2937" s="4" t="s">
        <v>46</v>
      </c>
      <c r="H2937" s="1">
        <v>572.83000000000004</v>
      </c>
    </row>
    <row r="2938" spans="2:8" x14ac:dyDescent="0.2">
      <c r="B2938" t="str">
        <f>VLOOKUP(G2938,PC!B:D,3,FALSE)</f>
        <v>CPV</v>
      </c>
      <c r="C2938" s="22">
        <v>2023</v>
      </c>
      <c r="D2938" t="s">
        <v>94</v>
      </c>
      <c r="E2938" t="s">
        <v>211</v>
      </c>
      <c r="F2938" t="str">
        <f>VLOOKUP(G2938,PC!B:D,2,FALSE)</f>
        <v>BEBIDAS</v>
      </c>
      <c r="G2938" s="4" t="s">
        <v>26</v>
      </c>
      <c r="H2938" s="1">
        <v>2317.02</v>
      </c>
    </row>
    <row r="2939" spans="2:8" x14ac:dyDescent="0.2">
      <c r="B2939" t="str">
        <f>VLOOKUP(G2939,PC!B:D,3,FALSE)</f>
        <v>CPV</v>
      </c>
      <c r="C2939" s="22">
        <v>2023</v>
      </c>
      <c r="D2939" t="s">
        <v>94</v>
      </c>
      <c r="E2939" t="s">
        <v>156</v>
      </c>
      <c r="F2939" t="str">
        <f>VLOOKUP(G2939,PC!B:D,2,FALSE)</f>
        <v>BEBIDAS</v>
      </c>
      <c r="G2939" s="4" t="s">
        <v>48</v>
      </c>
      <c r="H2939" s="1">
        <v>85.8</v>
      </c>
    </row>
    <row r="2940" spans="2:8" x14ac:dyDescent="0.2">
      <c r="B2940" t="str">
        <f>VLOOKUP(G2940,PC!B:D,3,FALSE)</f>
        <v>CPV</v>
      </c>
      <c r="C2940" s="22">
        <v>2023</v>
      </c>
      <c r="D2940" t="s">
        <v>94</v>
      </c>
      <c r="E2940" t="s">
        <v>165</v>
      </c>
      <c r="F2940" t="str">
        <f>VLOOKUP(G2940,PC!B:D,2,FALSE)</f>
        <v>COMIDA</v>
      </c>
      <c r="G2940" s="4" t="s">
        <v>33</v>
      </c>
      <c r="H2940" s="1">
        <v>217.83</v>
      </c>
    </row>
    <row r="2941" spans="2:8" x14ac:dyDescent="0.2">
      <c r="B2941" t="str">
        <f>VLOOKUP(G2941,PC!B:D,3,FALSE)</f>
        <v>CPV</v>
      </c>
      <c r="C2941" s="22">
        <v>2023</v>
      </c>
      <c r="D2941" t="s">
        <v>94</v>
      </c>
      <c r="E2941" t="s">
        <v>20</v>
      </c>
      <c r="F2941" t="str">
        <f>VLOOKUP(G2941,PC!B:D,2,FALSE)</f>
        <v>COMIDA</v>
      </c>
      <c r="G2941" s="4" t="s">
        <v>29</v>
      </c>
      <c r="H2941" s="1">
        <v>103</v>
      </c>
    </row>
    <row r="2942" spans="2:8" x14ac:dyDescent="0.2">
      <c r="B2942" t="str">
        <f>VLOOKUP(G2942,PC!B:D,3,FALSE)</f>
        <v>CPV</v>
      </c>
      <c r="C2942" s="22">
        <v>2023</v>
      </c>
      <c r="D2942" t="s">
        <v>94</v>
      </c>
      <c r="E2942" t="s">
        <v>28</v>
      </c>
      <c r="F2942" t="str">
        <f>VLOOKUP(G2942,PC!B:D,2,FALSE)</f>
        <v>BEBIDAS</v>
      </c>
      <c r="G2942" s="4" t="s">
        <v>26</v>
      </c>
      <c r="H2942" s="1">
        <v>1140.6500000000001</v>
      </c>
    </row>
    <row r="2943" spans="2:8" x14ac:dyDescent="0.2">
      <c r="B2943" t="str">
        <f>VLOOKUP(G2943,PC!B:D,3,FALSE)</f>
        <v>CPV</v>
      </c>
      <c r="C2943" s="22">
        <v>2023</v>
      </c>
      <c r="D2943" t="s">
        <v>94</v>
      </c>
      <c r="E2943" t="s">
        <v>28</v>
      </c>
      <c r="F2943" t="str">
        <f>VLOOKUP(G2943,PC!B:D,2,FALSE)</f>
        <v>BEBIDAS</v>
      </c>
      <c r="G2943" s="4" t="s">
        <v>41</v>
      </c>
      <c r="H2943" s="1">
        <v>103.41</v>
      </c>
    </row>
    <row r="2944" spans="2:8" x14ac:dyDescent="0.2">
      <c r="B2944" t="str">
        <f>VLOOKUP(G2944,PC!B:D,3,FALSE)</f>
        <v>CPV</v>
      </c>
      <c r="C2944" s="22">
        <v>2023</v>
      </c>
      <c r="D2944" t="s">
        <v>94</v>
      </c>
      <c r="E2944" t="s">
        <v>28</v>
      </c>
      <c r="F2944" t="str">
        <f>VLOOKUP(G2944,PC!B:D,2,FALSE)</f>
        <v>BEBIDAS</v>
      </c>
      <c r="G2944" s="4" t="s">
        <v>26</v>
      </c>
      <c r="H2944" s="1">
        <v>532.27</v>
      </c>
    </row>
    <row r="2945" spans="2:8" x14ac:dyDescent="0.2">
      <c r="B2945" t="str">
        <f>VLOOKUP(G2945,PC!B:D,3,FALSE)</f>
        <v>CPV</v>
      </c>
      <c r="C2945" s="22">
        <v>2023</v>
      </c>
      <c r="D2945" t="s">
        <v>94</v>
      </c>
      <c r="E2945" t="s">
        <v>211</v>
      </c>
      <c r="F2945" t="str">
        <f>VLOOKUP(G2945,PC!B:D,2,FALSE)</f>
        <v>BEBIDAS</v>
      </c>
      <c r="G2945" s="4" t="s">
        <v>26</v>
      </c>
      <c r="H2945" s="1">
        <v>689.82</v>
      </c>
    </row>
    <row r="2946" spans="2:8" x14ac:dyDescent="0.2">
      <c r="B2946" t="str">
        <f>VLOOKUP(G2946,PC!B:D,3,FALSE)</f>
        <v>CPV</v>
      </c>
      <c r="C2946" s="22">
        <v>2023</v>
      </c>
      <c r="D2946" t="s">
        <v>94</v>
      </c>
      <c r="E2946" t="s">
        <v>40</v>
      </c>
      <c r="F2946" t="str">
        <f>VLOOKUP(G2946,PC!B:D,2,FALSE)</f>
        <v>BEBIDAS</v>
      </c>
      <c r="G2946" s="4" t="s">
        <v>26</v>
      </c>
      <c r="H2946" s="1">
        <v>64</v>
      </c>
    </row>
    <row r="2947" spans="2:8" x14ac:dyDescent="0.2">
      <c r="B2947" t="str">
        <f>VLOOKUP(G2947,PC!B:D,3,FALSE)</f>
        <v>CPV</v>
      </c>
      <c r="C2947" s="22">
        <v>2023</v>
      </c>
      <c r="D2947" t="s">
        <v>94</v>
      </c>
      <c r="E2947" t="s">
        <v>129</v>
      </c>
      <c r="F2947" t="str">
        <f>VLOOKUP(G2947,PC!B:D,2,FALSE)</f>
        <v>BEBIDAS</v>
      </c>
      <c r="G2947" s="4" t="s">
        <v>48</v>
      </c>
      <c r="H2947" s="1">
        <v>283.5</v>
      </c>
    </row>
    <row r="2948" spans="2:8" x14ac:dyDescent="0.2">
      <c r="B2948" t="str">
        <f>VLOOKUP(G2948,PC!B:D,3,FALSE)</f>
        <v>CPV</v>
      </c>
      <c r="C2948" s="22">
        <v>2023</v>
      </c>
      <c r="D2948" t="s">
        <v>94</v>
      </c>
      <c r="E2948" t="s">
        <v>16</v>
      </c>
      <c r="F2948" t="str">
        <f>VLOOKUP(G2948,PC!B:D,2,FALSE)</f>
        <v>COMIDA</v>
      </c>
      <c r="G2948" s="4" t="s">
        <v>12</v>
      </c>
      <c r="H2948" s="1">
        <v>456.86</v>
      </c>
    </row>
    <row r="2949" spans="2:8" x14ac:dyDescent="0.2">
      <c r="B2949" t="str">
        <f>VLOOKUP(G2949,PC!B:D,3,FALSE)</f>
        <v>CPV</v>
      </c>
      <c r="C2949" s="22">
        <v>2023</v>
      </c>
      <c r="D2949" t="s">
        <v>94</v>
      </c>
      <c r="E2949" t="s">
        <v>24</v>
      </c>
      <c r="F2949" t="str">
        <f>VLOOKUP(G2949,PC!B:D,2,FALSE)</f>
        <v>COMIDA</v>
      </c>
      <c r="G2949" s="4" t="s">
        <v>12</v>
      </c>
      <c r="H2949" s="1">
        <v>311.42</v>
      </c>
    </row>
    <row r="2950" spans="2:8" x14ac:dyDescent="0.2">
      <c r="B2950" t="str">
        <f>VLOOKUP(G2950,PC!B:D,3,FALSE)</f>
        <v>CPV</v>
      </c>
      <c r="C2950" s="22">
        <v>2023</v>
      </c>
      <c r="D2950" t="s">
        <v>94</v>
      </c>
      <c r="E2950" t="s">
        <v>35</v>
      </c>
      <c r="F2950" t="str">
        <f>VLOOKUP(G2950,PC!B:D,2,FALSE)</f>
        <v>OUTROS</v>
      </c>
      <c r="G2950" s="4" t="s">
        <v>37</v>
      </c>
      <c r="H2950" s="1">
        <v>348.89</v>
      </c>
    </row>
    <row r="2951" spans="2:8" x14ac:dyDescent="0.2">
      <c r="B2951" t="str">
        <f>VLOOKUP(G2951,PC!B:D,3,FALSE)</f>
        <v>RECEITA</v>
      </c>
      <c r="C2951" s="22">
        <v>2023</v>
      </c>
      <c r="D2951" t="s">
        <v>94</v>
      </c>
      <c r="F2951" t="str">
        <f>VLOOKUP(G2951,PC!B:D,2,FALSE)</f>
        <v>RECEITA</v>
      </c>
      <c r="G2951" s="4" t="s">
        <v>83</v>
      </c>
      <c r="H2951" s="1">
        <v>10.71</v>
      </c>
    </row>
    <row r="2952" spans="2:8" x14ac:dyDescent="0.2">
      <c r="B2952" t="str">
        <f>VLOOKUP(G2952,PC!B:D,3,FALSE)</f>
        <v>CPV</v>
      </c>
      <c r="C2952" s="22">
        <v>2023</v>
      </c>
      <c r="D2952" t="s">
        <v>94</v>
      </c>
      <c r="E2952" t="s">
        <v>19</v>
      </c>
      <c r="F2952" t="str">
        <f>VLOOKUP(G2952,PC!B:D,2,FALSE)</f>
        <v>COMIDA</v>
      </c>
      <c r="G2952" s="4" t="s">
        <v>145</v>
      </c>
      <c r="H2952" s="1">
        <v>309.97000000000003</v>
      </c>
    </row>
    <row r="2953" spans="2:8" x14ac:dyDescent="0.2">
      <c r="B2953" t="str">
        <f>VLOOKUP(G2953,PC!B:D,3,FALSE)</f>
        <v>CPV</v>
      </c>
      <c r="C2953" s="22">
        <v>2023</v>
      </c>
      <c r="D2953" t="s">
        <v>94</v>
      </c>
      <c r="E2953" t="s">
        <v>35</v>
      </c>
      <c r="F2953" t="str">
        <f>VLOOKUP(G2953,PC!B:D,2,FALSE)</f>
        <v>HIGIENE</v>
      </c>
      <c r="G2953" s="4" t="s">
        <v>36</v>
      </c>
      <c r="H2953" s="1">
        <v>283.98</v>
      </c>
    </row>
    <row r="2954" spans="2:8" x14ac:dyDescent="0.2">
      <c r="B2954" t="str">
        <f>VLOOKUP(G2954,PC!B:D,3,FALSE)</f>
        <v>CPV</v>
      </c>
      <c r="C2954" s="22">
        <v>2023</v>
      </c>
      <c r="D2954" t="s">
        <v>94</v>
      </c>
      <c r="E2954" t="s">
        <v>14</v>
      </c>
      <c r="F2954" t="str">
        <f>VLOOKUP(G2954,PC!B:D,2,FALSE)</f>
        <v>BEBIDAS</v>
      </c>
      <c r="G2954" s="4" t="s">
        <v>25</v>
      </c>
      <c r="H2954" s="1">
        <v>176.87</v>
      </c>
    </row>
    <row r="2955" spans="2:8" x14ac:dyDescent="0.2">
      <c r="B2955" t="str">
        <f>VLOOKUP(G2955,PC!B:D,3,FALSE)</f>
        <v>CPV</v>
      </c>
      <c r="C2955" s="22">
        <v>2023</v>
      </c>
      <c r="D2955" t="s">
        <v>94</v>
      </c>
      <c r="E2955" t="s">
        <v>14</v>
      </c>
      <c r="F2955" t="str">
        <f>VLOOKUP(G2955,PC!B:D,2,FALSE)</f>
        <v>BEBIDAS</v>
      </c>
      <c r="G2955" s="4" t="s">
        <v>25</v>
      </c>
      <c r="H2955" s="1">
        <v>175.26</v>
      </c>
    </row>
    <row r="2956" spans="2:8" x14ac:dyDescent="0.2">
      <c r="B2956" t="str">
        <f>VLOOKUP(G2956,PC!B:D,3,FALSE)</f>
        <v>CPV</v>
      </c>
      <c r="C2956" s="22">
        <v>2023</v>
      </c>
      <c r="D2956" t="s">
        <v>94</v>
      </c>
      <c r="E2956" t="s">
        <v>14</v>
      </c>
      <c r="F2956" t="str">
        <f>VLOOKUP(G2956,PC!B:D,2,FALSE)</f>
        <v>BEBIDAS</v>
      </c>
      <c r="G2956" s="4" t="s">
        <v>25</v>
      </c>
      <c r="H2956" s="1">
        <v>288.93</v>
      </c>
    </row>
    <row r="2957" spans="2:8" x14ac:dyDescent="0.2">
      <c r="B2957" t="str">
        <f>VLOOKUP(G2957,PC!B:D,3,FALSE)</f>
        <v>CPV</v>
      </c>
      <c r="C2957" s="22">
        <v>2023</v>
      </c>
      <c r="D2957" t="s">
        <v>94</v>
      </c>
      <c r="E2957" t="s">
        <v>14</v>
      </c>
      <c r="F2957" t="str">
        <f>VLOOKUP(G2957,PC!B:D,2,FALSE)</f>
        <v>BEBIDAS</v>
      </c>
      <c r="G2957" s="4" t="s">
        <v>41</v>
      </c>
      <c r="H2957" s="1">
        <v>114.42</v>
      </c>
    </row>
    <row r="2958" spans="2:8" x14ac:dyDescent="0.2">
      <c r="B2958" t="str">
        <f>VLOOKUP(G2958,PC!B:D,3,FALSE)</f>
        <v>CPV</v>
      </c>
      <c r="C2958" s="22">
        <v>2023</v>
      </c>
      <c r="D2958" t="s">
        <v>94</v>
      </c>
      <c r="E2958" t="s">
        <v>49</v>
      </c>
      <c r="F2958" t="str">
        <f>VLOOKUP(G2958,PC!B:D,2,FALSE)</f>
        <v>CIGARRO</v>
      </c>
      <c r="G2958" s="4" t="s">
        <v>52</v>
      </c>
      <c r="H2958" s="1">
        <v>5803.1</v>
      </c>
    </row>
    <row r="2959" spans="2:8" x14ac:dyDescent="0.2">
      <c r="B2959" t="str">
        <f>VLOOKUP(G2959,PC!B:D,3,FALSE)</f>
        <v>CPV</v>
      </c>
      <c r="C2959" s="22">
        <v>2023</v>
      </c>
      <c r="D2959" t="s">
        <v>94</v>
      </c>
      <c r="E2959" t="s">
        <v>100</v>
      </c>
      <c r="F2959" t="str">
        <f>VLOOKUP(G2959,PC!B:D,2,FALSE)</f>
        <v>SOBREMESA</v>
      </c>
      <c r="G2959" s="4" t="s">
        <v>47</v>
      </c>
      <c r="H2959" s="1">
        <v>70.150000000000006</v>
      </c>
    </row>
    <row r="2960" spans="2:8" x14ac:dyDescent="0.2">
      <c r="B2960" t="str">
        <f>VLOOKUP(G2960,PC!B:D,3,FALSE)</f>
        <v>CPV</v>
      </c>
      <c r="C2960" s="22">
        <v>2023</v>
      </c>
      <c r="D2960" t="s">
        <v>94</v>
      </c>
      <c r="E2960" t="s">
        <v>78</v>
      </c>
      <c r="F2960" t="str">
        <f>VLOOKUP(G2960,PC!B:D,2,FALSE)</f>
        <v>CIGARRO</v>
      </c>
      <c r="G2960" s="4" t="s">
        <v>82</v>
      </c>
      <c r="H2960" s="1">
        <v>814.99</v>
      </c>
    </row>
    <row r="2961" spans="2:8" x14ac:dyDescent="0.2">
      <c r="B2961" t="str">
        <f>VLOOKUP(G2961,PC!B:D,3,FALSE)</f>
        <v>CPV</v>
      </c>
      <c r="C2961" s="22">
        <v>2023</v>
      </c>
      <c r="D2961" t="s">
        <v>94</v>
      </c>
      <c r="E2961" t="s">
        <v>28</v>
      </c>
      <c r="F2961" t="str">
        <f>VLOOKUP(G2961,PC!B:D,2,FALSE)</f>
        <v>BEBIDAS</v>
      </c>
      <c r="G2961" s="4" t="s">
        <v>26</v>
      </c>
      <c r="H2961" s="1">
        <v>2363.0100000000002</v>
      </c>
    </row>
    <row r="2962" spans="2:8" x14ac:dyDescent="0.2">
      <c r="B2962" t="str">
        <f>VLOOKUP(G2962,PC!B:D,3,FALSE)</f>
        <v>CPV</v>
      </c>
      <c r="C2962" s="22">
        <v>2023</v>
      </c>
      <c r="D2962" t="s">
        <v>94</v>
      </c>
      <c r="E2962" t="s">
        <v>212</v>
      </c>
      <c r="F2962" t="str">
        <f>VLOOKUP(G2962,PC!B:D,2,FALSE)</f>
        <v>COMIDA</v>
      </c>
      <c r="G2962" s="4" t="s">
        <v>33</v>
      </c>
      <c r="H2962" s="1">
        <v>176.29</v>
      </c>
    </row>
    <row r="2963" spans="2:8" x14ac:dyDescent="0.2">
      <c r="B2963" t="str">
        <f>VLOOKUP(G2963,PC!B:D,3,FALSE)</f>
        <v>CPV</v>
      </c>
      <c r="C2963" s="22">
        <v>2023</v>
      </c>
      <c r="D2963" t="s">
        <v>94</v>
      </c>
      <c r="E2963" t="s">
        <v>30</v>
      </c>
      <c r="F2963" t="str">
        <f>VLOOKUP(G2963,PC!B:D,2,FALSE)</f>
        <v>SOBREMESA</v>
      </c>
      <c r="G2963" s="4" t="s">
        <v>23</v>
      </c>
      <c r="H2963" s="1">
        <v>217.24</v>
      </c>
    </row>
    <row r="2964" spans="2:8" x14ac:dyDescent="0.2">
      <c r="B2964" t="str">
        <f>VLOOKUP(G2964,PC!B:D,3,FALSE)</f>
        <v>CPV</v>
      </c>
      <c r="C2964" s="22">
        <v>2023</v>
      </c>
      <c r="D2964" t="s">
        <v>94</v>
      </c>
      <c r="E2964" t="s">
        <v>95</v>
      </c>
      <c r="F2964" t="str">
        <f>VLOOKUP(G2964,PC!B:D,2,FALSE)</f>
        <v>BEBIDAS</v>
      </c>
      <c r="G2964" s="4" t="s">
        <v>144</v>
      </c>
      <c r="H2964" s="1">
        <v>373.68</v>
      </c>
    </row>
    <row r="2965" spans="2:8" x14ac:dyDescent="0.2">
      <c r="B2965" t="str">
        <f>VLOOKUP(G2965,PC!B:D,3,FALSE)</f>
        <v>CPV</v>
      </c>
      <c r="C2965" s="22">
        <v>2023</v>
      </c>
      <c r="D2965" t="s">
        <v>94</v>
      </c>
      <c r="E2965" t="s">
        <v>19</v>
      </c>
      <c r="F2965" t="str">
        <f>VLOOKUP(G2965,PC!B:D,2,FALSE)</f>
        <v>COMIDA</v>
      </c>
      <c r="G2965" s="4" t="s">
        <v>145</v>
      </c>
      <c r="H2965" s="1">
        <v>116.48</v>
      </c>
    </row>
    <row r="2966" spans="2:8" x14ac:dyDescent="0.2">
      <c r="B2966" t="str">
        <f>VLOOKUP(G2966,PC!B:D,3,FALSE)</f>
        <v>CPV</v>
      </c>
      <c r="C2966" s="22">
        <v>2023</v>
      </c>
      <c r="D2966" t="s">
        <v>94</v>
      </c>
      <c r="E2966" t="s">
        <v>5</v>
      </c>
      <c r="F2966" t="str">
        <f>VLOOKUP(G2966,PC!B:D,2,FALSE)</f>
        <v>COMIDA</v>
      </c>
      <c r="G2966" s="4" t="s">
        <v>18</v>
      </c>
      <c r="H2966" s="1">
        <v>372.42</v>
      </c>
    </row>
    <row r="2967" spans="2:8" x14ac:dyDescent="0.2">
      <c r="B2967" t="str">
        <f>VLOOKUP(G2967,PC!B:D,3,FALSE)</f>
        <v>CPV</v>
      </c>
      <c r="C2967" s="22">
        <v>2023</v>
      </c>
      <c r="D2967" t="s">
        <v>94</v>
      </c>
      <c r="E2967" t="s">
        <v>211</v>
      </c>
      <c r="F2967" t="str">
        <f>VLOOKUP(G2967,PC!B:D,2,FALSE)</f>
        <v>BEBIDAS</v>
      </c>
      <c r="G2967" s="4" t="s">
        <v>26</v>
      </c>
      <c r="H2967" s="1">
        <v>860.97</v>
      </c>
    </row>
    <row r="2968" spans="2:8" x14ac:dyDescent="0.2">
      <c r="B2968" t="str">
        <f>VLOOKUP(G2968,PC!B:D,3,FALSE)</f>
        <v>CPV</v>
      </c>
      <c r="C2968" s="22">
        <v>2023</v>
      </c>
      <c r="D2968" t="s">
        <v>94</v>
      </c>
      <c r="E2968" t="s">
        <v>13</v>
      </c>
      <c r="F2968" t="str">
        <f>VLOOKUP(G2968,PC!B:D,2,FALSE)</f>
        <v>COMIDA</v>
      </c>
      <c r="G2968" s="4" t="s">
        <v>33</v>
      </c>
      <c r="H2968" s="1">
        <v>259.38</v>
      </c>
    </row>
    <row r="2969" spans="2:8" x14ac:dyDescent="0.2">
      <c r="B2969" t="str">
        <f>VLOOKUP(G2969,PC!B:D,3,FALSE)</f>
        <v>CPV</v>
      </c>
      <c r="C2969" s="22">
        <v>2023</v>
      </c>
      <c r="D2969" t="s">
        <v>94</v>
      </c>
      <c r="E2969" t="s">
        <v>40</v>
      </c>
      <c r="F2969" t="str">
        <f>VLOOKUP(G2969,PC!B:D,2,FALSE)</f>
        <v>BEBIDAS</v>
      </c>
      <c r="G2969" s="4" t="s">
        <v>51</v>
      </c>
      <c r="H2969" s="1">
        <v>26.9</v>
      </c>
    </row>
    <row r="2970" spans="2:8" x14ac:dyDescent="0.2">
      <c r="B2970" t="str">
        <f>VLOOKUP(G2970,PC!B:D,3,FALSE)</f>
        <v>CPV</v>
      </c>
      <c r="C2970" s="22">
        <v>2023</v>
      </c>
      <c r="D2970" t="s">
        <v>94</v>
      </c>
      <c r="E2970" t="s">
        <v>14</v>
      </c>
      <c r="F2970" t="str">
        <f>VLOOKUP(G2970,PC!B:D,2,FALSE)</f>
        <v>BEBIDAS</v>
      </c>
      <c r="G2970" s="4" t="s">
        <v>25</v>
      </c>
      <c r="H2970" s="1">
        <v>476.31</v>
      </c>
    </row>
    <row r="2971" spans="2:8" x14ac:dyDescent="0.2">
      <c r="B2971" t="str">
        <f>VLOOKUP(G2971,PC!B:D,3,FALSE)</f>
        <v>CPV</v>
      </c>
      <c r="C2971" s="22">
        <v>2023</v>
      </c>
      <c r="D2971" t="s">
        <v>94</v>
      </c>
      <c r="E2971" t="s">
        <v>129</v>
      </c>
      <c r="F2971" t="str">
        <f>VLOOKUP(G2971,PC!B:D,2,FALSE)</f>
        <v>COMIDA</v>
      </c>
      <c r="G2971" s="4" t="s">
        <v>145</v>
      </c>
      <c r="H2971" s="1">
        <v>44.8</v>
      </c>
    </row>
    <row r="2972" spans="2:8" x14ac:dyDescent="0.2">
      <c r="B2972" t="str">
        <f>VLOOKUP(G2972,PC!B:D,3,FALSE)</f>
        <v>CPV</v>
      </c>
      <c r="C2972" s="22">
        <v>2023</v>
      </c>
      <c r="D2972" t="s">
        <v>94</v>
      </c>
      <c r="E2972" t="s">
        <v>129</v>
      </c>
      <c r="F2972" t="str">
        <f>VLOOKUP(G2972,PC!B:D,2,FALSE)</f>
        <v>COMIDA</v>
      </c>
      <c r="G2972" s="4" t="s">
        <v>12</v>
      </c>
      <c r="H2972" s="1">
        <v>49.2</v>
      </c>
    </row>
    <row r="2973" spans="2:8" x14ac:dyDescent="0.2">
      <c r="B2973" t="str">
        <f>VLOOKUP(G2973,PC!B:D,3,FALSE)</f>
        <v>CPV</v>
      </c>
      <c r="C2973" s="22">
        <v>2023</v>
      </c>
      <c r="D2973" t="s">
        <v>94</v>
      </c>
      <c r="E2973" t="s">
        <v>129</v>
      </c>
      <c r="F2973" t="str">
        <f>VLOOKUP(G2973,PC!B:D,2,FALSE)</f>
        <v>BEBIDAS</v>
      </c>
      <c r="G2973" s="4" t="s">
        <v>48</v>
      </c>
      <c r="H2973" s="1">
        <v>184.8</v>
      </c>
    </row>
    <row r="2974" spans="2:8" x14ac:dyDescent="0.2">
      <c r="B2974" t="str">
        <f>VLOOKUP(G2974,PC!B:D,3,FALSE)</f>
        <v>CPV</v>
      </c>
      <c r="C2974" s="22">
        <v>2023</v>
      </c>
      <c r="D2974" t="s">
        <v>94</v>
      </c>
      <c r="E2974" t="s">
        <v>129</v>
      </c>
      <c r="F2974" t="str">
        <f>VLOOKUP(G2974,PC!B:D,2,FALSE)</f>
        <v>SOBREMESA</v>
      </c>
      <c r="G2974" s="4" t="s">
        <v>23</v>
      </c>
      <c r="H2974" s="1">
        <v>20</v>
      </c>
    </row>
    <row r="2975" spans="2:8" x14ac:dyDescent="0.2">
      <c r="B2975" t="str">
        <f>VLOOKUP(G2975,PC!B:D,3,FALSE)</f>
        <v>CPV</v>
      </c>
      <c r="C2975" s="22">
        <v>2023</v>
      </c>
      <c r="D2975" t="s">
        <v>94</v>
      </c>
      <c r="E2975" t="s">
        <v>129</v>
      </c>
      <c r="F2975" t="str">
        <f>VLOOKUP(G2975,PC!B:D,2,FALSE)</f>
        <v>BEBIDAS</v>
      </c>
      <c r="G2975" s="4" t="s">
        <v>39</v>
      </c>
      <c r="H2975" s="1">
        <v>105</v>
      </c>
    </row>
    <row r="2976" spans="2:8" x14ac:dyDescent="0.2">
      <c r="B2976" t="str">
        <f>VLOOKUP(G2976,PC!B:D,3,FALSE)</f>
        <v>CPV</v>
      </c>
      <c r="C2976" s="22">
        <v>2023</v>
      </c>
      <c r="D2976" t="s">
        <v>94</v>
      </c>
      <c r="E2976" t="s">
        <v>129</v>
      </c>
      <c r="F2976" t="str">
        <f>VLOOKUP(G2976,PC!B:D,2,FALSE)</f>
        <v>COMIDA</v>
      </c>
      <c r="G2976" s="4" t="s">
        <v>155</v>
      </c>
      <c r="H2976" s="1">
        <v>360</v>
      </c>
    </row>
    <row r="2977" spans="2:8" x14ac:dyDescent="0.2">
      <c r="B2977" t="str">
        <f>VLOOKUP(G2977,PC!B:D,3,FALSE)</f>
        <v>CPV</v>
      </c>
      <c r="C2977" s="22">
        <v>2023</v>
      </c>
      <c r="D2977" t="s">
        <v>94</v>
      </c>
      <c r="E2977" t="s">
        <v>129</v>
      </c>
      <c r="F2977" t="str">
        <f>VLOOKUP(G2977,PC!B:D,2,FALSE)</f>
        <v>SOBREMESA</v>
      </c>
      <c r="G2977" s="4" t="s">
        <v>75</v>
      </c>
      <c r="H2977" s="1">
        <v>660.13</v>
      </c>
    </row>
    <row r="2978" spans="2:8" x14ac:dyDescent="0.2">
      <c r="B2978" t="str">
        <f>VLOOKUP(G2978,PC!B:D,3,FALSE)</f>
        <v>CPV</v>
      </c>
      <c r="C2978" s="22">
        <v>2023</v>
      </c>
      <c r="D2978" t="s">
        <v>94</v>
      </c>
      <c r="E2978" t="s">
        <v>129</v>
      </c>
      <c r="F2978" t="str">
        <f>VLOOKUP(G2978,PC!B:D,2,FALSE)</f>
        <v>COMIDA</v>
      </c>
      <c r="G2978" s="4" t="s">
        <v>22</v>
      </c>
      <c r="H2978" s="1">
        <v>14</v>
      </c>
    </row>
    <row r="2979" spans="2:8" x14ac:dyDescent="0.2">
      <c r="B2979" t="str">
        <f>VLOOKUP(G2979,PC!B:D,3,FALSE)</f>
        <v>CPV</v>
      </c>
      <c r="C2979" s="22">
        <v>2023</v>
      </c>
      <c r="D2979" t="s">
        <v>94</v>
      </c>
      <c r="E2979" t="s">
        <v>129</v>
      </c>
      <c r="F2979" t="str">
        <f>VLOOKUP(G2979,PC!B:D,2,FALSE)</f>
        <v>BEBIDAS</v>
      </c>
      <c r="G2979" s="4" t="s">
        <v>48</v>
      </c>
      <c r="H2979" s="1">
        <v>138.6</v>
      </c>
    </row>
    <row r="2980" spans="2:8" x14ac:dyDescent="0.2">
      <c r="B2980" t="str">
        <f>VLOOKUP(G2980,PC!B:D,3,FALSE)</f>
        <v>CPV</v>
      </c>
      <c r="C2980" s="22">
        <v>2023</v>
      </c>
      <c r="D2980" t="s">
        <v>94</v>
      </c>
      <c r="E2980" t="s">
        <v>129</v>
      </c>
      <c r="F2980" t="str">
        <f>VLOOKUP(G2980,PC!B:D,2,FALSE)</f>
        <v>CIGARRO</v>
      </c>
      <c r="G2980" s="4" t="s">
        <v>57</v>
      </c>
      <c r="H2980" s="1">
        <v>616</v>
      </c>
    </row>
    <row r="2981" spans="2:8" x14ac:dyDescent="0.2">
      <c r="B2981" t="str">
        <f>VLOOKUP(G2981,PC!B:D,3,FALSE)</f>
        <v>CPV</v>
      </c>
      <c r="C2981" s="22">
        <v>2023</v>
      </c>
      <c r="D2981" t="s">
        <v>94</v>
      </c>
      <c r="E2981" t="s">
        <v>129</v>
      </c>
      <c r="F2981" t="str">
        <f>VLOOKUP(G2981,PC!B:D,2,FALSE)</f>
        <v>CIGARRO</v>
      </c>
      <c r="G2981" s="4" t="s">
        <v>131</v>
      </c>
      <c r="H2981" s="1">
        <f>738-H2980</f>
        <v>122</v>
      </c>
    </row>
    <row r="2982" spans="2:8" x14ac:dyDescent="0.2">
      <c r="B2982" t="str">
        <f>VLOOKUP(G2982,PC!B:D,3,FALSE)</f>
        <v>CPV</v>
      </c>
      <c r="C2982" s="22">
        <v>2023</v>
      </c>
      <c r="D2982" t="s">
        <v>94</v>
      </c>
      <c r="E2982" t="s">
        <v>129</v>
      </c>
      <c r="F2982" t="str">
        <f>VLOOKUP(G2982,PC!B:D,2,FALSE)</f>
        <v>BEBIDAS</v>
      </c>
      <c r="G2982" s="4" t="s">
        <v>46</v>
      </c>
      <c r="H2982" s="1">
        <v>271.39999999999998</v>
      </c>
    </row>
    <row r="2983" spans="2:8" x14ac:dyDescent="0.2">
      <c r="B2983" t="str">
        <f>VLOOKUP(G2983,PC!B:D,3,FALSE)</f>
        <v>CPV</v>
      </c>
      <c r="C2983" s="22">
        <v>2023</v>
      </c>
      <c r="D2983" t="s">
        <v>94</v>
      </c>
      <c r="E2983" t="s">
        <v>129</v>
      </c>
      <c r="F2983" t="str">
        <f>VLOOKUP(G2983,PC!B:D,2,FALSE)</f>
        <v>CIGARRO</v>
      </c>
      <c r="G2983" s="4" t="s">
        <v>57</v>
      </c>
      <c r="H2983" s="1">
        <v>906</v>
      </c>
    </row>
    <row r="2984" spans="2:8" x14ac:dyDescent="0.2">
      <c r="B2984" t="str">
        <f>VLOOKUP(G2984,PC!B:D,3,FALSE)</f>
        <v>CPV</v>
      </c>
      <c r="C2984" s="22">
        <v>2023</v>
      </c>
      <c r="D2984" t="s">
        <v>94</v>
      </c>
      <c r="E2984" t="s">
        <v>129</v>
      </c>
      <c r="F2984" t="str">
        <f>VLOOKUP(G2984,PC!B:D,2,FALSE)</f>
        <v>COMIDA</v>
      </c>
      <c r="G2984" s="4" t="s">
        <v>18</v>
      </c>
      <c r="H2984" s="1">
        <v>24</v>
      </c>
    </row>
    <row r="2985" spans="2:8" x14ac:dyDescent="0.2">
      <c r="B2985" t="str">
        <f>VLOOKUP(G2985,PC!B:D,3,FALSE)</f>
        <v>CPV</v>
      </c>
      <c r="C2985" s="22">
        <v>2023</v>
      </c>
      <c r="D2985" t="s">
        <v>94</v>
      </c>
      <c r="E2985" t="s">
        <v>129</v>
      </c>
      <c r="F2985" t="str">
        <f>VLOOKUP(G2985,PC!B:D,2,FALSE)</f>
        <v>COMIDA</v>
      </c>
      <c r="G2985" s="4" t="s">
        <v>12</v>
      </c>
      <c r="H2985" s="1">
        <v>600</v>
      </c>
    </row>
    <row r="2986" spans="2:8" x14ac:dyDescent="0.2">
      <c r="B2986" t="str">
        <f>VLOOKUP(G2986,PC!B:D,3,FALSE)</f>
        <v>CPV</v>
      </c>
      <c r="C2986" s="22">
        <v>2023</v>
      </c>
      <c r="D2986" t="s">
        <v>94</v>
      </c>
      <c r="E2986" t="s">
        <v>129</v>
      </c>
      <c r="F2986" t="str">
        <f>VLOOKUP(G2986,PC!B:D,2,FALSE)</f>
        <v>SOBREMESA</v>
      </c>
      <c r="G2986" s="4" t="s">
        <v>7</v>
      </c>
      <c r="H2986" s="1">
        <v>249</v>
      </c>
    </row>
    <row r="2987" spans="2:8" x14ac:dyDescent="0.2">
      <c r="B2987" t="str">
        <f>VLOOKUP(G2987,PC!B:D,3,FALSE)</f>
        <v>DESPESA OPERACIONAL</v>
      </c>
      <c r="C2987" s="22">
        <v>2023</v>
      </c>
      <c r="D2987" t="s">
        <v>94</v>
      </c>
      <c r="F2987" t="str">
        <f>VLOOKUP(G2987,PC!B:D,2,FALSE)</f>
        <v>DESPESA OPERACIONAL</v>
      </c>
      <c r="G2987" s="4" t="s">
        <v>70</v>
      </c>
      <c r="H2987" s="1">
        <v>128</v>
      </c>
    </row>
    <row r="2988" spans="2:8" x14ac:dyDescent="0.2">
      <c r="B2988" t="str">
        <f>VLOOKUP(G2988,PC!B:D,3,FALSE)</f>
        <v>CPV</v>
      </c>
      <c r="C2988" s="22">
        <v>2023</v>
      </c>
      <c r="D2988" t="s">
        <v>94</v>
      </c>
      <c r="E2988" t="s">
        <v>129</v>
      </c>
      <c r="F2988" t="str">
        <f>VLOOKUP(G2988,PC!B:D,2,FALSE)</f>
        <v>COMIDA</v>
      </c>
      <c r="G2988" s="4" t="s">
        <v>33</v>
      </c>
      <c r="H2988" s="1">
        <v>42</v>
      </c>
    </row>
    <row r="2989" spans="2:8" x14ac:dyDescent="0.2">
      <c r="B2989" t="str">
        <f>VLOOKUP(G2989,PC!B:D,3,FALSE)</f>
        <v>CPV</v>
      </c>
      <c r="C2989" s="22">
        <v>2023</v>
      </c>
      <c r="D2989" t="s">
        <v>94</v>
      </c>
      <c r="E2989" t="s">
        <v>129</v>
      </c>
      <c r="F2989" t="str">
        <f>VLOOKUP(G2989,PC!B:D,2,FALSE)</f>
        <v>COMIDA</v>
      </c>
      <c r="G2989" s="4" t="s">
        <v>12</v>
      </c>
      <c r="H2989" s="1">
        <v>30</v>
      </c>
    </row>
    <row r="2990" spans="2:8" x14ac:dyDescent="0.2">
      <c r="B2990" t="str">
        <f>VLOOKUP(G2990,PC!B:D,3,FALSE)</f>
        <v>CPV</v>
      </c>
      <c r="C2990" s="22">
        <v>2023</v>
      </c>
      <c r="D2990" t="s">
        <v>94</v>
      </c>
      <c r="E2990" t="s">
        <v>129</v>
      </c>
      <c r="F2990" t="str">
        <f>VLOOKUP(G2990,PC!B:D,2,FALSE)</f>
        <v>SOBREMESA</v>
      </c>
      <c r="G2990" s="4" t="s">
        <v>7</v>
      </c>
      <c r="H2990" s="1">
        <v>268</v>
      </c>
    </row>
    <row r="2991" spans="2:8" x14ac:dyDescent="0.2">
      <c r="B2991" t="str">
        <f>VLOOKUP(G2991,PC!B:D,3,FALSE)</f>
        <v>CPV</v>
      </c>
      <c r="C2991" s="22">
        <v>2023</v>
      </c>
      <c r="D2991" t="s">
        <v>94</v>
      </c>
      <c r="E2991" t="s">
        <v>129</v>
      </c>
      <c r="F2991" t="str">
        <f>VLOOKUP(G2991,PC!B:D,2,FALSE)</f>
        <v>BEBIDAS</v>
      </c>
      <c r="G2991" s="4" t="s">
        <v>39</v>
      </c>
      <c r="H2991" s="1">
        <v>173.5</v>
      </c>
    </row>
    <row r="2992" spans="2:8" x14ac:dyDescent="0.2">
      <c r="B2992" t="str">
        <f>VLOOKUP(G2992,PC!B:D,3,FALSE)</f>
        <v>CPV</v>
      </c>
      <c r="C2992" s="22">
        <v>2023</v>
      </c>
      <c r="D2992" t="s">
        <v>94</v>
      </c>
      <c r="E2992" t="s">
        <v>129</v>
      </c>
      <c r="F2992" t="str">
        <f>VLOOKUP(G2992,PC!B:D,2,FALSE)</f>
        <v>COMIDA</v>
      </c>
      <c r="G2992" s="4" t="s">
        <v>155</v>
      </c>
      <c r="H2992" s="1">
        <v>310</v>
      </c>
    </row>
    <row r="2993" spans="2:8" x14ac:dyDescent="0.2">
      <c r="B2993" t="str">
        <f>VLOOKUP(G2993,PC!B:D,3,FALSE)</f>
        <v>CPV</v>
      </c>
      <c r="C2993" s="22">
        <v>2023</v>
      </c>
      <c r="D2993" t="s">
        <v>94</v>
      </c>
      <c r="E2993" t="s">
        <v>129</v>
      </c>
      <c r="F2993" t="str">
        <f>VLOOKUP(G2993,PC!B:D,2,FALSE)</f>
        <v>OUTROS</v>
      </c>
      <c r="G2993" s="4" t="s">
        <v>58</v>
      </c>
      <c r="H2993" s="1">
        <v>150</v>
      </c>
    </row>
    <row r="2994" spans="2:8" x14ac:dyDescent="0.2">
      <c r="B2994" t="str">
        <f>VLOOKUP(G2994,PC!B:D,3,FALSE)</f>
        <v>DESPESA FINANCEIRA</v>
      </c>
      <c r="C2994" s="22">
        <v>2023</v>
      </c>
      <c r="D2994" t="s">
        <v>84</v>
      </c>
      <c r="F2994" t="str">
        <f>VLOOKUP(G2994,PC!B:D,2,FALSE)</f>
        <v>DESPESA FINANCEIRA</v>
      </c>
      <c r="G2994" s="4" t="s">
        <v>90</v>
      </c>
      <c r="H2994" s="1">
        <v>632.34</v>
      </c>
    </row>
    <row r="2995" spans="2:8" x14ac:dyDescent="0.2">
      <c r="B2995" t="str">
        <f>VLOOKUP(G2995,PC!B:D,3,FALSE)</f>
        <v>DESCONTO DE FATURAMENTO</v>
      </c>
      <c r="C2995" s="22">
        <v>2023</v>
      </c>
      <c r="D2995" t="s">
        <v>84</v>
      </c>
      <c r="F2995" t="str">
        <f>VLOOKUP(G2995,PC!B:D,2,FALSE)</f>
        <v>IMPOSTO</v>
      </c>
      <c r="G2995" s="4" t="s">
        <v>88</v>
      </c>
      <c r="H2995" s="1">
        <v>5068.7</v>
      </c>
    </row>
    <row r="2996" spans="2:8" x14ac:dyDescent="0.2">
      <c r="B2996" t="str">
        <f>VLOOKUP(G2996,PC!B:D,3,FALSE)</f>
        <v>SERV.TERCEIROS</v>
      </c>
      <c r="C2996" s="22">
        <v>2023</v>
      </c>
      <c r="D2996" t="s">
        <v>94</v>
      </c>
      <c r="F2996" t="str">
        <f>VLOOKUP(G2996,PC!B:D,2,FALSE)</f>
        <v>SERV.TERCEIROS</v>
      </c>
      <c r="G2996" s="4" t="s">
        <v>123</v>
      </c>
      <c r="H2996" s="1">
        <v>250</v>
      </c>
    </row>
    <row r="2997" spans="2:8" x14ac:dyDescent="0.2">
      <c r="B2997" t="str">
        <f>VLOOKUP(G2997,PC!B:D,3,FALSE)</f>
        <v>SERV.TERCEIROS</v>
      </c>
      <c r="C2997" s="22">
        <v>2023</v>
      </c>
      <c r="D2997" t="s">
        <v>84</v>
      </c>
      <c r="F2997" t="str">
        <f>VLOOKUP(G2997,PC!B:D,2,FALSE)</f>
        <v>SERV.TERCEIROS</v>
      </c>
      <c r="G2997" s="4" t="s">
        <v>60</v>
      </c>
      <c r="H2997" s="1">
        <v>380</v>
      </c>
    </row>
    <row r="2998" spans="2:8" x14ac:dyDescent="0.2">
      <c r="B2998" t="str">
        <f>VLOOKUP(G2998,PC!B:D,3,FALSE)</f>
        <v>RECEITA</v>
      </c>
      <c r="C2998" s="22">
        <v>2023</v>
      </c>
      <c r="D2998" t="s">
        <v>94</v>
      </c>
      <c r="F2998" t="str">
        <f>VLOOKUP(G2998,PC!B:D,2,FALSE)</f>
        <v>RECEITA</v>
      </c>
      <c r="G2998" s="4" t="s">
        <v>54</v>
      </c>
      <c r="H2998" s="1">
        <f>84+126+80+52+84.75</f>
        <v>426.75</v>
      </c>
    </row>
    <row r="2999" spans="2:8" x14ac:dyDescent="0.2">
      <c r="B2999" t="str">
        <f>VLOOKUP(G2999,PC!B:D,3,FALSE)</f>
        <v>RECEITA</v>
      </c>
      <c r="C2999" s="22">
        <v>2023</v>
      </c>
      <c r="D2999" t="s">
        <v>94</v>
      </c>
      <c r="F2999" t="str">
        <f>VLOOKUP(G2999,PC!B:D,2,FALSE)</f>
        <v>RECEITA</v>
      </c>
      <c r="G2999" s="4" t="s">
        <v>54</v>
      </c>
      <c r="H2999" s="1">
        <v>1500</v>
      </c>
    </row>
    <row r="3000" spans="2:8" x14ac:dyDescent="0.2">
      <c r="B3000" t="str">
        <f>VLOOKUP(G3000,PC!B:D,3,FALSE)</f>
        <v>RECEITA</v>
      </c>
      <c r="C3000" s="22">
        <v>2023</v>
      </c>
      <c r="D3000" t="s">
        <v>94</v>
      </c>
      <c r="F3000" t="str">
        <f>VLOOKUP(G3000,PC!B:D,2,FALSE)</f>
        <v>RECEITA</v>
      </c>
      <c r="G3000" s="4" t="s">
        <v>54</v>
      </c>
      <c r="H3000" s="1">
        <v>850</v>
      </c>
    </row>
    <row r="3001" spans="2:8" x14ac:dyDescent="0.2">
      <c r="B3001" t="str">
        <f>VLOOKUP(G3001,PC!B:D,3,FALSE)</f>
        <v>RECEITA</v>
      </c>
      <c r="C3001" s="22">
        <v>2023</v>
      </c>
      <c r="D3001" t="s">
        <v>94</v>
      </c>
      <c r="F3001" t="str">
        <f>VLOOKUP(G3001,PC!B:D,2,FALSE)</f>
        <v>RECEITA</v>
      </c>
      <c r="G3001" s="4" t="s">
        <v>54</v>
      </c>
      <c r="H3001" s="1">
        <v>1700</v>
      </c>
    </row>
    <row r="3002" spans="2:8" x14ac:dyDescent="0.2">
      <c r="B3002" t="str">
        <f>VLOOKUP(G3002,PC!B:D,3,FALSE)</f>
        <v>RECEITA</v>
      </c>
      <c r="C3002" s="22">
        <v>2023</v>
      </c>
      <c r="D3002" t="s">
        <v>94</v>
      </c>
      <c r="F3002" t="str">
        <f>VLOOKUP(G3002,PC!B:D,2,FALSE)</f>
        <v>RECEITA</v>
      </c>
      <c r="G3002" s="4" t="s">
        <v>54</v>
      </c>
      <c r="H3002" s="1">
        <f>500+45+120+80+160+300+34</f>
        <v>1239</v>
      </c>
    </row>
    <row r="3003" spans="2:8" x14ac:dyDescent="0.2">
      <c r="B3003" t="str">
        <f>VLOOKUP(G3003,PC!B:D,3,FALSE)</f>
        <v>RECEITA</v>
      </c>
      <c r="C3003" s="22">
        <v>2023</v>
      </c>
      <c r="D3003" t="s">
        <v>94</v>
      </c>
      <c r="F3003" t="str">
        <f>VLOOKUP(G3003,PC!B:D,2,FALSE)</f>
        <v>RECEITA</v>
      </c>
      <c r="G3003" s="4" t="s">
        <v>54</v>
      </c>
      <c r="H3003" s="1">
        <v>1500</v>
      </c>
    </row>
    <row r="3004" spans="2:8" x14ac:dyDescent="0.2">
      <c r="B3004" t="str">
        <f>VLOOKUP(G3004,PC!B:D,3,FALSE)</f>
        <v>DESPESA PESSOAL</v>
      </c>
      <c r="C3004" s="22">
        <v>2023</v>
      </c>
      <c r="D3004" t="s">
        <v>94</v>
      </c>
      <c r="F3004" t="str">
        <f>VLOOKUP(G3004,PC!B:D,2,FALSE)</f>
        <v>DESPESA PESSOAL</v>
      </c>
      <c r="G3004" s="4" t="s">
        <v>68</v>
      </c>
      <c r="H3004" s="1">
        <v>120</v>
      </c>
    </row>
    <row r="3005" spans="2:8" x14ac:dyDescent="0.2">
      <c r="B3005" t="str">
        <f>VLOOKUP(G3005,PC!B:D,3,FALSE)</f>
        <v>DESPESA PESSOAL</v>
      </c>
      <c r="C3005" s="22">
        <v>2023</v>
      </c>
      <c r="D3005" t="s">
        <v>94</v>
      </c>
      <c r="F3005" t="str">
        <f>VLOOKUP(G3005,PC!B:D,2,FALSE)</f>
        <v>DESPESA PESSOAL</v>
      </c>
      <c r="G3005" s="4" t="s">
        <v>68</v>
      </c>
      <c r="H3005" s="1">
        <v>45</v>
      </c>
    </row>
    <row r="3006" spans="2:8" x14ac:dyDescent="0.2">
      <c r="B3006" t="str">
        <f>VLOOKUP(G3006,PC!B:D,3,FALSE)</f>
        <v>DESPESA PESSOAL</v>
      </c>
      <c r="C3006" s="22">
        <v>2023</v>
      </c>
      <c r="D3006" t="s">
        <v>94</v>
      </c>
      <c r="F3006" t="str">
        <f>VLOOKUP(G3006,PC!B:D,2,FALSE)</f>
        <v>DESPESA PESSOAL</v>
      </c>
      <c r="G3006" s="4" t="s">
        <v>56</v>
      </c>
      <c r="H3006" s="1">
        <v>300</v>
      </c>
    </row>
    <row r="3007" spans="2:8" x14ac:dyDescent="0.2">
      <c r="B3007" t="str">
        <f>VLOOKUP(G3007,PC!B:D,3,FALSE)</f>
        <v>RECEITA</v>
      </c>
      <c r="C3007" s="22">
        <v>2023</v>
      </c>
      <c r="D3007" t="s">
        <v>94</v>
      </c>
      <c r="F3007" t="str">
        <f>VLOOKUP(G3007,PC!B:D,2,FALSE)</f>
        <v>RECEITA</v>
      </c>
      <c r="G3007" s="4" t="s">
        <v>54</v>
      </c>
      <c r="H3007" s="1">
        <f>66.6+105+140+67.5+25+150+50</f>
        <v>604.1</v>
      </c>
    </row>
    <row r="3008" spans="2:8" x14ac:dyDescent="0.2">
      <c r="B3008" t="str">
        <f>VLOOKUP(G3008,PC!B:D,3,FALSE)</f>
        <v>RECEITA</v>
      </c>
      <c r="C3008" s="22">
        <v>2023</v>
      </c>
      <c r="D3008" t="s">
        <v>94</v>
      </c>
      <c r="F3008" t="str">
        <f>VLOOKUP(G3008,PC!B:D,2,FALSE)</f>
        <v>RECEITA</v>
      </c>
      <c r="G3008" s="4" t="s">
        <v>54</v>
      </c>
      <c r="H3008" s="1">
        <v>650</v>
      </c>
    </row>
    <row r="3009" spans="2:8" x14ac:dyDescent="0.2">
      <c r="B3009" t="str">
        <f>VLOOKUP(G3009,PC!B:D,3,FALSE)</f>
        <v>RECEITA</v>
      </c>
      <c r="C3009" s="22">
        <v>2023</v>
      </c>
      <c r="D3009" t="s">
        <v>94</v>
      </c>
      <c r="F3009" t="str">
        <f>VLOOKUP(G3009,PC!B:D,2,FALSE)</f>
        <v>RECEITA</v>
      </c>
      <c r="G3009" s="4" t="s">
        <v>59</v>
      </c>
      <c r="H3009" s="1">
        <v>280</v>
      </c>
    </row>
    <row r="3010" spans="2:8" x14ac:dyDescent="0.2">
      <c r="B3010" t="str">
        <f>VLOOKUP(G3010,PC!B:D,3,FALSE)</f>
        <v>RECEITA</v>
      </c>
      <c r="C3010" s="22">
        <v>2023</v>
      </c>
      <c r="D3010" t="s">
        <v>94</v>
      </c>
      <c r="F3010" t="str">
        <f>VLOOKUP(G3010,PC!B:D,2,FALSE)</f>
        <v>RECEITA</v>
      </c>
      <c r="G3010" s="4" t="s">
        <v>54</v>
      </c>
      <c r="H3010" s="1">
        <v>250</v>
      </c>
    </row>
    <row r="3011" spans="2:8" x14ac:dyDescent="0.2">
      <c r="B3011" t="str">
        <f>VLOOKUP(G3011,PC!B:D,3,FALSE)</f>
        <v>RECEITA</v>
      </c>
      <c r="C3011" s="22">
        <v>2023</v>
      </c>
      <c r="D3011" t="s">
        <v>94</v>
      </c>
      <c r="F3011" t="str">
        <f>VLOOKUP(G3011,PC!B:D,2,FALSE)</f>
        <v>RECEITA</v>
      </c>
      <c r="G3011" s="4" t="s">
        <v>54</v>
      </c>
      <c r="H3011" s="1">
        <v>3600</v>
      </c>
    </row>
    <row r="3012" spans="2:8" x14ac:dyDescent="0.2">
      <c r="B3012" t="str">
        <f>VLOOKUP(G3012,PC!B:D,3,FALSE)</f>
        <v>SERV. PUBLICOS</v>
      </c>
      <c r="C3012" s="22">
        <v>2023</v>
      </c>
      <c r="D3012" t="s">
        <v>94</v>
      </c>
      <c r="F3012" t="str">
        <f>VLOOKUP(G3012,PC!B:D,2,FALSE)</f>
        <v>SERV. PUBLICOS</v>
      </c>
      <c r="G3012" s="4" t="s">
        <v>104</v>
      </c>
      <c r="H3012" s="1">
        <v>307</v>
      </c>
    </row>
    <row r="3013" spans="2:8" x14ac:dyDescent="0.2">
      <c r="B3013" t="str">
        <f>VLOOKUP(G3013,PC!B:D,3,FALSE)</f>
        <v>RECEITA</v>
      </c>
      <c r="C3013" s="22">
        <v>2023</v>
      </c>
      <c r="D3013" t="s">
        <v>94</v>
      </c>
      <c r="F3013" t="str">
        <f>VLOOKUP(G3013,PC!B:D,2,FALSE)</f>
        <v>RECEITA</v>
      </c>
      <c r="G3013" s="4" t="s">
        <v>54</v>
      </c>
      <c r="H3013" s="1">
        <f>307+90+114+167+2000+85.8+5+13+892</f>
        <v>3673.8</v>
      </c>
    </row>
    <row r="3014" spans="2:8" x14ac:dyDescent="0.2">
      <c r="B3014" t="str">
        <f>VLOOKUP(G3014,PC!B:D,3,FALSE)</f>
        <v>DESPESA PESSOAL</v>
      </c>
      <c r="C3014" s="22">
        <v>2023</v>
      </c>
      <c r="D3014" t="s">
        <v>94</v>
      </c>
      <c r="F3014" t="str">
        <f>VLOOKUP(G3014,PC!B:D,2,FALSE)</f>
        <v>DESPESA PESSOAL</v>
      </c>
      <c r="G3014" s="4" t="s">
        <v>68</v>
      </c>
      <c r="H3014" s="1">
        <v>18</v>
      </c>
    </row>
    <row r="3015" spans="2:8" x14ac:dyDescent="0.2">
      <c r="B3015" t="str">
        <f>VLOOKUP(G3015,PC!B:D,3,FALSE)</f>
        <v>RECEITA</v>
      </c>
      <c r="C3015" s="22">
        <v>2023</v>
      </c>
      <c r="D3015" t="s">
        <v>94</v>
      </c>
      <c r="F3015" t="str">
        <f>VLOOKUP(G3015,PC!B:D,2,FALSE)</f>
        <v>RECEITA</v>
      </c>
      <c r="G3015" s="4" t="s">
        <v>54</v>
      </c>
      <c r="H3015" s="1">
        <v>2400</v>
      </c>
    </row>
    <row r="3016" spans="2:8" x14ac:dyDescent="0.2">
      <c r="B3016" t="str">
        <f>VLOOKUP(G3016,PC!B:D,3,FALSE)</f>
        <v>DESPESA PESSOAL</v>
      </c>
      <c r="C3016" s="22">
        <v>2023</v>
      </c>
      <c r="D3016" t="s">
        <v>94</v>
      </c>
      <c r="F3016" t="str">
        <f>VLOOKUP(G3016,PC!B:D,2,FALSE)</f>
        <v>DESPESA PESSOAL</v>
      </c>
      <c r="G3016" s="4" t="s">
        <v>56</v>
      </c>
      <c r="H3016" s="1">
        <v>350</v>
      </c>
    </row>
    <row r="3017" spans="2:8" x14ac:dyDescent="0.2">
      <c r="B3017" t="str">
        <f>VLOOKUP(G3017,PC!B:D,3,FALSE)</f>
        <v>RECEITA</v>
      </c>
      <c r="C3017" s="22">
        <v>2023</v>
      </c>
      <c r="D3017" t="s">
        <v>94</v>
      </c>
      <c r="F3017" t="str">
        <f>VLOOKUP(G3017,PC!B:D,2,FALSE)</f>
        <v>RECEITA</v>
      </c>
      <c r="G3017" s="4" t="s">
        <v>54</v>
      </c>
      <c r="H3017" s="1">
        <v>350</v>
      </c>
    </row>
    <row r="3018" spans="2:8" x14ac:dyDescent="0.2">
      <c r="B3018" t="str">
        <f>VLOOKUP(G3018,PC!B:D,3,FALSE)</f>
        <v>RECEITA</v>
      </c>
      <c r="C3018" s="22">
        <v>2023</v>
      </c>
      <c r="D3018" t="s">
        <v>94</v>
      </c>
      <c r="F3018" t="str">
        <f>VLOOKUP(G3018,PC!B:D,2,FALSE)</f>
        <v>RECEITA</v>
      </c>
      <c r="G3018" s="4" t="s">
        <v>54</v>
      </c>
      <c r="H3018" s="1">
        <f>36+150+1250+300+1300+577+400</f>
        <v>4013</v>
      </c>
    </row>
    <row r="3019" spans="2:8" x14ac:dyDescent="0.2">
      <c r="B3019" t="str">
        <f>VLOOKUP(G3019,PC!B:D,3,FALSE)</f>
        <v>DESPESA PESSOAL</v>
      </c>
      <c r="C3019" s="22">
        <v>2023</v>
      </c>
      <c r="D3019" t="s">
        <v>94</v>
      </c>
      <c r="F3019" t="str">
        <f>VLOOKUP(G3019,PC!B:D,2,FALSE)</f>
        <v>DESPESA PESSOAL</v>
      </c>
      <c r="G3019" s="4" t="s">
        <v>56</v>
      </c>
      <c r="H3019" s="1">
        <v>577</v>
      </c>
    </row>
    <row r="3020" spans="2:8" x14ac:dyDescent="0.2">
      <c r="B3020" t="str">
        <f>VLOOKUP(G3020,PC!B:D,3,FALSE)</f>
        <v>RECEITA</v>
      </c>
      <c r="C3020" s="22">
        <v>2023</v>
      </c>
      <c r="D3020" t="s">
        <v>94</v>
      </c>
      <c r="F3020" t="str">
        <f>VLOOKUP(G3020,PC!B:D,2,FALSE)</f>
        <v>RECEITA</v>
      </c>
      <c r="G3020" s="4" t="s">
        <v>62</v>
      </c>
      <c r="H3020" s="1">
        <v>100</v>
      </c>
    </row>
    <row r="3021" spans="2:8" x14ac:dyDescent="0.2">
      <c r="B3021" t="str">
        <f>VLOOKUP(G3021,PC!B:D,3,FALSE)</f>
        <v>RECEITA</v>
      </c>
      <c r="C3021" s="22">
        <v>2023</v>
      </c>
      <c r="D3021" t="s">
        <v>94</v>
      </c>
      <c r="F3021" t="str">
        <f>VLOOKUP(G3021,PC!B:D,2,FALSE)</f>
        <v>RECEITA</v>
      </c>
      <c r="G3021" s="4" t="s">
        <v>54</v>
      </c>
      <c r="H3021" s="1">
        <v>1950</v>
      </c>
    </row>
    <row r="3022" spans="2:8" x14ac:dyDescent="0.2">
      <c r="B3022" t="str">
        <f>VLOOKUP(G3022,PC!B:D,3,FALSE)</f>
        <v>RECEITA</v>
      </c>
      <c r="C3022" s="22">
        <v>2023</v>
      </c>
      <c r="D3022" t="s">
        <v>94</v>
      </c>
      <c r="F3022" t="str">
        <f>VLOOKUP(G3022,PC!B:D,2,FALSE)</f>
        <v>RECEITA</v>
      </c>
      <c r="G3022" s="4" t="s">
        <v>54</v>
      </c>
      <c r="H3022" s="1">
        <f>114+62+600+1800+49.2</f>
        <v>2625.2</v>
      </c>
    </row>
    <row r="3023" spans="2:8" x14ac:dyDescent="0.2">
      <c r="B3023" t="str">
        <f>VLOOKUP(G3023,PC!B:D,3,FALSE)</f>
        <v>RECEITA</v>
      </c>
      <c r="C3023" s="22">
        <v>2023</v>
      </c>
      <c r="D3023" t="s">
        <v>94</v>
      </c>
      <c r="F3023" t="str">
        <f>VLOOKUP(G3023,PC!B:D,2,FALSE)</f>
        <v>RECEITA</v>
      </c>
      <c r="G3023" s="4" t="s">
        <v>54</v>
      </c>
      <c r="H3023" s="1">
        <f>36+118.8+40+40+260+39+134+56.2+300+113+253+1800</f>
        <v>3190</v>
      </c>
    </row>
    <row r="3024" spans="2:8" x14ac:dyDescent="0.2">
      <c r="B3024" t="str">
        <f>VLOOKUP(G3024,PC!B:D,3,FALSE)</f>
        <v>RECEITA</v>
      </c>
      <c r="C3024" s="22">
        <v>2023</v>
      </c>
      <c r="D3024" t="s">
        <v>94</v>
      </c>
      <c r="F3024" t="str">
        <f>VLOOKUP(G3024,PC!B:D,2,FALSE)</f>
        <v>RECEITA</v>
      </c>
      <c r="G3024" s="4" t="s">
        <v>54</v>
      </c>
      <c r="H3024" s="1">
        <f>120+214+1000+1500+34+300+20+36+1000+70+370+300+1100</f>
        <v>6064</v>
      </c>
    </row>
    <row r="3025" spans="2:8" x14ac:dyDescent="0.2">
      <c r="B3025" t="str">
        <f>VLOOKUP(G3025,PC!B:D,3,FALSE)</f>
        <v>DESPESA PESSOAL</v>
      </c>
      <c r="C3025" s="22">
        <v>2023</v>
      </c>
      <c r="D3025" t="s">
        <v>94</v>
      </c>
      <c r="F3025" t="str">
        <f>VLOOKUP(G3025,PC!B:D,2,FALSE)</f>
        <v>DESPESA PESSOAL</v>
      </c>
      <c r="G3025" s="4" t="s">
        <v>56</v>
      </c>
      <c r="H3025" s="1">
        <v>300</v>
      </c>
    </row>
    <row r="3026" spans="2:8" x14ac:dyDescent="0.2">
      <c r="B3026" t="str">
        <f>VLOOKUP(G3026,PC!B:D,3,FALSE)</f>
        <v>DESPESA PESSOAL</v>
      </c>
      <c r="C3026" s="22">
        <v>2023</v>
      </c>
      <c r="D3026" t="s">
        <v>94</v>
      </c>
      <c r="F3026" t="str">
        <f>VLOOKUP(G3026,PC!B:D,2,FALSE)</f>
        <v>DESPESA PESSOAL</v>
      </c>
      <c r="G3026" s="4" t="s">
        <v>68</v>
      </c>
      <c r="H3026" s="1">
        <f>70+20</f>
        <v>90</v>
      </c>
    </row>
    <row r="3027" spans="2:8" x14ac:dyDescent="0.2">
      <c r="B3027" t="str">
        <f>VLOOKUP(G3027,PC!B:D,3,FALSE)</f>
        <v>RECEITA</v>
      </c>
      <c r="C3027" s="22">
        <v>2023</v>
      </c>
      <c r="D3027" t="s">
        <v>94</v>
      </c>
      <c r="F3027" t="str">
        <f>VLOOKUP(G3027,PC!B:D,2,FALSE)</f>
        <v>RECEITA</v>
      </c>
      <c r="G3027" s="4" t="s">
        <v>54</v>
      </c>
      <c r="H3027" s="1">
        <f>350+1900</f>
        <v>2250</v>
      </c>
    </row>
    <row r="3028" spans="2:8" x14ac:dyDescent="0.2">
      <c r="B3028" t="str">
        <f>VLOOKUP(G3028,PC!B:D,3,FALSE)</f>
        <v>DESPESA PESSOAL</v>
      </c>
      <c r="C3028" s="22">
        <v>2023</v>
      </c>
      <c r="D3028" t="s">
        <v>94</v>
      </c>
      <c r="F3028" t="str">
        <f>VLOOKUP(G3028,PC!B:D,2,FALSE)</f>
        <v>DESPESA PESSOAL</v>
      </c>
      <c r="G3028" s="4" t="s">
        <v>56</v>
      </c>
      <c r="H3028" s="1">
        <v>350</v>
      </c>
    </row>
    <row r="3029" spans="2:8" x14ac:dyDescent="0.2">
      <c r="B3029" t="str">
        <f>VLOOKUP(G3029,PC!B:D,3,FALSE)</f>
        <v>RECEITA</v>
      </c>
      <c r="C3029" s="22">
        <v>2023</v>
      </c>
      <c r="D3029" t="s">
        <v>94</v>
      </c>
      <c r="F3029" t="str">
        <f>VLOOKUP(G3029,PC!B:D,2,FALSE)</f>
        <v>RECEITA</v>
      </c>
      <c r="G3029" s="4" t="s">
        <v>54</v>
      </c>
      <c r="H3029" s="1">
        <f>900+1550</f>
        <v>2450</v>
      </c>
    </row>
    <row r="3030" spans="2:8" x14ac:dyDescent="0.2">
      <c r="B3030" t="str">
        <f>VLOOKUP(G3030,PC!B:D,3,FALSE)</f>
        <v>RECEITA</v>
      </c>
      <c r="C3030" s="22">
        <v>2023</v>
      </c>
      <c r="D3030" t="s">
        <v>94</v>
      </c>
      <c r="F3030" t="str">
        <f>VLOOKUP(G3030,PC!B:D,2,FALSE)</f>
        <v>RECEITA</v>
      </c>
      <c r="G3030" s="4" t="s">
        <v>54</v>
      </c>
      <c r="H3030" s="1">
        <f>550+2300+80</f>
        <v>2930</v>
      </c>
    </row>
    <row r="3031" spans="2:8" x14ac:dyDescent="0.2">
      <c r="B3031" t="str">
        <f>VLOOKUP(G3031,PC!B:D,3,FALSE)</f>
        <v>RECEITAS NÃO OPERACIONAIS</v>
      </c>
      <c r="C3031" s="22">
        <v>2023</v>
      </c>
      <c r="D3031" t="s">
        <v>94</v>
      </c>
      <c r="F3031" t="str">
        <f>VLOOKUP(G3031,PC!B:D,2,FALSE)</f>
        <v>EMPRESTIMO</v>
      </c>
      <c r="G3031" s="4" t="s">
        <v>71</v>
      </c>
      <c r="H3031" s="1">
        <v>95</v>
      </c>
    </row>
    <row r="3032" spans="2:8" x14ac:dyDescent="0.2">
      <c r="B3032" t="str">
        <f>VLOOKUP(G3032,PC!B:D,3,FALSE)</f>
        <v>RECEITA</v>
      </c>
      <c r="C3032" s="22">
        <v>2023</v>
      </c>
      <c r="D3032" t="s">
        <v>94</v>
      </c>
      <c r="F3032" t="str">
        <f>VLOOKUP(G3032,PC!B:D,2,FALSE)</f>
        <v>RECEITA</v>
      </c>
      <c r="G3032" s="4" t="s">
        <v>54</v>
      </c>
      <c r="H3032" s="1">
        <f>95+30+70+140+52+1000+850</f>
        <v>2237</v>
      </c>
    </row>
    <row r="3033" spans="2:8" x14ac:dyDescent="0.2">
      <c r="B3033" t="str">
        <f>VLOOKUP(G3033,PC!B:D,3,FALSE)</f>
        <v>RECEITA</v>
      </c>
      <c r="C3033" s="22">
        <v>2023</v>
      </c>
      <c r="D3033" t="s">
        <v>94</v>
      </c>
      <c r="F3033" t="str">
        <f>VLOOKUP(G3033,PC!B:D,2,FALSE)</f>
        <v>RECEITA</v>
      </c>
      <c r="G3033" s="4" t="s">
        <v>54</v>
      </c>
      <c r="H3033" s="1">
        <f>26+50+138.9+41+243+35+45+650+68+1600+200</f>
        <v>3096.9</v>
      </c>
    </row>
    <row r="3034" spans="2:8" x14ac:dyDescent="0.2">
      <c r="B3034" t="str">
        <f>VLOOKUP(G3034,PC!B:D,3,FALSE)</f>
        <v>RECEITA</v>
      </c>
      <c r="C3034" s="22">
        <v>2023</v>
      </c>
      <c r="D3034" t="s">
        <v>94</v>
      </c>
      <c r="F3034" t="str">
        <f>VLOOKUP(G3034,PC!B:D,2,FALSE)</f>
        <v>RECEITA</v>
      </c>
      <c r="G3034" s="4" t="s">
        <v>54</v>
      </c>
      <c r="H3034" s="1">
        <f>43.5+950+61.9+53.4+47+184.8+222+24+1000+600+400</f>
        <v>3586.6000000000004</v>
      </c>
    </row>
    <row r="3035" spans="2:8" x14ac:dyDescent="0.2">
      <c r="B3035" t="str">
        <f>VLOOKUP(G3035,PC!B:D,3,FALSE)</f>
        <v>RECEITA</v>
      </c>
      <c r="C3035" s="22">
        <v>2023</v>
      </c>
      <c r="D3035" t="s">
        <v>94</v>
      </c>
      <c r="F3035" t="str">
        <f>VLOOKUP(G3035,PC!B:D,2,FALSE)</f>
        <v>RECEITA</v>
      </c>
      <c r="G3035" s="4" t="s">
        <v>54</v>
      </c>
      <c r="H3035" s="1">
        <f>105+70+50+50+1050+261+300+1000+50</f>
        <v>2936</v>
      </c>
    </row>
    <row r="3036" spans="2:8" x14ac:dyDescent="0.2">
      <c r="B3036" t="str">
        <f>VLOOKUP(G3036,PC!B:D,3,FALSE)</f>
        <v>DESPESA PESSOAL</v>
      </c>
      <c r="C3036" s="22">
        <v>2023</v>
      </c>
      <c r="D3036" t="s">
        <v>94</v>
      </c>
      <c r="F3036" t="str">
        <f>VLOOKUP(G3036,PC!B:D,2,FALSE)</f>
        <v>DESPESA PESSOAL</v>
      </c>
      <c r="G3036" s="4" t="s">
        <v>56</v>
      </c>
      <c r="H3036" s="1">
        <v>300</v>
      </c>
    </row>
    <row r="3037" spans="2:8" x14ac:dyDescent="0.2">
      <c r="B3037" t="str">
        <f>VLOOKUP(G3037,PC!B:D,3,FALSE)</f>
        <v>CPV</v>
      </c>
      <c r="C3037" s="22">
        <v>2023</v>
      </c>
      <c r="D3037" t="s">
        <v>94</v>
      </c>
      <c r="F3037" t="str">
        <f>VLOOKUP(G3037,PC!B:D,2,FALSE)</f>
        <v>COMIDA</v>
      </c>
      <c r="G3037" s="4" t="s">
        <v>12</v>
      </c>
      <c r="H3037" s="1">
        <f>50+50</f>
        <v>100</v>
      </c>
    </row>
    <row r="3038" spans="2:8" x14ac:dyDescent="0.2">
      <c r="B3038" t="str">
        <f>VLOOKUP(G3038,PC!B:D,3,FALSE)</f>
        <v>RECEITAS NÃO OPERACIONAIS</v>
      </c>
      <c r="C3038" s="22">
        <v>2023</v>
      </c>
      <c r="D3038" t="s">
        <v>94</v>
      </c>
      <c r="F3038" t="str">
        <f>VLOOKUP(G3038,PC!B:D,2,FALSE)</f>
        <v>EMPRESTIMO</v>
      </c>
      <c r="G3038" s="4" t="s">
        <v>71</v>
      </c>
      <c r="H3038" s="1">
        <v>70</v>
      </c>
    </row>
    <row r="3039" spans="2:8" x14ac:dyDescent="0.2">
      <c r="B3039" t="str">
        <f>VLOOKUP(G3039,PC!B:D,3,FALSE)</f>
        <v>RECEITA</v>
      </c>
      <c r="C3039" s="22">
        <v>2023</v>
      </c>
      <c r="D3039" t="s">
        <v>94</v>
      </c>
      <c r="F3039" t="str">
        <f>VLOOKUP(G3039,PC!B:D,2,FALSE)</f>
        <v>RECEITA</v>
      </c>
      <c r="G3039" s="4" t="s">
        <v>54</v>
      </c>
      <c r="H3039" s="1">
        <f>200+60+550</f>
        <v>810</v>
      </c>
    </row>
    <row r="3040" spans="2:8" x14ac:dyDescent="0.2">
      <c r="B3040" t="str">
        <f>VLOOKUP(G3040,PC!B:D,3,FALSE)</f>
        <v>RECEITA</v>
      </c>
      <c r="C3040" s="22">
        <v>2023</v>
      </c>
      <c r="D3040" t="s">
        <v>94</v>
      </c>
      <c r="F3040" t="str">
        <f>VLOOKUP(G3040,PC!B:D,2,FALSE)</f>
        <v>RECEITA</v>
      </c>
      <c r="G3040" s="4" t="s">
        <v>54</v>
      </c>
      <c r="H3040" s="1">
        <f>1250+400+350</f>
        <v>2000</v>
      </c>
    </row>
    <row r="3041" spans="2:8" x14ac:dyDescent="0.2">
      <c r="B3041" t="str">
        <f>VLOOKUP(G3041,PC!B:D,3,FALSE)</f>
        <v>DESPESA PESSOAL</v>
      </c>
      <c r="C3041" s="22">
        <v>2023</v>
      </c>
      <c r="D3041" t="s">
        <v>94</v>
      </c>
      <c r="F3041" t="str">
        <f>VLOOKUP(G3041,PC!B:D,2,FALSE)</f>
        <v>DESPESA PESSOAL</v>
      </c>
      <c r="G3041" s="4" t="s">
        <v>56</v>
      </c>
      <c r="H3041" s="1">
        <v>350</v>
      </c>
    </row>
    <row r="3042" spans="2:8" x14ac:dyDescent="0.2">
      <c r="B3042" t="str">
        <f>VLOOKUP(G3042,PC!B:D,3,FALSE)</f>
        <v>RECEITA</v>
      </c>
      <c r="C3042" s="22">
        <v>2023</v>
      </c>
      <c r="D3042" t="s">
        <v>94</v>
      </c>
      <c r="F3042" t="str">
        <f>VLOOKUP(G3042,PC!B:D,2,FALSE)</f>
        <v>RECEITA</v>
      </c>
      <c r="G3042" s="4" t="s">
        <v>54</v>
      </c>
      <c r="H3042" s="1">
        <f>26.9+1350+450+1750+370</f>
        <v>3946.9</v>
      </c>
    </row>
    <row r="3043" spans="2:8" x14ac:dyDescent="0.2">
      <c r="B3043" t="str">
        <f>VLOOKUP(G3043,PC!B:D,3,FALSE)</f>
        <v>RECEITA</v>
      </c>
      <c r="C3043" s="22">
        <v>2023</v>
      </c>
      <c r="D3043" t="s">
        <v>94</v>
      </c>
      <c r="F3043" t="str">
        <f>VLOOKUP(G3043,PC!B:D,2,FALSE)</f>
        <v>RECEITA</v>
      </c>
      <c r="G3043" s="4" t="s">
        <v>54</v>
      </c>
      <c r="H3043" s="1">
        <f>35+500+1200</f>
        <v>1735</v>
      </c>
    </row>
    <row r="3044" spans="2:8" x14ac:dyDescent="0.2">
      <c r="B3044" t="str">
        <f>VLOOKUP(G3044,PC!B:D,3,FALSE)</f>
        <v>RECEITA</v>
      </c>
      <c r="C3044" s="22">
        <v>2023</v>
      </c>
      <c r="D3044" t="s">
        <v>94</v>
      </c>
      <c r="F3044" t="str">
        <f>VLOOKUP(G3044,PC!B:D,2,FALSE)</f>
        <v>RECEITA</v>
      </c>
      <c r="G3044" s="4" t="s">
        <v>54</v>
      </c>
      <c r="H3044" s="1">
        <f>30+68+92+600+300+20+49.4+800+850</f>
        <v>2809.4</v>
      </c>
    </row>
    <row r="3045" spans="2:8" x14ac:dyDescent="0.2">
      <c r="B3045" t="str">
        <f>VLOOKUP(G3045,PC!B:D,3,FALSE)</f>
        <v>RECEITA</v>
      </c>
      <c r="C3045" s="22">
        <v>2023</v>
      </c>
      <c r="D3045" t="s">
        <v>94</v>
      </c>
      <c r="F3045" t="str">
        <f>VLOOKUP(G3045,PC!B:D,2,FALSE)</f>
        <v>RECEITA</v>
      </c>
      <c r="G3045" s="4" t="s">
        <v>54</v>
      </c>
      <c r="H3045" s="1">
        <f>24+36+173.5+16+109+35+438+1350+100</f>
        <v>2281.5</v>
      </c>
    </row>
    <row r="3046" spans="2:8" x14ac:dyDescent="0.2">
      <c r="B3046" t="str">
        <f>VLOOKUP(G3046,PC!B:D,3,FALSE)</f>
        <v>DESPESA PESSOAL</v>
      </c>
      <c r="C3046" s="22">
        <v>2023</v>
      </c>
      <c r="D3046" t="s">
        <v>94</v>
      </c>
      <c r="F3046" t="str">
        <f>VLOOKUP(G3046,PC!B:D,2,FALSE)</f>
        <v>DESPESA PESSOAL</v>
      </c>
      <c r="G3046" s="4" t="s">
        <v>68</v>
      </c>
      <c r="H3046" s="1">
        <v>19</v>
      </c>
    </row>
    <row r="3047" spans="2:8" x14ac:dyDescent="0.2">
      <c r="B3047" t="str">
        <f>VLOOKUP(G3047,PC!B:D,3,FALSE)</f>
        <v>RECEITA</v>
      </c>
      <c r="C3047" s="22">
        <v>2023</v>
      </c>
      <c r="D3047" t="s">
        <v>94</v>
      </c>
      <c r="F3047" t="str">
        <f>VLOOKUP(G3047,PC!B:D,2,FALSE)</f>
        <v>RECEITA</v>
      </c>
      <c r="G3047" s="4" t="s">
        <v>54</v>
      </c>
      <c r="H3047" s="1">
        <f>100+289.5+26+30.8+400+138.6+103+1100+400+24</f>
        <v>2611.9</v>
      </c>
    </row>
    <row r="3048" spans="2:8" x14ac:dyDescent="0.2">
      <c r="B3048" t="str">
        <f>VLOOKUP(G3048,PC!B:D,3,FALSE)</f>
        <v>CPV</v>
      </c>
      <c r="C3048" s="22">
        <v>2023</v>
      </c>
      <c r="D3048" t="s">
        <v>94</v>
      </c>
      <c r="F3048" t="str">
        <f>VLOOKUP(G3048,PC!B:D,2,FALSE)</f>
        <v>COMIDA</v>
      </c>
      <c r="G3048" s="4" t="s">
        <v>22</v>
      </c>
      <c r="H3048" s="1">
        <v>24</v>
      </c>
    </row>
    <row r="3049" spans="2:8" x14ac:dyDescent="0.2">
      <c r="B3049" t="str">
        <f>VLOOKUP(G3049,PC!B:D,3,FALSE)</f>
        <v>RECEITA</v>
      </c>
      <c r="C3049" s="22">
        <v>2023</v>
      </c>
      <c r="D3049" t="s">
        <v>94</v>
      </c>
      <c r="F3049" t="str">
        <f>VLOOKUP(G3049,PC!B:D,2,FALSE)</f>
        <v>RECEITA</v>
      </c>
      <c r="G3049" s="4" t="s">
        <v>54</v>
      </c>
      <c r="H3049" s="1">
        <f>150+24+42+64+690+800+300+30</f>
        <v>2100</v>
      </c>
    </row>
    <row r="3050" spans="2:8" x14ac:dyDescent="0.2">
      <c r="B3050" t="str">
        <f>VLOOKUP(G3050,PC!B:D,3,FALSE)</f>
        <v>DESPESA PESSOAL</v>
      </c>
      <c r="C3050" s="22">
        <v>2023</v>
      </c>
      <c r="D3050" t="s">
        <v>94</v>
      </c>
      <c r="F3050" t="str">
        <f>VLOOKUP(G3050,PC!B:D,2,FALSE)</f>
        <v>DESPESA PESSOAL</v>
      </c>
      <c r="G3050" s="4" t="s">
        <v>56</v>
      </c>
      <c r="H3050" s="1">
        <v>300</v>
      </c>
    </row>
    <row r="3051" spans="2:8" x14ac:dyDescent="0.2">
      <c r="B3051" t="str">
        <f>VLOOKUP(G3051,PC!B:D,3,FALSE)</f>
        <v>RECEITA</v>
      </c>
      <c r="C3051" s="22">
        <v>2023</v>
      </c>
      <c r="D3051" t="s">
        <v>94</v>
      </c>
      <c r="F3051" t="str">
        <f>VLOOKUP(G3051,PC!B:D,2,FALSE)</f>
        <v>RECEITA</v>
      </c>
      <c r="G3051" s="4" t="s">
        <v>54</v>
      </c>
      <c r="H3051" s="1">
        <f>34+2150+350+2200</f>
        <v>4734</v>
      </c>
    </row>
    <row r="3052" spans="2:8" x14ac:dyDescent="0.2">
      <c r="B3052" t="str">
        <f>VLOOKUP(G3052,PC!B:D,3,FALSE)</f>
        <v>DESPESA PESSOAL</v>
      </c>
      <c r="C3052" s="22">
        <v>2023</v>
      </c>
      <c r="D3052" t="s">
        <v>94</v>
      </c>
      <c r="F3052" t="str">
        <f>VLOOKUP(G3052,PC!B:D,2,FALSE)</f>
        <v>DESPESA PESSOAL</v>
      </c>
      <c r="G3052" s="4" t="s">
        <v>56</v>
      </c>
      <c r="H3052" s="1">
        <v>350</v>
      </c>
    </row>
    <row r="3053" spans="2:8" x14ac:dyDescent="0.2">
      <c r="B3053" t="str">
        <f>VLOOKUP(G3053,PC!B:D,3,FALSE)</f>
        <v>RECEITA</v>
      </c>
      <c r="C3053" s="22">
        <v>2023</v>
      </c>
      <c r="D3053" t="s">
        <v>94</v>
      </c>
      <c r="F3053" t="str">
        <f>VLOOKUP(G3053,PC!B:D,2,FALSE)</f>
        <v>RECEITA</v>
      </c>
      <c r="G3053" s="4" t="s">
        <v>54</v>
      </c>
      <c r="H3053" s="1">
        <f>700+1500+65</f>
        <v>2265</v>
      </c>
    </row>
    <row r="3054" spans="2:8" x14ac:dyDescent="0.2">
      <c r="B3054" t="str">
        <f>VLOOKUP(G3054,PC!B:D,3,FALSE)</f>
        <v>CPV</v>
      </c>
      <c r="C3054" s="22">
        <v>2023</v>
      </c>
      <c r="D3054" t="s">
        <v>94</v>
      </c>
      <c r="F3054" t="str">
        <f>VLOOKUP(G3054,PC!B:D,2,FALSE)</f>
        <v>SOBREMESA</v>
      </c>
      <c r="G3054" s="4" t="s">
        <v>7</v>
      </c>
      <c r="H3054" s="1">
        <v>65</v>
      </c>
    </row>
    <row r="3055" spans="2:8" x14ac:dyDescent="0.2">
      <c r="B3055" t="str">
        <f>VLOOKUP(G3055,PC!B:D,3,FALSE)</f>
        <v>CPV</v>
      </c>
      <c r="C3055" s="22">
        <v>2023</v>
      </c>
      <c r="D3055" t="s">
        <v>94</v>
      </c>
      <c r="F3055" t="str">
        <f>VLOOKUP(G3055,PC!B:D,2,FALSE)</f>
        <v>COMIDA</v>
      </c>
      <c r="G3055" s="4" t="s">
        <v>22</v>
      </c>
      <c r="H3055" s="1">
        <v>9</v>
      </c>
    </row>
    <row r="3056" spans="2:8" x14ac:dyDescent="0.2">
      <c r="B3056" t="str">
        <f>VLOOKUP(G3056,PC!B:D,3,FALSE)</f>
        <v>RECEITA</v>
      </c>
      <c r="C3056" s="22">
        <v>2023</v>
      </c>
      <c r="D3056" t="s">
        <v>94</v>
      </c>
      <c r="F3056" t="str">
        <f>VLOOKUP(G3056,PC!B:D,2,FALSE)</f>
        <v>RECEITA</v>
      </c>
      <c r="G3056" s="4" t="s">
        <v>54</v>
      </c>
      <c r="H3056" s="1">
        <f>9+8+30+80.6+2500</f>
        <v>2627.6</v>
      </c>
    </row>
    <row r="3057" spans="2:8" x14ac:dyDescent="0.2">
      <c r="B3057" t="str">
        <f>VLOOKUP(G3057,PC!B:D,3,FALSE)</f>
        <v>RECEITA</v>
      </c>
      <c r="C3057" s="22">
        <v>2023</v>
      </c>
      <c r="D3057" t="s">
        <v>94</v>
      </c>
      <c r="F3057" t="str">
        <f>VLOOKUP(G3057,PC!B:D,2,FALSE)</f>
        <v>RECEITA</v>
      </c>
      <c r="G3057" s="4" t="s">
        <v>54</v>
      </c>
      <c r="H3057" s="1">
        <f>200+30+47+56.7+350+30+44.8+950+300+400</f>
        <v>2408.5</v>
      </c>
    </row>
    <row r="3058" spans="2:8" x14ac:dyDescent="0.2">
      <c r="B3058" t="str">
        <f>VLOOKUP(G3058,PC!B:D,3,FALSE)</f>
        <v>RECEITA</v>
      </c>
      <c r="C3058" s="22">
        <v>2023</v>
      </c>
      <c r="D3058" t="s">
        <v>94</v>
      </c>
      <c r="F3058" t="str">
        <f>VLOOKUP(G3058,PC!B:D,2,FALSE)</f>
        <v>RECEITA</v>
      </c>
      <c r="G3058" s="4" t="s">
        <v>54</v>
      </c>
      <c r="H3058" s="1">
        <f>26+70+191+90+202.4+200+1800</f>
        <v>2579.4</v>
      </c>
    </row>
    <row r="3059" spans="2:8" x14ac:dyDescent="0.2">
      <c r="B3059" t="str">
        <f>VLOOKUP(G3059,PC!B:D,3,FALSE)</f>
        <v>RECEITA</v>
      </c>
      <c r="C3059" s="22">
        <v>2023</v>
      </c>
      <c r="D3059" t="s">
        <v>94</v>
      </c>
      <c r="F3059" t="str">
        <f>VLOOKUP(G3059,PC!B:D,2,FALSE)</f>
        <v>RECEITA</v>
      </c>
      <c r="G3059" s="4" t="s">
        <v>137</v>
      </c>
      <c r="H3059" s="1">
        <v>7635</v>
      </c>
    </row>
    <row r="3060" spans="2:8" x14ac:dyDescent="0.2">
      <c r="B3060" t="str">
        <f>VLOOKUP(G3060,PC!B:D,3,FALSE)</f>
        <v>RECEITA</v>
      </c>
      <c r="C3060" s="22">
        <v>2023</v>
      </c>
      <c r="D3060" t="s">
        <v>94</v>
      </c>
      <c r="F3060" t="str">
        <f>VLOOKUP(G3060,PC!B:D,2,FALSE)</f>
        <v>RECEITA</v>
      </c>
      <c r="G3060" s="4" t="s">
        <v>136</v>
      </c>
      <c r="H3060" s="1">
        <v>26725.05</v>
      </c>
    </row>
    <row r="3061" spans="2:8" x14ac:dyDescent="0.2">
      <c r="B3061" t="str">
        <f>VLOOKUP(G3061,PC!B:D,3,FALSE)</f>
        <v>RECEITA</v>
      </c>
      <c r="C3061" s="22">
        <v>2023</v>
      </c>
      <c r="D3061" t="s">
        <v>94</v>
      </c>
      <c r="F3061" t="str">
        <f>VLOOKUP(G3061,PC!B:D,2,FALSE)</f>
        <v>RECEITA</v>
      </c>
      <c r="G3061" s="4" t="s">
        <v>137</v>
      </c>
      <c r="H3061" s="1">
        <f>2370</f>
        <v>2370</v>
      </c>
    </row>
    <row r="3062" spans="2:8" x14ac:dyDescent="0.2">
      <c r="B3062" t="str">
        <f>VLOOKUP(G3062,PC!B:D,3,FALSE)</f>
        <v>DESCONTO DE FATURAMENTO</v>
      </c>
      <c r="C3062" s="22">
        <v>2023</v>
      </c>
      <c r="D3062" t="s">
        <v>94</v>
      </c>
      <c r="F3062" t="str">
        <f>VLOOKUP(G3062,PC!B:D,2,FALSE)</f>
        <v>OUTROS DESCONTOS</v>
      </c>
      <c r="G3062" s="4" t="s">
        <v>63</v>
      </c>
      <c r="H3062" s="1">
        <f>H3061-2319.15</f>
        <v>50.849999999999909</v>
      </c>
    </row>
    <row r="3063" spans="2:8" x14ac:dyDescent="0.2">
      <c r="B3063" t="str">
        <f>VLOOKUP(G3063,PC!B:D,3,FALSE)</f>
        <v>RECEITA</v>
      </c>
      <c r="C3063" s="22">
        <v>2023</v>
      </c>
      <c r="D3063" t="s">
        <v>94</v>
      </c>
      <c r="F3063" t="str">
        <f>VLOOKUP(G3063,PC!B:D,2,FALSE)</f>
        <v>RECEITA</v>
      </c>
      <c r="G3063" s="4" t="s">
        <v>136</v>
      </c>
      <c r="H3063" s="1">
        <v>142.80000000000001</v>
      </c>
    </row>
    <row r="3064" spans="2:8" x14ac:dyDescent="0.2">
      <c r="B3064" t="str">
        <f>VLOOKUP(G3064,PC!B:D,3,FALSE)</f>
        <v>DESCONTO DE FATURAMENTO</v>
      </c>
      <c r="C3064" s="22">
        <v>2023</v>
      </c>
      <c r="D3064" t="s">
        <v>94</v>
      </c>
      <c r="F3064" t="str">
        <f>VLOOKUP(G3064,PC!B:D,2,FALSE)</f>
        <v>OUTROS DESCONTOS</v>
      </c>
      <c r="G3064" s="4" t="s">
        <v>63</v>
      </c>
      <c r="H3064" s="1">
        <f>H3063-140.88</f>
        <v>1.9200000000000159</v>
      </c>
    </row>
    <row r="3065" spans="2:8" x14ac:dyDescent="0.2">
      <c r="B3065" t="str">
        <f>VLOOKUP(G3065,PC!B:D,3,FALSE)</f>
        <v>DESCONTO DE FATURAMENTO</v>
      </c>
      <c r="C3065" s="22">
        <v>2023</v>
      </c>
      <c r="D3065" t="s">
        <v>94</v>
      </c>
      <c r="F3065" t="str">
        <f>VLOOKUP(G3065,PC!B:D,2,FALSE)</f>
        <v>OUTROS DESCONTOS</v>
      </c>
      <c r="G3065" s="4" t="s">
        <v>63</v>
      </c>
      <c r="H3065" s="1">
        <f>0.02*H3059</f>
        <v>152.70000000000002</v>
      </c>
    </row>
    <row r="3066" spans="2:8" x14ac:dyDescent="0.2">
      <c r="B3066" t="str">
        <f>VLOOKUP(G3066,PC!B:D,3,FALSE)</f>
        <v>DESCONTO DE FATURAMENTO</v>
      </c>
      <c r="C3066" s="22">
        <v>2023</v>
      </c>
      <c r="D3066" t="s">
        <v>94</v>
      </c>
      <c r="F3066" t="str">
        <f>VLOOKUP(G3066,PC!B:D,2,FALSE)</f>
        <v>OUTROS DESCONTOS</v>
      </c>
      <c r="G3066" s="4" t="s">
        <v>63</v>
      </c>
      <c r="H3066" s="1">
        <f>0.01*H3060</f>
        <v>267.25049999999999</v>
      </c>
    </row>
    <row r="3067" spans="2:8" x14ac:dyDescent="0.2">
      <c r="B3067" t="str">
        <f>VLOOKUP(G3067,PC!B:D,3,FALSE)</f>
        <v>DESPESA OPERACIONAL</v>
      </c>
      <c r="C3067" s="22">
        <v>2023</v>
      </c>
      <c r="D3067" t="s">
        <v>94</v>
      </c>
      <c r="F3067" t="str">
        <f>VLOOKUP(G3067,PC!B:D,2,FALSE)</f>
        <v>DESPESA OPERACIONAL</v>
      </c>
      <c r="G3067" s="4" t="s">
        <v>73</v>
      </c>
      <c r="H3067" s="1">
        <f>1085+682.82+710.68</f>
        <v>2478.5</v>
      </c>
    </row>
    <row r="3068" spans="2:8" x14ac:dyDescent="0.2">
      <c r="B3068" t="str">
        <f>VLOOKUP(G3068,PC!B:D,3,FALSE)</f>
        <v>RECEITA</v>
      </c>
      <c r="C3068" s="22">
        <v>2023</v>
      </c>
      <c r="D3068" t="s">
        <v>94</v>
      </c>
      <c r="F3068" t="str">
        <f>VLOOKUP(G3068,PC!B:D,2,FALSE)</f>
        <v>RECEITA</v>
      </c>
      <c r="G3068" s="4" t="s">
        <v>64</v>
      </c>
      <c r="H3068" s="1">
        <f>14.72+15.68+24.95</f>
        <v>55.349999999999994</v>
      </c>
    </row>
    <row r="3069" spans="2:8" x14ac:dyDescent="0.2">
      <c r="B3069" t="str">
        <f>VLOOKUP(G3069,PC!B:D,3,FALSE)</f>
        <v>CPV</v>
      </c>
      <c r="C3069" s="22">
        <v>2023</v>
      </c>
      <c r="D3069" t="s">
        <v>94</v>
      </c>
      <c r="E3069" t="s">
        <v>129</v>
      </c>
      <c r="F3069" t="str">
        <f>VLOOKUP(G3069,PC!B:D,2,FALSE)</f>
        <v>COMIDA</v>
      </c>
      <c r="G3069" s="4" t="s">
        <v>145</v>
      </c>
      <c r="H3069" s="1">
        <v>49</v>
      </c>
    </row>
    <row r="3070" spans="2:8" x14ac:dyDescent="0.2">
      <c r="B3070" t="str">
        <f>VLOOKUP(G3070,PC!B:D,3,FALSE)</f>
        <v>DESPESA PESSOAL</v>
      </c>
      <c r="C3070" s="22">
        <v>2023</v>
      </c>
      <c r="D3070" t="s">
        <v>94</v>
      </c>
      <c r="F3070" t="str">
        <f>VLOOKUP(G3070,PC!B:D,2,FALSE)</f>
        <v>DESPESA PESSOAL</v>
      </c>
      <c r="G3070" s="4" t="s">
        <v>56</v>
      </c>
      <c r="H3070" s="1">
        <f>854+122</f>
        <v>976</v>
      </c>
    </row>
    <row r="3071" spans="2:8" x14ac:dyDescent="0.2">
      <c r="B3071" t="str">
        <f>VLOOKUP(G3071,PC!B:D,3,FALSE)</f>
        <v>CPV</v>
      </c>
      <c r="C3071" s="22">
        <v>2023</v>
      </c>
      <c r="D3071" t="s">
        <v>94</v>
      </c>
      <c r="E3071" t="s">
        <v>77</v>
      </c>
      <c r="F3071" t="str">
        <f>VLOOKUP(G3071,PC!B:D,2,FALSE)</f>
        <v>OUTROS</v>
      </c>
      <c r="G3071" s="4" t="s">
        <v>37</v>
      </c>
      <c r="H3071" s="1">
        <f>910+766.66</f>
        <v>1676.6599999999999</v>
      </c>
    </row>
    <row r="3072" spans="2:8" x14ac:dyDescent="0.2">
      <c r="B3072" t="str">
        <f>VLOOKUP(G3072,PC!B:D,3,FALSE)</f>
        <v>CPV</v>
      </c>
      <c r="C3072" s="22">
        <v>2023</v>
      </c>
      <c r="D3072" t="s">
        <v>94</v>
      </c>
      <c r="E3072" t="s">
        <v>89</v>
      </c>
      <c r="F3072" t="str">
        <f>VLOOKUP(G3072,PC!B:D,2,FALSE)</f>
        <v>OUTROS</v>
      </c>
      <c r="G3072" s="4" t="s">
        <v>37</v>
      </c>
      <c r="H3072" s="1">
        <f>865.56+361.17</f>
        <v>1226.73</v>
      </c>
    </row>
    <row r="3073" spans="2:9" x14ac:dyDescent="0.2">
      <c r="B3073" t="str">
        <f>VLOOKUP(G3073,PC!B:D,3,FALSE)</f>
        <v>CPV</v>
      </c>
      <c r="C3073" s="22">
        <v>2023</v>
      </c>
      <c r="D3073" t="s">
        <v>94</v>
      </c>
      <c r="E3073" t="s">
        <v>129</v>
      </c>
      <c r="F3073" t="str">
        <f>VLOOKUP(G3073,PC!B:D,2,FALSE)</f>
        <v>OUTROS</v>
      </c>
      <c r="G3073" s="4" t="s">
        <v>58</v>
      </c>
      <c r="H3073" s="1">
        <v>150</v>
      </c>
    </row>
    <row r="3074" spans="2:9" x14ac:dyDescent="0.2">
      <c r="B3074" t="str">
        <f>VLOOKUP(G3074,PC!B:D,3,FALSE)</f>
        <v>CPV</v>
      </c>
      <c r="C3074" s="22">
        <v>2023</v>
      </c>
      <c r="D3074" t="s">
        <v>94</v>
      </c>
      <c r="E3074" t="s">
        <v>129</v>
      </c>
      <c r="F3074" t="str">
        <f>VLOOKUP(G3074,PC!B:D,2,FALSE)</f>
        <v>COMIDA</v>
      </c>
      <c r="G3074" s="4" t="s">
        <v>22</v>
      </c>
      <c r="H3074" s="1">
        <v>132.69999999999999</v>
      </c>
    </row>
    <row r="3075" spans="2:9" x14ac:dyDescent="0.2">
      <c r="B3075" t="str">
        <f>VLOOKUP(G3075,PC!B:D,3,FALSE)</f>
        <v>CPV</v>
      </c>
      <c r="C3075" s="22">
        <v>2023</v>
      </c>
      <c r="D3075" t="s">
        <v>94</v>
      </c>
      <c r="E3075" t="s">
        <v>129</v>
      </c>
      <c r="F3075" t="str">
        <f>VLOOKUP(G3075,PC!B:D,2,FALSE)</f>
        <v>BEBIDAS</v>
      </c>
      <c r="G3075" s="4" t="s">
        <v>48</v>
      </c>
      <c r="H3075" s="1">
        <v>250.8</v>
      </c>
    </row>
    <row r="3076" spans="2:9" x14ac:dyDescent="0.2">
      <c r="B3076" t="str">
        <f>VLOOKUP(G3076,PC!B:D,3,FALSE)</f>
        <v>CPV</v>
      </c>
      <c r="C3076" s="22">
        <v>2023</v>
      </c>
      <c r="D3076" t="s">
        <v>98</v>
      </c>
      <c r="E3076" t="s">
        <v>24</v>
      </c>
      <c r="F3076" t="str">
        <f>VLOOKUP(G3076,PC!B:D,2,FALSE)</f>
        <v>COMIDA</v>
      </c>
      <c r="G3076" s="4" t="s">
        <v>33</v>
      </c>
      <c r="H3076" s="1">
        <v>198.16</v>
      </c>
    </row>
    <row r="3077" spans="2:9" x14ac:dyDescent="0.2">
      <c r="B3077" t="str">
        <f>VLOOKUP(G3077,PC!B:D,3,FALSE)</f>
        <v>CPV</v>
      </c>
      <c r="C3077" s="22">
        <v>2023</v>
      </c>
      <c r="D3077" t="s">
        <v>98</v>
      </c>
      <c r="E3077" t="s">
        <v>40</v>
      </c>
      <c r="F3077" t="str">
        <f>VLOOKUP(G3077,PC!B:D,2,FALSE)</f>
        <v>BEBIDAS</v>
      </c>
      <c r="G3077" s="4" t="s">
        <v>26</v>
      </c>
      <c r="H3077" s="1">
        <v>462.72</v>
      </c>
    </row>
    <row r="3078" spans="2:9" x14ac:dyDescent="0.2">
      <c r="B3078" t="str">
        <f>VLOOKUP(G3078,PC!B:D,3,FALSE)</f>
        <v>CPV</v>
      </c>
      <c r="C3078" s="22">
        <v>2023</v>
      </c>
      <c r="D3078" t="s">
        <v>98</v>
      </c>
      <c r="E3078" t="s">
        <v>14</v>
      </c>
      <c r="F3078" t="str">
        <f>VLOOKUP(G3078,PC!B:D,2,FALSE)</f>
        <v>BEBIDAS</v>
      </c>
      <c r="G3078" s="4" t="s">
        <v>25</v>
      </c>
      <c r="H3078" s="1">
        <v>62.12</v>
      </c>
    </row>
    <row r="3079" spans="2:9" x14ac:dyDescent="0.2">
      <c r="B3079" t="str">
        <f>VLOOKUP(G3079,PC!B:D,3,FALSE)</f>
        <v>CPV</v>
      </c>
      <c r="C3079" s="22">
        <v>2023</v>
      </c>
      <c r="D3079" t="s">
        <v>98</v>
      </c>
      <c r="E3079" t="s">
        <v>14</v>
      </c>
      <c r="F3079" t="str">
        <f>VLOOKUP(G3079,PC!B:D,2,FALSE)</f>
        <v>BEBIDAS</v>
      </c>
      <c r="G3079" s="4" t="s">
        <v>41</v>
      </c>
      <c r="H3079" s="1">
        <f>73.5+36.5</f>
        <v>110</v>
      </c>
    </row>
    <row r="3080" spans="2:9" x14ac:dyDescent="0.2">
      <c r="B3080" t="str">
        <f>VLOOKUP(G3080,PC!B:D,3,FALSE)</f>
        <v>CPV</v>
      </c>
      <c r="C3080" s="22">
        <v>2023</v>
      </c>
      <c r="D3080" t="s">
        <v>98</v>
      </c>
      <c r="E3080" t="s">
        <v>14</v>
      </c>
      <c r="F3080" t="str">
        <f>VLOOKUP(G3080,PC!B:D,2,FALSE)</f>
        <v>BEBIDAS</v>
      </c>
      <c r="G3080" s="4" t="s">
        <v>25</v>
      </c>
      <c r="H3080" s="1">
        <f>503.13-H3079</f>
        <v>393.13</v>
      </c>
    </row>
    <row r="3081" spans="2:9" x14ac:dyDescent="0.2">
      <c r="B3081" t="str">
        <f>VLOOKUP(G3081,PC!B:D,3,FALSE)</f>
        <v>RECEITA</v>
      </c>
      <c r="C3081" s="22">
        <v>2023</v>
      </c>
      <c r="D3081" t="s">
        <v>98</v>
      </c>
      <c r="F3081" t="str">
        <f>VLOOKUP(G3081,PC!B:D,2,FALSE)</f>
        <v>RECEITA</v>
      </c>
      <c r="G3081" s="4" t="s">
        <v>83</v>
      </c>
      <c r="H3081" s="1">
        <v>176.87</v>
      </c>
    </row>
    <row r="3082" spans="2:9" x14ac:dyDescent="0.2">
      <c r="B3082" t="str">
        <f>VLOOKUP(G3082,PC!B:D,3,FALSE)</f>
        <v>CPV</v>
      </c>
      <c r="C3082" s="22">
        <v>2023</v>
      </c>
      <c r="D3082" t="s">
        <v>98</v>
      </c>
      <c r="E3082" t="s">
        <v>14</v>
      </c>
      <c r="F3082" t="str">
        <f>VLOOKUP(G3082,PC!B:D,2,FALSE)</f>
        <v>BEBIDAS</v>
      </c>
      <c r="G3082" s="4" t="s">
        <v>25</v>
      </c>
      <c r="H3082" s="1">
        <v>74.459999999999994</v>
      </c>
    </row>
    <row r="3083" spans="2:9" x14ac:dyDescent="0.2">
      <c r="B3083" t="str">
        <f>VLOOKUP(G3083,PC!B:D,3,FALSE)</f>
        <v>INVESTIMENTO</v>
      </c>
      <c r="C3083" s="22">
        <v>2023</v>
      </c>
      <c r="D3083" t="s">
        <v>98</v>
      </c>
      <c r="F3083" t="str">
        <f>VLOOKUP(G3083,PC!B:D,2,FALSE)</f>
        <v>INVESTIMENTO</v>
      </c>
      <c r="G3083" s="4" t="s">
        <v>130</v>
      </c>
      <c r="H3083" s="1">
        <v>36</v>
      </c>
      <c r="I3083" s="7" t="s">
        <v>213</v>
      </c>
    </row>
    <row r="3084" spans="2:9" x14ac:dyDescent="0.2">
      <c r="B3084" t="str">
        <f>VLOOKUP(G3084,PC!B:D,3,FALSE)</f>
        <v>INVESTIMENTO</v>
      </c>
      <c r="C3084" s="22">
        <v>2023</v>
      </c>
      <c r="D3084" t="s">
        <v>98</v>
      </c>
      <c r="F3084" t="str">
        <f>VLOOKUP(G3084,PC!B:D,2,FALSE)</f>
        <v>INVESTIMENTO</v>
      </c>
      <c r="G3084" s="4" t="s">
        <v>130</v>
      </c>
      <c r="H3084" s="1">
        <v>48.96</v>
      </c>
    </row>
    <row r="3085" spans="2:9" x14ac:dyDescent="0.2">
      <c r="B3085" t="str">
        <f>VLOOKUP(G3085,PC!B:D,3,FALSE)</f>
        <v>CPV</v>
      </c>
      <c r="C3085" s="22">
        <v>2023</v>
      </c>
      <c r="D3085" t="s">
        <v>98</v>
      </c>
      <c r="E3085" t="s">
        <v>100</v>
      </c>
      <c r="F3085" t="str">
        <f>VLOOKUP(G3085,PC!B:D,2,FALSE)</f>
        <v>SOBREMESA</v>
      </c>
      <c r="G3085" s="4" t="s">
        <v>47</v>
      </c>
      <c r="H3085" s="1">
        <v>50.91</v>
      </c>
    </row>
    <row r="3086" spans="2:9" x14ac:dyDescent="0.2">
      <c r="B3086" t="str">
        <f>VLOOKUP(G3086,PC!B:D,3,FALSE)</f>
        <v>CPV</v>
      </c>
      <c r="C3086" s="22">
        <v>2023</v>
      </c>
      <c r="D3086" t="s">
        <v>98</v>
      </c>
      <c r="E3086" t="s">
        <v>30</v>
      </c>
      <c r="F3086" t="str">
        <f>VLOOKUP(G3086,PC!B:D,2,FALSE)</f>
        <v>SOBREMESA</v>
      </c>
      <c r="G3086" s="4" t="s">
        <v>23</v>
      </c>
      <c r="H3086" s="1">
        <v>528.69000000000005</v>
      </c>
    </row>
    <row r="3087" spans="2:9" x14ac:dyDescent="0.2">
      <c r="B3087" t="str">
        <f>VLOOKUP(G3087,PC!B:D,3,FALSE)</f>
        <v>SERV. PUBLICOS</v>
      </c>
      <c r="C3087" s="22">
        <v>2023</v>
      </c>
      <c r="D3087" t="s">
        <v>98</v>
      </c>
      <c r="F3087" t="str">
        <f>VLOOKUP(G3087,PC!B:D,2,FALSE)</f>
        <v>SERV. PUBLICOS</v>
      </c>
      <c r="G3087" s="4" t="s">
        <v>104</v>
      </c>
      <c r="H3087" s="1">
        <v>357.61</v>
      </c>
    </row>
    <row r="3088" spans="2:9" x14ac:dyDescent="0.2">
      <c r="B3088" t="str">
        <f>VLOOKUP(G3088,PC!B:D,3,FALSE)</f>
        <v>CPV</v>
      </c>
      <c r="C3088" s="22">
        <v>2023</v>
      </c>
      <c r="D3088" t="s">
        <v>98</v>
      </c>
      <c r="E3088" t="s">
        <v>14</v>
      </c>
      <c r="F3088" t="str">
        <f>VLOOKUP(G3088,PC!B:D,2,FALSE)</f>
        <v>BEBIDAS</v>
      </c>
      <c r="G3088" s="4" t="s">
        <v>25</v>
      </c>
      <c r="H3088" s="1">
        <v>176.87</v>
      </c>
    </row>
    <row r="3089" spans="2:8" x14ac:dyDescent="0.2">
      <c r="B3089" t="str">
        <f>VLOOKUP(G3089,PC!B:D,3,FALSE)</f>
        <v>CPV</v>
      </c>
      <c r="C3089" s="22">
        <v>2023</v>
      </c>
      <c r="D3089" t="s">
        <v>98</v>
      </c>
      <c r="E3089" t="s">
        <v>14</v>
      </c>
      <c r="F3089" t="str">
        <f>VLOOKUP(G3089,PC!B:D,2,FALSE)</f>
        <v>BEBIDAS</v>
      </c>
      <c r="G3089" s="4" t="s">
        <v>25</v>
      </c>
      <c r="H3089" s="1">
        <v>12.5</v>
      </c>
    </row>
    <row r="3090" spans="2:8" x14ac:dyDescent="0.2">
      <c r="B3090" t="str">
        <f>VLOOKUP(G3090,PC!B:D,3,FALSE)</f>
        <v>CPV</v>
      </c>
      <c r="C3090" s="22">
        <v>2023</v>
      </c>
      <c r="D3090" t="s">
        <v>98</v>
      </c>
      <c r="E3090" t="s">
        <v>13</v>
      </c>
      <c r="F3090" t="str">
        <f>VLOOKUP(G3090,PC!B:D,2,FALSE)</f>
        <v>COMIDA</v>
      </c>
      <c r="G3090" s="4" t="s">
        <v>33</v>
      </c>
      <c r="H3090" s="1">
        <v>157.15</v>
      </c>
    </row>
    <row r="3091" spans="2:8" x14ac:dyDescent="0.2">
      <c r="B3091" t="str">
        <f>VLOOKUP(G3091,PC!B:D,3,FALSE)</f>
        <v>CPV</v>
      </c>
      <c r="C3091" s="22">
        <v>2023</v>
      </c>
      <c r="D3091" t="s">
        <v>98</v>
      </c>
      <c r="E3091" t="s">
        <v>27</v>
      </c>
      <c r="F3091" t="str">
        <f>VLOOKUP(G3091,PC!B:D,2,FALSE)</f>
        <v>COMIDA</v>
      </c>
      <c r="G3091" s="4" t="s">
        <v>12</v>
      </c>
      <c r="H3091" s="1">
        <v>210.54</v>
      </c>
    </row>
    <row r="3092" spans="2:8" x14ac:dyDescent="0.2">
      <c r="B3092" t="str">
        <f>VLOOKUP(G3092,PC!B:D,3,FALSE)</f>
        <v>CPV</v>
      </c>
      <c r="C3092" s="22">
        <v>2023</v>
      </c>
      <c r="D3092" t="s">
        <v>98</v>
      </c>
      <c r="E3092" t="s">
        <v>16</v>
      </c>
      <c r="F3092" t="str">
        <f>VLOOKUP(G3092,PC!B:D,2,FALSE)</f>
        <v>COMIDA</v>
      </c>
      <c r="G3092" s="29" t="s">
        <v>33</v>
      </c>
      <c r="H3092" s="1">
        <v>345.3</v>
      </c>
    </row>
    <row r="3093" spans="2:8" x14ac:dyDescent="0.2">
      <c r="B3093" t="str">
        <f>VLOOKUP(G3093,PC!B:D,3,FALSE)</f>
        <v>CPV</v>
      </c>
      <c r="C3093" s="22">
        <v>2023</v>
      </c>
      <c r="D3093" t="s">
        <v>98</v>
      </c>
      <c r="E3093" t="s">
        <v>24</v>
      </c>
      <c r="F3093" t="str">
        <f>VLOOKUP(G3093,PC!B:D,2,FALSE)</f>
        <v>COMIDA</v>
      </c>
      <c r="G3093" s="4" t="s">
        <v>33</v>
      </c>
      <c r="H3093" s="1">
        <v>776.76</v>
      </c>
    </row>
    <row r="3094" spans="2:8" x14ac:dyDescent="0.2">
      <c r="B3094" t="str">
        <f>VLOOKUP(G3094,PC!B:D,3,FALSE)</f>
        <v>CPV</v>
      </c>
      <c r="C3094" s="22">
        <v>2023</v>
      </c>
      <c r="D3094" t="s">
        <v>98</v>
      </c>
      <c r="E3094" t="s">
        <v>19</v>
      </c>
      <c r="F3094" t="str">
        <f>VLOOKUP(G3094,PC!B:D,2,FALSE)</f>
        <v>COMIDA</v>
      </c>
      <c r="G3094" s="4" t="s">
        <v>145</v>
      </c>
      <c r="H3094" s="1">
        <v>302.10000000000002</v>
      </c>
    </row>
    <row r="3095" spans="2:8" x14ac:dyDescent="0.2">
      <c r="B3095" t="str">
        <f>VLOOKUP(G3095,PC!B:D,3,FALSE)</f>
        <v>CPV</v>
      </c>
      <c r="C3095" s="22">
        <v>2023</v>
      </c>
      <c r="D3095" t="s">
        <v>98</v>
      </c>
      <c r="E3095" t="s">
        <v>6</v>
      </c>
      <c r="F3095" t="str">
        <f>VLOOKUP(G3095,PC!B:D,2,FALSE)</f>
        <v>COMIDA</v>
      </c>
      <c r="G3095" s="4" t="s">
        <v>145</v>
      </c>
      <c r="H3095" s="1">
        <v>49.2</v>
      </c>
    </row>
    <row r="3096" spans="2:8" x14ac:dyDescent="0.2">
      <c r="B3096" t="str">
        <f>VLOOKUP(G3096,PC!B:D,3,FALSE)</f>
        <v>CPV</v>
      </c>
      <c r="C3096" s="22">
        <v>2023</v>
      </c>
      <c r="D3096" t="s">
        <v>98</v>
      </c>
      <c r="E3096" t="s">
        <v>28</v>
      </c>
      <c r="F3096" t="str">
        <f>VLOOKUP(G3096,PC!B:D,2,FALSE)</f>
        <v>BEBIDAS</v>
      </c>
      <c r="G3096" s="4" t="s">
        <v>26</v>
      </c>
      <c r="H3096" s="1">
        <v>630.89</v>
      </c>
    </row>
    <row r="3097" spans="2:8" x14ac:dyDescent="0.2">
      <c r="B3097" t="str">
        <f>VLOOKUP(G3097,PC!B:D,3,FALSE)</f>
        <v>CPV</v>
      </c>
      <c r="C3097" s="22">
        <v>2023</v>
      </c>
      <c r="D3097" t="s">
        <v>98</v>
      </c>
      <c r="E3097" t="s">
        <v>28</v>
      </c>
      <c r="F3097" t="str">
        <f>VLOOKUP(G3097,PC!B:D,2,FALSE)</f>
        <v>BEBIDAS</v>
      </c>
      <c r="G3097" s="4" t="s">
        <v>26</v>
      </c>
      <c r="H3097" s="1">
        <v>1650.62</v>
      </c>
    </row>
    <row r="3098" spans="2:8" x14ac:dyDescent="0.2">
      <c r="B3098" t="str">
        <f>VLOOKUP(G3098,PC!B:D,3,FALSE)</f>
        <v>CPV</v>
      </c>
      <c r="C3098" s="22">
        <v>2023</v>
      </c>
      <c r="D3098" t="s">
        <v>98</v>
      </c>
      <c r="E3098" t="s">
        <v>28</v>
      </c>
      <c r="F3098" t="str">
        <f>VLOOKUP(G3098,PC!B:D,2,FALSE)</f>
        <v>BEBIDAS</v>
      </c>
      <c r="G3098" s="4" t="s">
        <v>26</v>
      </c>
      <c r="H3098" s="1">
        <v>442.88</v>
      </c>
    </row>
    <row r="3099" spans="2:8" x14ac:dyDescent="0.2">
      <c r="B3099" t="str">
        <f>VLOOKUP(G3099,PC!B:D,3,FALSE)</f>
        <v>CPV</v>
      </c>
      <c r="C3099" s="22">
        <v>2023</v>
      </c>
      <c r="D3099" t="s">
        <v>98</v>
      </c>
      <c r="E3099" t="s">
        <v>20</v>
      </c>
      <c r="F3099" t="str">
        <f>VLOOKUP(G3099,PC!B:D,2,FALSE)</f>
        <v>COMIDA</v>
      </c>
      <c r="G3099" s="4" t="s">
        <v>29</v>
      </c>
      <c r="H3099" s="1">
        <v>114.7</v>
      </c>
    </row>
    <row r="3100" spans="2:8" x14ac:dyDescent="0.2">
      <c r="B3100" t="str">
        <f>VLOOKUP(G3100,PC!B:D,3,FALSE)</f>
        <v>CPV</v>
      </c>
      <c r="C3100" s="22">
        <v>2023</v>
      </c>
      <c r="D3100" t="s">
        <v>98</v>
      </c>
      <c r="E3100" t="s">
        <v>28</v>
      </c>
      <c r="F3100" t="str">
        <f>VLOOKUP(G3100,PC!B:D,2,FALSE)</f>
        <v>BEBIDAS</v>
      </c>
      <c r="G3100" s="4" t="s">
        <v>26</v>
      </c>
      <c r="H3100" s="1">
        <v>1208.99</v>
      </c>
    </row>
    <row r="3101" spans="2:8" x14ac:dyDescent="0.2">
      <c r="B3101" t="str">
        <f>VLOOKUP(G3101,PC!B:D,3,FALSE)</f>
        <v>CPV</v>
      </c>
      <c r="C3101" s="22">
        <v>2023</v>
      </c>
      <c r="D3101" t="s">
        <v>98</v>
      </c>
      <c r="E3101" t="s">
        <v>28</v>
      </c>
      <c r="F3101" t="str">
        <f>VLOOKUP(G3101,PC!B:D,2,FALSE)</f>
        <v>BEBIDAS</v>
      </c>
      <c r="G3101" s="4" t="s">
        <v>26</v>
      </c>
      <c r="H3101" s="1">
        <v>232.82</v>
      </c>
    </row>
    <row r="3102" spans="2:8" x14ac:dyDescent="0.2">
      <c r="B3102" t="str">
        <f>VLOOKUP(G3102,PC!B:D,3,FALSE)</f>
        <v>CPV</v>
      </c>
      <c r="C3102" s="22">
        <v>2023</v>
      </c>
      <c r="D3102" t="s">
        <v>98</v>
      </c>
      <c r="E3102" t="s">
        <v>129</v>
      </c>
      <c r="F3102" t="str">
        <f>VLOOKUP(G3102,PC!B:D,2,FALSE)</f>
        <v>COMIDA</v>
      </c>
      <c r="G3102" s="4" t="s">
        <v>18</v>
      </c>
      <c r="H3102" s="1">
        <v>58.9</v>
      </c>
    </row>
    <row r="3103" spans="2:8" x14ac:dyDescent="0.2">
      <c r="B3103" t="str">
        <f>VLOOKUP(G3103,PC!B:D,3,FALSE)</f>
        <v>CPV</v>
      </c>
      <c r="C3103" s="22">
        <v>2023</v>
      </c>
      <c r="D3103" t="s">
        <v>98</v>
      </c>
      <c r="E3103" t="s">
        <v>14</v>
      </c>
      <c r="F3103" t="str">
        <f>VLOOKUP(G3103,PC!B:D,2,FALSE)</f>
        <v>BEBIDAS</v>
      </c>
      <c r="G3103" s="4" t="s">
        <v>25</v>
      </c>
      <c r="H3103" s="1">
        <f>467.51+177.56</f>
        <v>645.06999999999994</v>
      </c>
    </row>
    <row r="3104" spans="2:8" x14ac:dyDescent="0.2">
      <c r="B3104" t="str">
        <f>VLOOKUP(G3104,PC!B:D,3,FALSE)</f>
        <v>CPV</v>
      </c>
      <c r="C3104" s="22">
        <v>2023</v>
      </c>
      <c r="D3104" t="s">
        <v>98</v>
      </c>
      <c r="E3104" t="s">
        <v>156</v>
      </c>
      <c r="F3104" t="str">
        <f>VLOOKUP(G3104,PC!B:D,2,FALSE)</f>
        <v>BEBIDAS</v>
      </c>
      <c r="G3104" s="4" t="s">
        <v>48</v>
      </c>
      <c r="H3104" s="1">
        <v>85.8</v>
      </c>
    </row>
    <row r="3105" spans="2:8" x14ac:dyDescent="0.2">
      <c r="B3105" t="str">
        <f>VLOOKUP(G3105,PC!B:D,3,FALSE)</f>
        <v>CPV</v>
      </c>
      <c r="C3105" s="22">
        <v>2023</v>
      </c>
      <c r="D3105" t="s">
        <v>98</v>
      </c>
      <c r="E3105" t="s">
        <v>45</v>
      </c>
      <c r="F3105" t="str">
        <f>VLOOKUP(G3105,PC!B:D,2,FALSE)</f>
        <v>HIGIENE</v>
      </c>
      <c r="G3105" s="4" t="s">
        <v>36</v>
      </c>
      <c r="H3105" s="1">
        <v>363.23</v>
      </c>
    </row>
    <row r="3106" spans="2:8" x14ac:dyDescent="0.2">
      <c r="B3106" t="str">
        <f>VLOOKUP(G3106,PC!B:D,3,FALSE)</f>
        <v>CPV</v>
      </c>
      <c r="C3106" s="22">
        <v>2023</v>
      </c>
      <c r="D3106" t="s">
        <v>98</v>
      </c>
      <c r="E3106" t="s">
        <v>40</v>
      </c>
      <c r="F3106" t="str">
        <f>VLOOKUP(G3106,PC!B:D,2,FALSE)</f>
        <v>BEBIDAS</v>
      </c>
      <c r="G3106" s="4" t="s">
        <v>26</v>
      </c>
      <c r="H3106" s="1">
        <v>465.62</v>
      </c>
    </row>
    <row r="3107" spans="2:8" x14ac:dyDescent="0.2">
      <c r="B3107" t="str">
        <f>VLOOKUP(G3107,PC!B:D,3,FALSE)</f>
        <v>CPV</v>
      </c>
      <c r="C3107" s="22">
        <v>2023</v>
      </c>
      <c r="D3107" t="s">
        <v>98</v>
      </c>
      <c r="E3107" t="s">
        <v>129</v>
      </c>
      <c r="F3107" t="str">
        <f>VLOOKUP(G3107,PC!B:D,2,FALSE)</f>
        <v>OUTROS</v>
      </c>
      <c r="G3107" s="4" t="s">
        <v>37</v>
      </c>
      <c r="H3107" s="1">
        <v>213.4</v>
      </c>
    </row>
    <row r="3108" spans="2:8" x14ac:dyDescent="0.2">
      <c r="B3108" t="str">
        <f>VLOOKUP(G3108,PC!B:D,3,FALSE)</f>
        <v>CPV</v>
      </c>
      <c r="C3108" s="22">
        <v>2023</v>
      </c>
      <c r="D3108" t="s">
        <v>98</v>
      </c>
      <c r="E3108" t="s">
        <v>86</v>
      </c>
      <c r="F3108" t="str">
        <f>VLOOKUP(G3108,PC!B:D,2,FALSE)</f>
        <v>HIGIENE</v>
      </c>
      <c r="G3108" s="4" t="s">
        <v>36</v>
      </c>
      <c r="H3108" s="1">
        <v>1294.3900000000001</v>
      </c>
    </row>
    <row r="3109" spans="2:8" x14ac:dyDescent="0.2">
      <c r="B3109" t="str">
        <f>VLOOKUP(G3109,PC!B:D,3,FALSE)</f>
        <v>CPV</v>
      </c>
      <c r="C3109" s="22">
        <v>2023</v>
      </c>
      <c r="D3109" t="s">
        <v>98</v>
      </c>
      <c r="E3109" t="s">
        <v>24</v>
      </c>
      <c r="F3109" t="str">
        <f>VLOOKUP(G3109,PC!B:D,2,FALSE)</f>
        <v>COMIDA</v>
      </c>
      <c r="G3109" s="4" t="s">
        <v>33</v>
      </c>
      <c r="H3109" s="1">
        <v>288.57</v>
      </c>
    </row>
    <row r="3110" spans="2:8" x14ac:dyDescent="0.2">
      <c r="B3110" t="str">
        <f>VLOOKUP(G3110,PC!B:D,3,FALSE)</f>
        <v>CPV</v>
      </c>
      <c r="C3110" s="22">
        <v>2023</v>
      </c>
      <c r="D3110" t="s">
        <v>98</v>
      </c>
      <c r="E3110" t="s">
        <v>28</v>
      </c>
      <c r="F3110" t="str">
        <f>VLOOKUP(G3110,PC!B:D,2,FALSE)</f>
        <v>BEBIDAS</v>
      </c>
      <c r="G3110" s="4" t="s">
        <v>26</v>
      </c>
      <c r="H3110" s="1">
        <v>1973.53</v>
      </c>
    </row>
    <row r="3111" spans="2:8" x14ac:dyDescent="0.2">
      <c r="B3111" t="str">
        <f>VLOOKUP(G3111,PC!B:D,3,FALSE)</f>
        <v>CPV</v>
      </c>
      <c r="C3111" s="22">
        <v>2023</v>
      </c>
      <c r="D3111" t="s">
        <v>98</v>
      </c>
      <c r="E3111" t="s">
        <v>14</v>
      </c>
      <c r="F3111" t="str">
        <f>VLOOKUP(G3111,PC!B:D,2,FALSE)</f>
        <v>BEBIDAS</v>
      </c>
      <c r="G3111" s="4" t="s">
        <v>25</v>
      </c>
      <c r="H3111" s="1">
        <v>428.02</v>
      </c>
    </row>
    <row r="3112" spans="2:8" x14ac:dyDescent="0.2">
      <c r="B3112" t="str">
        <f>VLOOKUP(G3112,PC!B:D,3,FALSE)</f>
        <v>CPV</v>
      </c>
      <c r="C3112" s="22">
        <v>2023</v>
      </c>
      <c r="D3112" t="s">
        <v>98</v>
      </c>
      <c r="E3112" t="s">
        <v>160</v>
      </c>
      <c r="F3112" t="str">
        <f>VLOOKUP(G3112,PC!B:D,2,FALSE)</f>
        <v>LIMPEZA</v>
      </c>
      <c r="G3112" s="4" t="s">
        <v>43</v>
      </c>
      <c r="H3112" s="1">
        <v>352.28</v>
      </c>
    </row>
    <row r="3113" spans="2:8" x14ac:dyDescent="0.2">
      <c r="B3113" t="str">
        <f>VLOOKUP(G3113,PC!B:D,3,FALSE)</f>
        <v>CPV</v>
      </c>
      <c r="C3113" s="22">
        <v>2023</v>
      </c>
      <c r="D3113" t="s">
        <v>98</v>
      </c>
      <c r="E3113" t="s">
        <v>211</v>
      </c>
      <c r="F3113" t="str">
        <f>VLOOKUP(G3113,PC!B:D,2,FALSE)</f>
        <v>BEBIDAS</v>
      </c>
      <c r="G3113" s="4" t="s">
        <v>26</v>
      </c>
      <c r="H3113" s="1">
        <v>420.27</v>
      </c>
    </row>
    <row r="3114" spans="2:8" x14ac:dyDescent="0.2">
      <c r="B3114" t="str">
        <f>VLOOKUP(G3114,PC!B:D,3,FALSE)</f>
        <v>CPV</v>
      </c>
      <c r="C3114" s="22">
        <v>2023</v>
      </c>
      <c r="D3114" t="s">
        <v>98</v>
      </c>
      <c r="E3114" t="s">
        <v>14</v>
      </c>
      <c r="F3114" t="str">
        <f>VLOOKUP(G3114,PC!B:D,2,FALSE)</f>
        <v>BEBIDAS</v>
      </c>
      <c r="G3114" s="4" t="s">
        <v>25</v>
      </c>
      <c r="H3114" s="1">
        <v>12.17</v>
      </c>
    </row>
    <row r="3115" spans="2:8" x14ac:dyDescent="0.2">
      <c r="B3115" t="str">
        <f>VLOOKUP(G3115,PC!B:D,3,FALSE)</f>
        <v>CPV</v>
      </c>
      <c r="C3115" s="22">
        <v>2023</v>
      </c>
      <c r="D3115" t="s">
        <v>98</v>
      </c>
      <c r="E3115" t="s">
        <v>16</v>
      </c>
      <c r="F3115" t="str">
        <f>VLOOKUP(G3115,PC!B:D,2,FALSE)</f>
        <v>COMIDA</v>
      </c>
      <c r="G3115" s="4" t="s">
        <v>12</v>
      </c>
      <c r="H3115" s="1">
        <v>207.71</v>
      </c>
    </row>
    <row r="3116" spans="2:8" x14ac:dyDescent="0.2">
      <c r="B3116" t="str">
        <f>VLOOKUP(G3116,PC!B:D,3,FALSE)</f>
        <v>CPV</v>
      </c>
      <c r="C3116" s="22">
        <v>2023</v>
      </c>
      <c r="D3116" t="s">
        <v>98</v>
      </c>
      <c r="E3116" t="s">
        <v>165</v>
      </c>
      <c r="F3116" t="str">
        <f>VLOOKUP(G3116,PC!B:D,2,FALSE)</f>
        <v>COMIDA</v>
      </c>
      <c r="G3116" s="4" t="s">
        <v>33</v>
      </c>
      <c r="H3116" s="1">
        <v>161.53</v>
      </c>
    </row>
    <row r="3117" spans="2:8" x14ac:dyDescent="0.2">
      <c r="B3117" t="str">
        <f>VLOOKUP(G3117,PC!B:D,3,FALSE)</f>
        <v>CPV</v>
      </c>
      <c r="C3117" s="22">
        <v>2023</v>
      </c>
      <c r="D3117" t="s">
        <v>98</v>
      </c>
      <c r="E3117" t="s">
        <v>165</v>
      </c>
      <c r="F3117" t="str">
        <f>VLOOKUP(G3117,PC!B:D,2,FALSE)</f>
        <v>COMIDA</v>
      </c>
      <c r="G3117" s="4" t="s">
        <v>33</v>
      </c>
      <c r="H3117" s="1">
        <v>83.88</v>
      </c>
    </row>
    <row r="3118" spans="2:8" x14ac:dyDescent="0.2">
      <c r="B3118" t="str">
        <f>VLOOKUP(G3118,PC!B:D,3,FALSE)</f>
        <v>CPV</v>
      </c>
      <c r="C3118" s="22">
        <v>2023</v>
      </c>
      <c r="D3118" t="s">
        <v>98</v>
      </c>
      <c r="E3118" t="s">
        <v>14</v>
      </c>
      <c r="F3118" t="str">
        <f>VLOOKUP(G3118,PC!B:D,2,FALSE)</f>
        <v>BEBIDAS</v>
      </c>
      <c r="G3118" s="4" t="s">
        <v>25</v>
      </c>
      <c r="H3118" s="1">
        <v>1000.88</v>
      </c>
    </row>
    <row r="3119" spans="2:8" x14ac:dyDescent="0.2">
      <c r="B3119" t="str">
        <f>VLOOKUP(G3119,PC!B:D,3,FALSE)</f>
        <v>CPV</v>
      </c>
      <c r="C3119" s="22">
        <v>2023</v>
      </c>
      <c r="D3119" t="s">
        <v>98</v>
      </c>
      <c r="E3119" t="s">
        <v>45</v>
      </c>
      <c r="F3119" t="str">
        <f>VLOOKUP(G3119,PC!B:D,2,FALSE)</f>
        <v>LIMPEZA</v>
      </c>
      <c r="G3119" s="4" t="s">
        <v>43</v>
      </c>
      <c r="H3119" s="1">
        <v>368.9</v>
      </c>
    </row>
    <row r="3120" spans="2:8" x14ac:dyDescent="0.2">
      <c r="B3120" t="e">
        <f>VLOOKUP(G3120,PC!B:D,3,FALSE)</f>
        <v>#N/A</v>
      </c>
      <c r="C3120" s="22">
        <v>2023</v>
      </c>
      <c r="D3120" t="s">
        <v>98</v>
      </c>
      <c r="F3120" t="e">
        <f>VLOOKUP(G3120,PC!B:D,2,FALSE)</f>
        <v>#N/A</v>
      </c>
      <c r="G3120" s="4" t="s">
        <v>210</v>
      </c>
      <c r="H3120" s="1">
        <v>25</v>
      </c>
    </row>
    <row r="3121" spans="2:8" x14ac:dyDescent="0.2">
      <c r="B3121" t="str">
        <f>VLOOKUP(G3121,PC!B:D,3,FALSE)</f>
        <v>CPV</v>
      </c>
      <c r="C3121" s="22">
        <v>2023</v>
      </c>
      <c r="D3121" t="s">
        <v>98</v>
      </c>
      <c r="E3121" t="s">
        <v>5</v>
      </c>
      <c r="F3121" t="str">
        <f>VLOOKUP(G3121,PC!B:D,2,FALSE)</f>
        <v>COMIDA</v>
      </c>
      <c r="G3121" s="4" t="s">
        <v>18</v>
      </c>
      <c r="H3121" s="1">
        <v>221.62</v>
      </c>
    </row>
    <row r="3122" spans="2:8" x14ac:dyDescent="0.2">
      <c r="B3122" t="str">
        <f>VLOOKUP(G3122,PC!B:D,3,FALSE)</f>
        <v>CPV</v>
      </c>
      <c r="C3122" s="22">
        <v>2023</v>
      </c>
      <c r="D3122" t="s">
        <v>98</v>
      </c>
      <c r="E3122" t="s">
        <v>21</v>
      </c>
      <c r="F3122" t="str">
        <f>VLOOKUP(G3122,PC!B:D,2,FALSE)</f>
        <v>SOBREMESA</v>
      </c>
      <c r="G3122" s="4" t="s">
        <v>23</v>
      </c>
      <c r="H3122" s="1">
        <v>98.2</v>
      </c>
    </row>
    <row r="3123" spans="2:8" x14ac:dyDescent="0.2">
      <c r="B3123" t="str">
        <f>VLOOKUP(G3123,PC!B:D,3,FALSE)</f>
        <v>CPV</v>
      </c>
      <c r="C3123" s="22">
        <v>2023</v>
      </c>
      <c r="D3123" t="s">
        <v>98</v>
      </c>
      <c r="E3123" t="s">
        <v>211</v>
      </c>
      <c r="F3123" t="str">
        <f>VLOOKUP(G3123,PC!B:D,2,FALSE)</f>
        <v>BEBIDAS</v>
      </c>
      <c r="G3123" s="4" t="s">
        <v>26</v>
      </c>
      <c r="H3123" s="1">
        <v>255.26</v>
      </c>
    </row>
    <row r="3124" spans="2:8" x14ac:dyDescent="0.2">
      <c r="B3124" t="str">
        <f>VLOOKUP(G3124,PC!B:D,3,FALSE)</f>
        <v>CPV</v>
      </c>
      <c r="C3124" s="22">
        <v>2023</v>
      </c>
      <c r="D3124" t="s">
        <v>98</v>
      </c>
      <c r="E3124" t="s">
        <v>19</v>
      </c>
      <c r="F3124" t="str">
        <f>VLOOKUP(G3124,PC!B:D,2,FALSE)</f>
        <v>COMIDA</v>
      </c>
      <c r="G3124" s="4" t="s">
        <v>34</v>
      </c>
      <c r="H3124" s="1">
        <v>379.93</v>
      </c>
    </row>
    <row r="3125" spans="2:8" x14ac:dyDescent="0.2">
      <c r="B3125" t="str">
        <f>VLOOKUP(G3125,PC!B:D,3,FALSE)</f>
        <v>CPV</v>
      </c>
      <c r="C3125" s="22">
        <v>2023</v>
      </c>
      <c r="D3125" t="s">
        <v>98</v>
      </c>
      <c r="E3125" t="s">
        <v>20</v>
      </c>
      <c r="F3125" t="str">
        <f>VLOOKUP(G3125,PC!B:D,2,FALSE)</f>
        <v>COMIDA</v>
      </c>
      <c r="G3125" s="4" t="s">
        <v>29</v>
      </c>
      <c r="H3125" s="1">
        <v>51.66</v>
      </c>
    </row>
    <row r="3126" spans="2:8" x14ac:dyDescent="0.2">
      <c r="B3126" t="str">
        <f>VLOOKUP(G3126,PC!B:D,3,FALSE)</f>
        <v>CPV</v>
      </c>
      <c r="C3126" s="22">
        <v>2023</v>
      </c>
      <c r="D3126" t="s">
        <v>98</v>
      </c>
      <c r="E3126" t="s">
        <v>24</v>
      </c>
      <c r="F3126" t="str">
        <f>VLOOKUP(G3126,PC!B:D,2,FALSE)</f>
        <v>COMIDA</v>
      </c>
      <c r="G3126" s="4" t="s">
        <v>33</v>
      </c>
      <c r="H3126" s="1">
        <v>233.66</v>
      </c>
    </row>
    <row r="3127" spans="2:8" x14ac:dyDescent="0.2">
      <c r="B3127" t="str">
        <f>VLOOKUP(G3127,PC!B:D,3,FALSE)</f>
        <v>CPV</v>
      </c>
      <c r="C3127" s="22">
        <v>2023</v>
      </c>
      <c r="D3127" t="s">
        <v>98</v>
      </c>
      <c r="E3127" t="s">
        <v>24</v>
      </c>
      <c r="F3127" t="str">
        <f>VLOOKUP(G3127,PC!B:D,2,FALSE)</f>
        <v>COMIDA</v>
      </c>
      <c r="G3127" s="4" t="s">
        <v>33</v>
      </c>
      <c r="H3127" s="1">
        <v>351.83</v>
      </c>
    </row>
    <row r="3128" spans="2:8" x14ac:dyDescent="0.2">
      <c r="B3128" t="str">
        <f>VLOOKUP(G3128,PC!B:D,3,FALSE)</f>
        <v>CPV</v>
      </c>
      <c r="C3128" s="22">
        <v>2023</v>
      </c>
      <c r="D3128" t="s">
        <v>98</v>
      </c>
      <c r="E3128" t="s">
        <v>28</v>
      </c>
      <c r="F3128" t="str">
        <f>VLOOKUP(G3128,PC!B:D,2,FALSE)</f>
        <v>BEBIDAS</v>
      </c>
      <c r="G3128" s="4" t="s">
        <v>26</v>
      </c>
      <c r="H3128" s="1">
        <f>2699.69+763.99</f>
        <v>3463.6800000000003</v>
      </c>
    </row>
    <row r="3129" spans="2:8" x14ac:dyDescent="0.2">
      <c r="B3129" t="str">
        <f>VLOOKUP(G3129,PC!B:D,3,FALSE)</f>
        <v>CPV</v>
      </c>
      <c r="C3129" s="22">
        <v>2023</v>
      </c>
      <c r="D3129" t="s">
        <v>98</v>
      </c>
      <c r="E3129" t="s">
        <v>49</v>
      </c>
      <c r="F3129" t="str">
        <f>VLOOKUP(G3129,PC!B:D,2,FALSE)</f>
        <v>CIGARRO</v>
      </c>
      <c r="G3129" s="4" t="s">
        <v>52</v>
      </c>
      <c r="H3129" s="1">
        <v>5634.4</v>
      </c>
    </row>
    <row r="3130" spans="2:8" x14ac:dyDescent="0.2">
      <c r="B3130" t="str">
        <f>VLOOKUP(G3130,PC!B:D,3,FALSE)</f>
        <v>CPV</v>
      </c>
      <c r="C3130" s="22">
        <v>2023</v>
      </c>
      <c r="D3130" t="s">
        <v>98</v>
      </c>
      <c r="E3130" t="s">
        <v>129</v>
      </c>
      <c r="F3130" t="str">
        <f>VLOOKUP(G3130,PC!B:D,2,FALSE)</f>
        <v>BEBIDAS</v>
      </c>
      <c r="G3130" s="4" t="s">
        <v>39</v>
      </c>
      <c r="H3130" s="1">
        <v>254.7</v>
      </c>
    </row>
    <row r="3131" spans="2:8" x14ac:dyDescent="0.2">
      <c r="B3131" t="str">
        <f>VLOOKUP(G3131,PC!B:D,3,FALSE)</f>
        <v>CPV</v>
      </c>
      <c r="C3131" s="22">
        <v>2023</v>
      </c>
      <c r="D3131" t="s">
        <v>98</v>
      </c>
      <c r="E3131" t="s">
        <v>129</v>
      </c>
      <c r="F3131" t="str">
        <f>VLOOKUP(G3131,PC!B:D,2,FALSE)</f>
        <v>COMIDA</v>
      </c>
      <c r="G3131" s="4" t="s">
        <v>38</v>
      </c>
      <c r="H3131" s="1">
        <f>84+78+50+65+40</f>
        <v>317</v>
      </c>
    </row>
    <row r="3132" spans="2:8" x14ac:dyDescent="0.2">
      <c r="B3132" t="str">
        <f>VLOOKUP(G3132,PC!B:D,3,FALSE)</f>
        <v>CPV</v>
      </c>
      <c r="C3132" s="22">
        <v>2023</v>
      </c>
      <c r="D3132" t="s">
        <v>98</v>
      </c>
      <c r="E3132" t="s">
        <v>129</v>
      </c>
      <c r="F3132" t="str">
        <f>VLOOKUP(G3132,PC!B:D,2,FALSE)</f>
        <v>COMIDA</v>
      </c>
      <c r="G3132" s="4" t="s">
        <v>155</v>
      </c>
      <c r="H3132" s="1">
        <v>480</v>
      </c>
    </row>
    <row r="3133" spans="2:8" x14ac:dyDescent="0.2">
      <c r="B3133" t="str">
        <f>VLOOKUP(G3133,PC!B:D,3,FALSE)</f>
        <v>CPV</v>
      </c>
      <c r="C3133" s="22">
        <v>2023</v>
      </c>
      <c r="D3133" t="s">
        <v>98</v>
      </c>
      <c r="E3133" t="s">
        <v>129</v>
      </c>
      <c r="F3133" t="str">
        <f>VLOOKUP(G3133,PC!B:D,2,FALSE)</f>
        <v>OUTROS</v>
      </c>
      <c r="G3133" s="4" t="s">
        <v>149</v>
      </c>
      <c r="H3133" s="1">
        <v>67.5</v>
      </c>
    </row>
    <row r="3134" spans="2:8" x14ac:dyDescent="0.2">
      <c r="B3134" t="str">
        <f>VLOOKUP(G3134,PC!B:D,3,FALSE)</f>
        <v>CPV</v>
      </c>
      <c r="C3134" s="22">
        <v>2023</v>
      </c>
      <c r="D3134" t="s">
        <v>98</v>
      </c>
      <c r="E3134" t="s">
        <v>129</v>
      </c>
      <c r="F3134" t="str">
        <f>VLOOKUP(G3134,PC!B:D,2,FALSE)</f>
        <v>COMIDA</v>
      </c>
      <c r="G3134" s="4" t="s">
        <v>12</v>
      </c>
      <c r="H3134" s="1">
        <v>500</v>
      </c>
    </row>
    <row r="3135" spans="2:8" x14ac:dyDescent="0.2">
      <c r="B3135" t="str">
        <f>VLOOKUP(G3135,PC!B:D,3,FALSE)</f>
        <v>CPV</v>
      </c>
      <c r="C3135" s="22">
        <v>2023</v>
      </c>
      <c r="D3135" t="s">
        <v>98</v>
      </c>
      <c r="E3135" t="s">
        <v>129</v>
      </c>
      <c r="F3135" t="str">
        <f>VLOOKUP(G3135,PC!B:D,2,FALSE)</f>
        <v>SOBREMESA</v>
      </c>
      <c r="G3135" s="4" t="s">
        <v>7</v>
      </c>
      <c r="H3135" s="1">
        <v>100</v>
      </c>
    </row>
    <row r="3136" spans="2:8" x14ac:dyDescent="0.2">
      <c r="B3136" t="str">
        <f>VLOOKUP(G3136,PC!B:D,3,FALSE)</f>
        <v>DESPESA OPERACIONAL</v>
      </c>
      <c r="C3136" s="22">
        <v>2023</v>
      </c>
      <c r="D3136" t="s">
        <v>98</v>
      </c>
      <c r="F3136" t="str">
        <f>VLOOKUP(G3136,PC!B:D,2,FALSE)</f>
        <v>DESPESA OPERACIONAL</v>
      </c>
      <c r="G3136" s="4" t="s">
        <v>70</v>
      </c>
      <c r="H3136" s="1">
        <v>100</v>
      </c>
    </row>
    <row r="3137" spans="2:8" x14ac:dyDescent="0.2">
      <c r="B3137" t="str">
        <f>VLOOKUP(G3137,PC!B:D,3,FALSE)</f>
        <v>CPV</v>
      </c>
      <c r="C3137" s="22">
        <v>2023</v>
      </c>
      <c r="D3137" t="s">
        <v>98</v>
      </c>
      <c r="E3137" t="s">
        <v>129</v>
      </c>
      <c r="F3137" t="str">
        <f>VLOOKUP(G3137,PC!B:D,2,FALSE)</f>
        <v>CIGARRO</v>
      </c>
      <c r="G3137" s="4" t="s">
        <v>57</v>
      </c>
      <c r="H3137" s="1">
        <v>954</v>
      </c>
    </row>
    <row r="3138" spans="2:8" x14ac:dyDescent="0.2">
      <c r="B3138" t="str">
        <f>VLOOKUP(G3138,PC!B:D,3,FALSE)</f>
        <v>CPV</v>
      </c>
      <c r="C3138" s="22">
        <v>2023</v>
      </c>
      <c r="D3138" t="s">
        <v>98</v>
      </c>
      <c r="E3138" t="s">
        <v>129</v>
      </c>
      <c r="F3138" t="str">
        <f>VLOOKUP(G3138,PC!B:D,2,FALSE)</f>
        <v>COMIDA</v>
      </c>
      <c r="G3138" s="4" t="s">
        <v>145</v>
      </c>
      <c r="H3138" s="1">
        <v>44</v>
      </c>
    </row>
    <row r="3139" spans="2:8" x14ac:dyDescent="0.2">
      <c r="B3139" t="str">
        <f>VLOOKUP(G3139,PC!B:D,3,FALSE)</f>
        <v>CPV</v>
      </c>
      <c r="C3139" s="22">
        <v>2023</v>
      </c>
      <c r="D3139" t="s">
        <v>98</v>
      </c>
      <c r="E3139" t="s">
        <v>129</v>
      </c>
      <c r="F3139" t="str">
        <f>VLOOKUP(G3139,PC!B:D,2,FALSE)</f>
        <v>BEBIDAS</v>
      </c>
      <c r="G3139" s="4" t="s">
        <v>81</v>
      </c>
      <c r="H3139" s="1">
        <f>300+78</f>
        <v>378</v>
      </c>
    </row>
    <row r="3140" spans="2:8" x14ac:dyDescent="0.2">
      <c r="B3140" t="str">
        <f>VLOOKUP(G3140,PC!B:D,3,FALSE)</f>
        <v>CPV</v>
      </c>
      <c r="C3140" s="22">
        <v>2023</v>
      </c>
      <c r="D3140" t="s">
        <v>98</v>
      </c>
      <c r="E3140" t="s">
        <v>77</v>
      </c>
      <c r="F3140" t="str">
        <f>VLOOKUP(G3140,PC!B:D,2,FALSE)</f>
        <v>OUTROS</v>
      </c>
      <c r="G3140" s="4" t="s">
        <v>37</v>
      </c>
      <c r="H3140" s="1">
        <f>1000-H3139</f>
        <v>622</v>
      </c>
    </row>
    <row r="3141" spans="2:8" x14ac:dyDescent="0.2">
      <c r="B3141" t="str">
        <f>VLOOKUP(G3141,PC!B:D,3,FALSE)</f>
        <v>CPV</v>
      </c>
      <c r="C3141" s="22">
        <v>2023</v>
      </c>
      <c r="D3141" t="s">
        <v>98</v>
      </c>
      <c r="E3141" t="s">
        <v>89</v>
      </c>
      <c r="F3141" t="str">
        <f>VLOOKUP(G3141,PC!B:D,2,FALSE)</f>
        <v>OUTROS</v>
      </c>
      <c r="G3141" s="4" t="s">
        <v>37</v>
      </c>
      <c r="H3141" s="1">
        <v>791.88</v>
      </c>
    </row>
    <row r="3142" spans="2:8" x14ac:dyDescent="0.2">
      <c r="B3142" t="str">
        <f>VLOOKUP(G3142,PC!B:D,3,FALSE)</f>
        <v>CPV</v>
      </c>
      <c r="C3142" s="22">
        <v>2023</v>
      </c>
      <c r="D3142" t="s">
        <v>98</v>
      </c>
      <c r="E3142" t="s">
        <v>129</v>
      </c>
      <c r="F3142" t="str">
        <f>VLOOKUP(G3142,PC!B:D,2,FALSE)</f>
        <v>COMIDA</v>
      </c>
      <c r="G3142" s="4" t="s">
        <v>18</v>
      </c>
      <c r="H3142" s="1">
        <v>70.5</v>
      </c>
    </row>
    <row r="3143" spans="2:8" x14ac:dyDescent="0.2">
      <c r="B3143" t="str">
        <f>VLOOKUP(G3143,PC!B:D,3,FALSE)</f>
        <v>CPV</v>
      </c>
      <c r="C3143" s="22">
        <v>2023</v>
      </c>
      <c r="D3143" t="s">
        <v>98</v>
      </c>
      <c r="E3143" t="s">
        <v>129</v>
      </c>
      <c r="F3143" t="str">
        <f>VLOOKUP(G3143,PC!B:D,2,FALSE)</f>
        <v>COMIDA</v>
      </c>
      <c r="G3143" s="4" t="s">
        <v>38</v>
      </c>
      <c r="H3143" s="1">
        <v>206</v>
      </c>
    </row>
    <row r="3144" spans="2:8" x14ac:dyDescent="0.2">
      <c r="B3144" t="str">
        <f>VLOOKUP(G3144,PC!B:D,3,FALSE)</f>
        <v>CPV</v>
      </c>
      <c r="C3144" s="22">
        <v>2023</v>
      </c>
      <c r="D3144" t="s">
        <v>98</v>
      </c>
      <c r="E3144" t="s">
        <v>129</v>
      </c>
      <c r="F3144" t="str">
        <f>VLOOKUP(G3144,PC!B:D,2,FALSE)</f>
        <v>COMIDA</v>
      </c>
      <c r="G3144" s="4" t="s">
        <v>12</v>
      </c>
      <c r="H3144" s="1">
        <v>500</v>
      </c>
    </row>
    <row r="3145" spans="2:8" x14ac:dyDescent="0.2">
      <c r="B3145" t="str">
        <f>VLOOKUP(G3145,PC!B:D,3,FALSE)</f>
        <v>CPV</v>
      </c>
      <c r="C3145" s="22">
        <v>2023</v>
      </c>
      <c r="D3145" t="s">
        <v>98</v>
      </c>
      <c r="E3145" t="s">
        <v>129</v>
      </c>
      <c r="F3145" t="str">
        <f>VLOOKUP(G3145,PC!B:D,2,FALSE)</f>
        <v>SOBREMESA</v>
      </c>
      <c r="G3145" s="4" t="s">
        <v>7</v>
      </c>
      <c r="H3145" s="1">
        <v>289</v>
      </c>
    </row>
    <row r="3146" spans="2:8" x14ac:dyDescent="0.2">
      <c r="B3146" t="str">
        <f>VLOOKUP(G3146,PC!B:D,3,FALSE)</f>
        <v>CPV</v>
      </c>
      <c r="C3146" s="22">
        <v>2023</v>
      </c>
      <c r="D3146" t="s">
        <v>98</v>
      </c>
      <c r="E3146" t="s">
        <v>129</v>
      </c>
      <c r="F3146" t="str">
        <f>VLOOKUP(G3146,PC!B:D,2,FALSE)</f>
        <v>SOBREMESA</v>
      </c>
      <c r="G3146" s="4" t="s">
        <v>7</v>
      </c>
      <c r="H3146" s="1">
        <v>52</v>
      </c>
    </row>
    <row r="3147" spans="2:8" x14ac:dyDescent="0.2">
      <c r="B3147" t="str">
        <f>VLOOKUP(G3147,PC!B:D,3,FALSE)</f>
        <v>CPV</v>
      </c>
      <c r="C3147" s="22">
        <v>2023</v>
      </c>
      <c r="D3147" t="s">
        <v>98</v>
      </c>
      <c r="E3147" t="s">
        <v>129</v>
      </c>
      <c r="F3147" t="str">
        <f>VLOOKUP(G3147,PC!B:D,2,FALSE)</f>
        <v>CIGARRO</v>
      </c>
      <c r="G3147" s="4" t="s">
        <v>57</v>
      </c>
      <c r="H3147" s="1">
        <v>1139</v>
      </c>
    </row>
    <row r="3148" spans="2:8" x14ac:dyDescent="0.2">
      <c r="B3148" t="str">
        <f>VLOOKUP(G3148,PC!B:D,3,FALSE)</f>
        <v>CPV</v>
      </c>
      <c r="C3148" s="22">
        <v>2023</v>
      </c>
      <c r="D3148" t="s">
        <v>98</v>
      </c>
      <c r="E3148" t="s">
        <v>129</v>
      </c>
      <c r="F3148" t="str">
        <f>VLOOKUP(G3148,PC!B:D,2,FALSE)</f>
        <v>BEBIDAS</v>
      </c>
      <c r="G3148" s="4" t="s">
        <v>39</v>
      </c>
      <c r="H3148" s="1">
        <v>465</v>
      </c>
    </row>
    <row r="3149" spans="2:8" x14ac:dyDescent="0.2">
      <c r="B3149" t="str">
        <f>VLOOKUP(G3149,PC!B:D,3,FALSE)</f>
        <v>CPV</v>
      </c>
      <c r="C3149" s="22">
        <v>2023</v>
      </c>
      <c r="D3149" t="s">
        <v>98</v>
      </c>
      <c r="E3149" t="s">
        <v>129</v>
      </c>
      <c r="F3149" t="str">
        <f>VLOOKUP(G3149,PC!B:D,2,FALSE)</f>
        <v>OUTROS</v>
      </c>
      <c r="G3149" s="4" t="s">
        <v>37</v>
      </c>
      <c r="H3149" s="1">
        <f>935.28-H3148</f>
        <v>470.28</v>
      </c>
    </row>
    <row r="3150" spans="2:8" x14ac:dyDescent="0.2">
      <c r="B3150" t="str">
        <f>VLOOKUP(G3150,PC!B:D,3,FALSE)</f>
        <v>CPV</v>
      </c>
      <c r="C3150" s="22">
        <v>2023</v>
      </c>
      <c r="D3150" t="s">
        <v>98</v>
      </c>
      <c r="E3150" t="s">
        <v>129</v>
      </c>
      <c r="F3150" t="str">
        <f>VLOOKUP(G3150,PC!B:D,2,FALSE)</f>
        <v>OUTROS</v>
      </c>
      <c r="G3150" s="4" t="s">
        <v>37</v>
      </c>
      <c r="H3150" s="1">
        <v>538.91999999999996</v>
      </c>
    </row>
    <row r="3151" spans="2:8" x14ac:dyDescent="0.2">
      <c r="B3151" t="str">
        <f>VLOOKUP(G3151,PC!B:D,3,FALSE)</f>
        <v>CPV</v>
      </c>
      <c r="C3151" s="22">
        <v>2023</v>
      </c>
      <c r="D3151" t="s">
        <v>98</v>
      </c>
      <c r="E3151" t="s">
        <v>129</v>
      </c>
      <c r="F3151" t="str">
        <f>VLOOKUP(G3151,PC!B:D,2,FALSE)</f>
        <v>BEBIDAS</v>
      </c>
      <c r="G3151" s="4" t="s">
        <v>39</v>
      </c>
      <c r="H3151" s="1">
        <v>308.5</v>
      </c>
    </row>
    <row r="3152" spans="2:8" x14ac:dyDescent="0.2">
      <c r="B3152" t="str">
        <f>VLOOKUP(G3152,PC!B:D,3,FALSE)</f>
        <v>CPV</v>
      </c>
      <c r="C3152" s="22">
        <v>2023</v>
      </c>
      <c r="D3152" t="s">
        <v>98</v>
      </c>
      <c r="E3152" t="s">
        <v>129</v>
      </c>
      <c r="F3152" t="str">
        <f>VLOOKUP(G3152,PC!B:D,2,FALSE)</f>
        <v>COMIDA</v>
      </c>
      <c r="G3152" s="4" t="s">
        <v>145</v>
      </c>
      <c r="H3152" s="1">
        <v>44.8</v>
      </c>
    </row>
    <row r="3153" spans="2:9" x14ac:dyDescent="0.2">
      <c r="B3153" t="str">
        <f>VLOOKUP(G3153,PC!B:D,3,FALSE)</f>
        <v>CPV</v>
      </c>
      <c r="C3153" s="22">
        <v>2023</v>
      </c>
      <c r="D3153" t="s">
        <v>98</v>
      </c>
      <c r="E3153" t="s">
        <v>129</v>
      </c>
      <c r="F3153" t="str">
        <f>VLOOKUP(G3153,PC!B:D,2,FALSE)</f>
        <v>BEBIDAS</v>
      </c>
      <c r="G3153" s="4" t="s">
        <v>39</v>
      </c>
      <c r="H3153" s="1">
        <v>105</v>
      </c>
    </row>
    <row r="3154" spans="2:9" x14ac:dyDescent="0.2">
      <c r="B3154" t="str">
        <f>VLOOKUP(G3154,PC!B:D,3,FALSE)</f>
        <v>CPV</v>
      </c>
      <c r="C3154" s="22">
        <v>2023</v>
      </c>
      <c r="D3154" t="s">
        <v>98</v>
      </c>
      <c r="E3154" t="s">
        <v>129</v>
      </c>
      <c r="F3154" t="str">
        <f>VLOOKUP(G3154,PC!B:D,2,FALSE)</f>
        <v>COMIDA</v>
      </c>
      <c r="G3154" s="4" t="s">
        <v>22</v>
      </c>
      <c r="H3154" s="1">
        <v>49</v>
      </c>
    </row>
    <row r="3155" spans="2:9" x14ac:dyDescent="0.2">
      <c r="B3155" t="str">
        <f>VLOOKUP(G3155,PC!B:D,3,FALSE)</f>
        <v>CPV</v>
      </c>
      <c r="C3155" s="22">
        <v>2023</v>
      </c>
      <c r="D3155" t="s">
        <v>98</v>
      </c>
      <c r="E3155" t="s">
        <v>129</v>
      </c>
      <c r="F3155" t="str">
        <f>VLOOKUP(G3155,PC!B:D,2,FALSE)</f>
        <v>COMIDA</v>
      </c>
      <c r="G3155" s="4" t="s">
        <v>33</v>
      </c>
      <c r="H3155" s="1">
        <v>30</v>
      </c>
    </row>
    <row r="3156" spans="2:9" x14ac:dyDescent="0.2">
      <c r="B3156" t="str">
        <f>VLOOKUP(G3156,PC!B:D,3,FALSE)</f>
        <v>CPV</v>
      </c>
      <c r="C3156" s="22">
        <v>2023</v>
      </c>
      <c r="D3156" t="s">
        <v>98</v>
      </c>
      <c r="E3156" t="s">
        <v>129</v>
      </c>
      <c r="F3156" t="str">
        <f>VLOOKUP(G3156,PC!B:D,2,FALSE)</f>
        <v>OUTROS</v>
      </c>
      <c r="G3156" s="4" t="s">
        <v>149</v>
      </c>
      <c r="H3156" s="1">
        <v>177.85</v>
      </c>
    </row>
    <row r="3157" spans="2:9" x14ac:dyDescent="0.2">
      <c r="B3157" t="str">
        <f>VLOOKUP(G3157,PC!B:D,3,FALSE)</f>
        <v>CPV</v>
      </c>
      <c r="C3157" s="22">
        <v>2023</v>
      </c>
      <c r="D3157" t="s">
        <v>98</v>
      </c>
      <c r="E3157" t="s">
        <v>129</v>
      </c>
      <c r="F3157" t="str">
        <f>VLOOKUP(G3157,PC!B:D,2,FALSE)</f>
        <v>BEBIDAS</v>
      </c>
      <c r="G3157" s="4" t="s">
        <v>48</v>
      </c>
      <c r="H3157" s="1">
        <v>184.8</v>
      </c>
    </row>
    <row r="3158" spans="2:9" x14ac:dyDescent="0.2">
      <c r="B3158" t="str">
        <f>VLOOKUP(G3158,PC!B:D,3,FALSE)</f>
        <v>CPV</v>
      </c>
      <c r="C3158" s="22">
        <v>2023</v>
      </c>
      <c r="D3158" t="s">
        <v>98</v>
      </c>
      <c r="E3158" t="s">
        <v>129</v>
      </c>
      <c r="F3158" t="str">
        <f>VLOOKUP(G3158,PC!B:D,2,FALSE)</f>
        <v>COMIDA</v>
      </c>
      <c r="G3158" s="4" t="s">
        <v>155</v>
      </c>
      <c r="H3158" s="1">
        <v>292.5</v>
      </c>
    </row>
    <row r="3159" spans="2:9" x14ac:dyDescent="0.2">
      <c r="B3159" t="str">
        <f>VLOOKUP(G3159,PC!B:D,3,FALSE)</f>
        <v>CPV</v>
      </c>
      <c r="C3159" s="22">
        <v>2023</v>
      </c>
      <c r="D3159" t="s">
        <v>98</v>
      </c>
      <c r="E3159" t="s">
        <v>129</v>
      </c>
      <c r="F3159" t="str">
        <f>VLOOKUP(G3159,PC!B:D,2,FALSE)</f>
        <v>SOBREMESA</v>
      </c>
      <c r="G3159" s="4" t="s">
        <v>75</v>
      </c>
      <c r="H3159" s="1">
        <v>926.37</v>
      </c>
    </row>
    <row r="3160" spans="2:9" x14ac:dyDescent="0.2">
      <c r="B3160" t="str">
        <f>VLOOKUP(G3160,PC!B:D,3,FALSE)</f>
        <v>CPV</v>
      </c>
      <c r="C3160" s="22">
        <v>2023</v>
      </c>
      <c r="D3160" t="s">
        <v>98</v>
      </c>
      <c r="E3160" t="s">
        <v>129</v>
      </c>
      <c r="F3160" t="str">
        <f>VLOOKUP(G3160,PC!B:D,2,FALSE)</f>
        <v>COMIDA</v>
      </c>
      <c r="G3160" s="4" t="s">
        <v>12</v>
      </c>
      <c r="H3160" s="1">
        <v>114.2</v>
      </c>
    </row>
    <row r="3161" spans="2:9" x14ac:dyDescent="0.2">
      <c r="B3161" t="str">
        <f>VLOOKUP(G3161,PC!B:D,3,FALSE)</f>
        <v>CPV</v>
      </c>
      <c r="C3161" s="22">
        <v>2023</v>
      </c>
      <c r="D3161" t="s">
        <v>98</v>
      </c>
      <c r="E3161" t="s">
        <v>129</v>
      </c>
      <c r="F3161" t="str">
        <f>VLOOKUP(G3161,PC!B:D,2,FALSE)</f>
        <v>BEBIDAS</v>
      </c>
      <c r="G3161" s="4" t="s">
        <v>48</v>
      </c>
      <c r="H3161" s="1">
        <v>92.4</v>
      </c>
    </row>
    <row r="3162" spans="2:9" x14ac:dyDescent="0.2">
      <c r="B3162" t="str">
        <f>VLOOKUP(G3162,PC!B:D,3,FALSE)</f>
        <v>CPV</v>
      </c>
      <c r="C3162" s="22">
        <v>2023</v>
      </c>
      <c r="D3162" t="s">
        <v>98</v>
      </c>
      <c r="E3162" t="s">
        <v>129</v>
      </c>
      <c r="F3162" t="str">
        <f>VLOOKUP(G3162,PC!B:D,2,FALSE)</f>
        <v>COMIDA</v>
      </c>
      <c r="G3162" s="4" t="s">
        <v>22</v>
      </c>
      <c r="H3162" s="1">
        <v>111</v>
      </c>
    </row>
    <row r="3163" spans="2:9" x14ac:dyDescent="0.2">
      <c r="B3163" t="str">
        <f>VLOOKUP(G3163,PC!B:D,3,FALSE)</f>
        <v>DESPESA OPERACIONAL</v>
      </c>
      <c r="C3163" s="22">
        <v>2023</v>
      </c>
      <c r="D3163" t="s">
        <v>98</v>
      </c>
      <c r="F3163" t="str">
        <f>VLOOKUP(G3163,PC!B:D,2,FALSE)</f>
        <v>DESPESA OPERACIONAL</v>
      </c>
      <c r="G3163" s="4" t="s">
        <v>73</v>
      </c>
      <c r="H3163" s="1">
        <f>957.49+830.42+471.68+688.68+1232.17</f>
        <v>4180.4399999999996</v>
      </c>
    </row>
    <row r="3164" spans="2:9" x14ac:dyDescent="0.2">
      <c r="B3164" t="str">
        <f>VLOOKUP(G3164,PC!B:D,3,FALSE)</f>
        <v>RECEITA</v>
      </c>
      <c r="C3164" s="22">
        <v>2023</v>
      </c>
      <c r="D3164" t="s">
        <v>98</v>
      </c>
      <c r="F3164" t="str">
        <f>VLOOKUP(G3164,PC!B:D,2,FALSE)</f>
        <v>RECEITA</v>
      </c>
      <c r="G3164" s="4" t="s">
        <v>64</v>
      </c>
      <c r="H3164" s="1">
        <f>28.33+10.82+15.82+19.08+22.01</f>
        <v>96.06</v>
      </c>
    </row>
    <row r="3165" spans="2:9" x14ac:dyDescent="0.2">
      <c r="B3165" t="str">
        <f>VLOOKUP(G3165,PC!B:D,3,FALSE)</f>
        <v>INVESTIMENTO</v>
      </c>
      <c r="C3165" s="22">
        <v>2023</v>
      </c>
      <c r="D3165" t="s">
        <v>98</v>
      </c>
      <c r="F3165" t="str">
        <f>VLOOKUP(G3165,PC!B:D,2,FALSE)</f>
        <v>INVESTIMENTO</v>
      </c>
      <c r="G3165" s="4" t="s">
        <v>130</v>
      </c>
      <c r="H3165" s="1">
        <v>290</v>
      </c>
      <c r="I3165" s="7" t="s">
        <v>214</v>
      </c>
    </row>
    <row r="3166" spans="2:9" x14ac:dyDescent="0.2">
      <c r="B3166" t="str">
        <f>VLOOKUP(G3166,PC!B:D,3,FALSE)</f>
        <v>DESPESA PESSOAL</v>
      </c>
      <c r="C3166" s="22">
        <v>2023</v>
      </c>
      <c r="D3166" t="s">
        <v>98</v>
      </c>
      <c r="F3166" t="str">
        <f>VLOOKUP(G3166,PC!B:D,2,FALSE)</f>
        <v>DESPESA PESSOAL</v>
      </c>
      <c r="G3166" s="4" t="s">
        <v>215</v>
      </c>
      <c r="H3166" s="1">
        <v>65.989999999999995</v>
      </c>
    </row>
    <row r="3167" spans="2:9" x14ac:dyDescent="0.2">
      <c r="B3167" t="e">
        <f>VLOOKUP(G3167,PC!B:D,3,FALSE)</f>
        <v>#N/A</v>
      </c>
      <c r="C3167" s="22">
        <v>2023</v>
      </c>
      <c r="D3167" t="s">
        <v>98</v>
      </c>
      <c r="F3167" t="e">
        <f>VLOOKUP(G3167,PC!B:D,2,FALSE)</f>
        <v>#N/A</v>
      </c>
      <c r="G3167" s="4" t="s">
        <v>216</v>
      </c>
      <c r="H3167" s="1">
        <v>100</v>
      </c>
    </row>
    <row r="3168" spans="2:9" x14ac:dyDescent="0.2">
      <c r="B3168" t="str">
        <f>VLOOKUP(G3168,PC!B:D,3,FALSE)</f>
        <v>CPV</v>
      </c>
      <c r="C3168" s="22">
        <v>2023</v>
      </c>
      <c r="D3168" t="s">
        <v>98</v>
      </c>
      <c r="E3168" t="s">
        <v>10</v>
      </c>
      <c r="F3168" t="str">
        <f>VLOOKUP(G3168,PC!B:D,2,FALSE)</f>
        <v>COMIDA</v>
      </c>
      <c r="G3168" s="4" t="s">
        <v>33</v>
      </c>
      <c r="H3168" s="1">
        <v>619</v>
      </c>
    </row>
    <row r="3169" spans="2:8" x14ac:dyDescent="0.2">
      <c r="B3169" t="str">
        <f>VLOOKUP(G3169,PC!B:D,3,FALSE)</f>
        <v>CPV</v>
      </c>
      <c r="C3169" s="22">
        <v>2023</v>
      </c>
      <c r="D3169" t="s">
        <v>98</v>
      </c>
      <c r="E3169" t="s">
        <v>14</v>
      </c>
      <c r="F3169" t="str">
        <f>VLOOKUP(G3169,PC!B:D,2,FALSE)</f>
        <v>BEBIDAS</v>
      </c>
      <c r="G3169" s="4" t="s">
        <v>25</v>
      </c>
      <c r="H3169" s="1">
        <v>431.65</v>
      </c>
    </row>
    <row r="3170" spans="2:8" x14ac:dyDescent="0.2">
      <c r="B3170" t="str">
        <f>VLOOKUP(G3170,PC!B:D,3,FALSE)</f>
        <v>CPV</v>
      </c>
      <c r="C3170" s="22">
        <v>2023</v>
      </c>
      <c r="D3170" t="s">
        <v>98</v>
      </c>
      <c r="E3170" t="s">
        <v>156</v>
      </c>
      <c r="F3170" t="str">
        <f>VLOOKUP(G3170,PC!B:D,2,FALSE)</f>
        <v>BEBIDAS</v>
      </c>
      <c r="G3170" s="4" t="s">
        <v>25</v>
      </c>
      <c r="H3170" s="1">
        <v>120</v>
      </c>
    </row>
    <row r="3171" spans="2:8" x14ac:dyDescent="0.2">
      <c r="B3171" t="str">
        <f>VLOOKUP(G3171,PC!B:D,3,FALSE)</f>
        <v>CPV</v>
      </c>
      <c r="C3171" s="22">
        <v>2023</v>
      </c>
      <c r="D3171" t="s">
        <v>98</v>
      </c>
      <c r="E3171" t="s">
        <v>40</v>
      </c>
      <c r="F3171" t="str">
        <f>VLOOKUP(G3171,PC!B:D,2,FALSE)</f>
        <v>BEBIDAS</v>
      </c>
      <c r="G3171" s="4" t="s">
        <v>26</v>
      </c>
      <c r="H3171" s="1">
        <v>1347.5</v>
      </c>
    </row>
    <row r="3172" spans="2:8" x14ac:dyDescent="0.2">
      <c r="B3172" t="str">
        <f>VLOOKUP(G3172,PC!B:D,3,FALSE)</f>
        <v>CPV</v>
      </c>
      <c r="C3172" s="22">
        <v>2023</v>
      </c>
      <c r="D3172" t="s">
        <v>98</v>
      </c>
      <c r="E3172" t="s">
        <v>95</v>
      </c>
      <c r="F3172" t="str">
        <f>VLOOKUP(G3172,PC!B:D,2,FALSE)</f>
        <v>BEBIDAS</v>
      </c>
      <c r="G3172" s="4" t="s">
        <v>144</v>
      </c>
      <c r="H3172" s="1">
        <v>318.7</v>
      </c>
    </row>
    <row r="3173" spans="2:8" x14ac:dyDescent="0.2">
      <c r="B3173" t="str">
        <f>VLOOKUP(G3173,PC!B:D,3,FALSE)</f>
        <v>CPV</v>
      </c>
      <c r="C3173" s="22">
        <v>2023</v>
      </c>
      <c r="D3173" t="s">
        <v>98</v>
      </c>
      <c r="E3173" t="s">
        <v>191</v>
      </c>
      <c r="F3173" t="str">
        <f>VLOOKUP(G3173,PC!B:D,2,FALSE)</f>
        <v>COMIDA</v>
      </c>
      <c r="G3173" s="4" t="s">
        <v>33</v>
      </c>
      <c r="H3173" s="1">
        <v>105</v>
      </c>
    </row>
    <row r="3174" spans="2:8" x14ac:dyDescent="0.2">
      <c r="B3174" t="str">
        <f>VLOOKUP(G3174,PC!B:D,3,FALSE)</f>
        <v>CPV</v>
      </c>
      <c r="C3174" s="22">
        <v>2023</v>
      </c>
      <c r="D3174" t="s">
        <v>98</v>
      </c>
      <c r="E3174" t="s">
        <v>49</v>
      </c>
      <c r="F3174" t="str">
        <f>VLOOKUP(G3174,PC!B:D,2,FALSE)</f>
        <v>CIGARRO</v>
      </c>
      <c r="G3174" s="4" t="s">
        <v>52</v>
      </c>
      <c r="H3174" s="1">
        <v>6321.97</v>
      </c>
    </row>
    <row r="3175" spans="2:8" x14ac:dyDescent="0.2">
      <c r="B3175" t="str">
        <f>VLOOKUP(G3175,PC!B:D,3,FALSE)</f>
        <v>CPV</v>
      </c>
      <c r="C3175" s="22">
        <v>2023</v>
      </c>
      <c r="D3175" t="s">
        <v>98</v>
      </c>
      <c r="E3175" t="s">
        <v>129</v>
      </c>
      <c r="F3175" t="str">
        <f>VLOOKUP(G3175,PC!B:D,2,FALSE)</f>
        <v>BEBIDAS</v>
      </c>
      <c r="G3175" s="4" t="s">
        <v>48</v>
      </c>
      <c r="H3175" s="1">
        <v>528</v>
      </c>
    </row>
    <row r="3176" spans="2:8" x14ac:dyDescent="0.2">
      <c r="B3176" t="str">
        <f>VLOOKUP(G3176,PC!B:D,3,FALSE)</f>
        <v>CPV</v>
      </c>
      <c r="C3176" s="22">
        <v>2023</v>
      </c>
      <c r="D3176" t="s">
        <v>98</v>
      </c>
      <c r="E3176" t="s">
        <v>30</v>
      </c>
      <c r="F3176" t="str">
        <f>VLOOKUP(G3176,PC!B:D,2,FALSE)</f>
        <v>SOBREMESA</v>
      </c>
      <c r="G3176" s="4" t="s">
        <v>23</v>
      </c>
      <c r="H3176" s="1">
        <v>297.04000000000002</v>
      </c>
    </row>
    <row r="3177" spans="2:8" x14ac:dyDescent="0.2">
      <c r="B3177" t="str">
        <f>VLOOKUP(G3177,PC!B:D,3,FALSE)</f>
        <v>RECEITA</v>
      </c>
      <c r="C3177" s="22">
        <v>2023</v>
      </c>
      <c r="D3177" t="s">
        <v>98</v>
      </c>
      <c r="F3177" t="str">
        <f>VLOOKUP(G3177,PC!B:D,2,FALSE)</f>
        <v>RECEITA</v>
      </c>
      <c r="G3177" s="4" t="s">
        <v>83</v>
      </c>
      <c r="H3177" s="1">
        <v>30.65</v>
      </c>
    </row>
    <row r="3178" spans="2:8" x14ac:dyDescent="0.2">
      <c r="B3178" t="str">
        <f>VLOOKUP(G3178,PC!B:D,3,FALSE)</f>
        <v>CPV</v>
      </c>
      <c r="C3178" s="22">
        <v>2023</v>
      </c>
      <c r="D3178" t="s">
        <v>98</v>
      </c>
      <c r="E3178" t="s">
        <v>35</v>
      </c>
      <c r="F3178" t="str">
        <f>VLOOKUP(G3178,PC!B:D,2,FALSE)</f>
        <v>LIMPEZA</v>
      </c>
      <c r="G3178" s="4" t="s">
        <v>43</v>
      </c>
      <c r="H3178" s="1">
        <v>300</v>
      </c>
    </row>
    <row r="3179" spans="2:8" x14ac:dyDescent="0.2">
      <c r="B3179" t="str">
        <f>VLOOKUP(G3179,PC!B:D,3,FALSE)</f>
        <v>CPV</v>
      </c>
      <c r="C3179" s="22">
        <v>2023</v>
      </c>
      <c r="D3179" t="s">
        <v>98</v>
      </c>
      <c r="E3179" t="s">
        <v>35</v>
      </c>
      <c r="F3179" t="str">
        <f>VLOOKUP(G3179,PC!B:D,2,FALSE)</f>
        <v>HIGIENE</v>
      </c>
      <c r="G3179" s="4" t="s">
        <v>36</v>
      </c>
      <c r="H3179" s="1">
        <v>300</v>
      </c>
    </row>
    <row r="3180" spans="2:8" x14ac:dyDescent="0.2">
      <c r="B3180" t="str">
        <f>VLOOKUP(G3180,PC!B:D,3,FALSE)</f>
        <v>CPV</v>
      </c>
      <c r="C3180" s="22">
        <v>2023</v>
      </c>
      <c r="D3180" t="s">
        <v>98</v>
      </c>
      <c r="E3180" t="s">
        <v>35</v>
      </c>
      <c r="F3180" t="str">
        <f>VLOOKUP(G3180,PC!B:D,2,FALSE)</f>
        <v>COMIDA</v>
      </c>
      <c r="G3180" s="4" t="s">
        <v>38</v>
      </c>
      <c r="H3180" s="1">
        <v>376.69</v>
      </c>
    </row>
    <row r="3181" spans="2:8" x14ac:dyDescent="0.2">
      <c r="B3181" t="str">
        <f>VLOOKUP(G3181,PC!B:D,3,FALSE)</f>
        <v>CPV</v>
      </c>
      <c r="C3181" s="22">
        <v>2023</v>
      </c>
      <c r="D3181" t="s">
        <v>98</v>
      </c>
      <c r="E3181" t="s">
        <v>78</v>
      </c>
      <c r="F3181" t="str">
        <f>VLOOKUP(G3181,PC!B:D,2,FALSE)</f>
        <v>CIGARRO</v>
      </c>
      <c r="G3181" s="4" t="s">
        <v>82</v>
      </c>
      <c r="H3181" s="1">
        <v>411.11</v>
      </c>
    </row>
    <row r="3182" spans="2:8" x14ac:dyDescent="0.2">
      <c r="B3182" t="str">
        <f>VLOOKUP(G3182,PC!B:D,3,FALSE)</f>
        <v>CPV</v>
      </c>
      <c r="C3182" s="22">
        <v>2023</v>
      </c>
      <c r="D3182" t="s">
        <v>98</v>
      </c>
      <c r="E3182" t="s">
        <v>28</v>
      </c>
      <c r="F3182" t="str">
        <f>VLOOKUP(G3182,PC!B:D,2,FALSE)</f>
        <v>BEBIDAS</v>
      </c>
      <c r="G3182" s="4" t="s">
        <v>26</v>
      </c>
      <c r="H3182" s="1">
        <v>349.02</v>
      </c>
    </row>
    <row r="3183" spans="2:8" x14ac:dyDescent="0.2">
      <c r="B3183" t="str">
        <f>VLOOKUP(G3183,PC!B:D,3,FALSE)</f>
        <v>CPV</v>
      </c>
      <c r="C3183" s="22">
        <v>2023</v>
      </c>
      <c r="D3183" t="s">
        <v>98</v>
      </c>
      <c r="E3183" t="s">
        <v>28</v>
      </c>
      <c r="F3183" t="str">
        <f>VLOOKUP(G3183,PC!B:D,2,FALSE)</f>
        <v>BEBIDAS</v>
      </c>
      <c r="G3183" s="4" t="s">
        <v>26</v>
      </c>
      <c r="H3183" s="1">
        <v>2015.01</v>
      </c>
    </row>
    <row r="3184" spans="2:8" x14ac:dyDescent="0.2">
      <c r="B3184" t="str">
        <f>VLOOKUP(G3184,PC!B:D,3,FALSE)</f>
        <v>CPV</v>
      </c>
      <c r="C3184" s="22">
        <v>2023</v>
      </c>
      <c r="D3184" t="s">
        <v>98</v>
      </c>
      <c r="E3184" t="s">
        <v>24</v>
      </c>
      <c r="F3184" t="str">
        <f>VLOOKUP(G3184,PC!B:D,2,FALSE)</f>
        <v>COMIDA</v>
      </c>
      <c r="G3184" s="4" t="s">
        <v>33</v>
      </c>
      <c r="H3184" s="1">
        <v>445.18</v>
      </c>
    </row>
    <row r="3185" spans="2:8" x14ac:dyDescent="0.2">
      <c r="B3185" t="str">
        <f>VLOOKUP(G3185,PC!B:D,3,FALSE)</f>
        <v>CPV</v>
      </c>
      <c r="C3185" s="22">
        <v>2023</v>
      </c>
      <c r="D3185" t="s">
        <v>98</v>
      </c>
      <c r="E3185" t="s">
        <v>27</v>
      </c>
      <c r="F3185" t="str">
        <f>VLOOKUP(G3185,PC!B:D,2,FALSE)</f>
        <v>COMIDA</v>
      </c>
      <c r="G3185" s="4" t="s">
        <v>12</v>
      </c>
      <c r="H3185" s="1">
        <v>125.46</v>
      </c>
    </row>
    <row r="3186" spans="2:8" x14ac:dyDescent="0.2">
      <c r="B3186" t="str">
        <f>VLOOKUP(G3186,PC!B:D,3,FALSE)</f>
        <v>CPV</v>
      </c>
      <c r="C3186" s="22">
        <v>2023</v>
      </c>
      <c r="D3186" t="s">
        <v>98</v>
      </c>
      <c r="E3186" t="s">
        <v>208</v>
      </c>
      <c r="F3186" t="str">
        <f>VLOOKUP(G3186,PC!B:D,2,FALSE)</f>
        <v>SOBREMESA</v>
      </c>
      <c r="G3186" s="4" t="s">
        <v>8</v>
      </c>
      <c r="H3186" s="1">
        <v>307.52</v>
      </c>
    </row>
    <row r="3187" spans="2:8" x14ac:dyDescent="0.2">
      <c r="B3187" t="str">
        <f>VLOOKUP(G3187,PC!B:D,3,FALSE)</f>
        <v>CPV</v>
      </c>
      <c r="C3187" s="22">
        <v>2023</v>
      </c>
      <c r="D3187" t="s">
        <v>98</v>
      </c>
      <c r="E3187" t="s">
        <v>217</v>
      </c>
      <c r="F3187" t="str">
        <f>VLOOKUP(G3187,PC!B:D,2,FALSE)</f>
        <v>HIGIENE</v>
      </c>
      <c r="G3187" s="4" t="s">
        <v>36</v>
      </c>
      <c r="H3187" s="1">
        <v>200</v>
      </c>
    </row>
    <row r="3188" spans="2:8" x14ac:dyDescent="0.2">
      <c r="B3188" t="str">
        <f>VLOOKUP(G3188,PC!B:D,3,FALSE)</f>
        <v>CPV</v>
      </c>
      <c r="C3188" s="22">
        <v>2023</v>
      </c>
      <c r="D3188" t="s">
        <v>98</v>
      </c>
      <c r="E3188" t="s">
        <v>217</v>
      </c>
      <c r="F3188" t="str">
        <f>VLOOKUP(G3188,PC!B:D,2,FALSE)</f>
        <v>LIMPEZA</v>
      </c>
      <c r="G3188" s="4" t="s">
        <v>43</v>
      </c>
      <c r="H3188" s="1">
        <v>200</v>
      </c>
    </row>
    <row r="3189" spans="2:8" x14ac:dyDescent="0.2">
      <c r="B3189" t="str">
        <f>VLOOKUP(G3189,PC!B:D,3,FALSE)</f>
        <v>CPV</v>
      </c>
      <c r="C3189" s="22">
        <v>2023</v>
      </c>
      <c r="D3189" t="s">
        <v>98</v>
      </c>
      <c r="E3189" t="s">
        <v>217</v>
      </c>
      <c r="F3189" t="str">
        <f>VLOOKUP(G3189,PC!B:D,2,FALSE)</f>
        <v>COMIDA</v>
      </c>
      <c r="G3189" s="4" t="s">
        <v>38</v>
      </c>
      <c r="H3189" s="1">
        <v>200</v>
      </c>
    </row>
    <row r="3190" spans="2:8" x14ac:dyDescent="0.2">
      <c r="B3190" t="str">
        <f>VLOOKUP(G3190,PC!B:D,3,FALSE)</f>
        <v>CPV</v>
      </c>
      <c r="C3190" s="22">
        <v>2023</v>
      </c>
      <c r="D3190" t="s">
        <v>98</v>
      </c>
      <c r="E3190" t="s">
        <v>16</v>
      </c>
      <c r="F3190" t="str">
        <f>VLOOKUP(G3190,PC!B:D,2,FALSE)</f>
        <v>COMIDA</v>
      </c>
      <c r="G3190" s="4" t="s">
        <v>12</v>
      </c>
      <c r="H3190" s="1">
        <v>277.51</v>
      </c>
    </row>
    <row r="3191" spans="2:8" x14ac:dyDescent="0.2">
      <c r="B3191" t="str">
        <f>VLOOKUP(G3191,PC!B:D,3,FALSE)</f>
        <v>CPV</v>
      </c>
      <c r="C3191" s="22">
        <v>2023</v>
      </c>
      <c r="D3191" t="s">
        <v>98</v>
      </c>
      <c r="E3191" t="s">
        <v>35</v>
      </c>
      <c r="F3191" t="str">
        <f>VLOOKUP(G3191,PC!B:D,2,FALSE)</f>
        <v>BEBIDAS</v>
      </c>
      <c r="G3191" s="4" t="s">
        <v>39</v>
      </c>
      <c r="H3191" s="1">
        <v>897.6</v>
      </c>
    </row>
    <row r="3192" spans="2:8" x14ac:dyDescent="0.2">
      <c r="B3192" t="str">
        <f>VLOOKUP(G3192,PC!B:D,3,FALSE)</f>
        <v>CPV</v>
      </c>
      <c r="C3192" s="22">
        <v>2023</v>
      </c>
      <c r="D3192" t="s">
        <v>98</v>
      </c>
      <c r="E3192" t="s">
        <v>20</v>
      </c>
      <c r="F3192" t="str">
        <f>VLOOKUP(G3192,PC!B:D,2,FALSE)</f>
        <v>COMIDA</v>
      </c>
      <c r="G3192" s="4" t="s">
        <v>29</v>
      </c>
      <c r="H3192" s="1">
        <v>237.3</v>
      </c>
    </row>
    <row r="3193" spans="2:8" x14ac:dyDescent="0.2">
      <c r="B3193" t="str">
        <f>VLOOKUP(G3193,PC!B:D,3,FALSE)</f>
        <v>CPV</v>
      </c>
      <c r="C3193" s="22">
        <v>2023</v>
      </c>
      <c r="D3193" t="s">
        <v>98</v>
      </c>
      <c r="E3193" t="s">
        <v>28</v>
      </c>
      <c r="F3193" t="str">
        <f>VLOOKUP(G3193,PC!B:D,2,FALSE)</f>
        <v>BEBIDAS</v>
      </c>
      <c r="G3193" s="4" t="s">
        <v>26</v>
      </c>
      <c r="H3193" s="1">
        <v>3730.57</v>
      </c>
    </row>
    <row r="3194" spans="2:8" x14ac:dyDescent="0.2">
      <c r="B3194" t="str">
        <f>VLOOKUP(G3194,PC!B:D,3,FALSE)</f>
        <v>CPV</v>
      </c>
      <c r="C3194" s="22">
        <v>2023</v>
      </c>
      <c r="D3194" t="s">
        <v>98</v>
      </c>
      <c r="E3194" t="s">
        <v>14</v>
      </c>
      <c r="F3194" t="str">
        <f>VLOOKUP(G3194,PC!B:D,2,FALSE)</f>
        <v>BEBIDAS</v>
      </c>
      <c r="G3194" s="4" t="s">
        <v>25</v>
      </c>
      <c r="H3194" s="1">
        <v>402.81</v>
      </c>
    </row>
    <row r="3195" spans="2:8" x14ac:dyDescent="0.2">
      <c r="B3195" t="str">
        <f>VLOOKUP(G3195,PC!B:D,3,FALSE)</f>
        <v>CPV</v>
      </c>
      <c r="C3195" s="22">
        <v>2023</v>
      </c>
      <c r="D3195" t="s">
        <v>98</v>
      </c>
      <c r="E3195" t="s">
        <v>211</v>
      </c>
      <c r="F3195" t="str">
        <f>VLOOKUP(G3195,PC!B:D,2,FALSE)</f>
        <v>BEBIDAS</v>
      </c>
      <c r="G3195" s="4" t="s">
        <v>26</v>
      </c>
      <c r="H3195" s="1">
        <v>1306.21</v>
      </c>
    </row>
    <row r="3196" spans="2:8" x14ac:dyDescent="0.2">
      <c r="B3196" t="str">
        <f>VLOOKUP(G3196,PC!B:D,3,FALSE)</f>
        <v>CPV</v>
      </c>
      <c r="C3196" s="22">
        <v>2023</v>
      </c>
      <c r="D3196" t="s">
        <v>98</v>
      </c>
      <c r="F3196" t="str">
        <f>VLOOKUP(G3196,PC!B:D,2,FALSE)</f>
        <v>COMIDA</v>
      </c>
      <c r="G3196" s="4" t="s">
        <v>155</v>
      </c>
      <c r="H3196" s="1">
        <v>215</v>
      </c>
    </row>
    <row r="3197" spans="2:8" x14ac:dyDescent="0.2">
      <c r="B3197" t="str">
        <f>VLOOKUP(G3197,PC!B:D,3,FALSE)</f>
        <v>CPV</v>
      </c>
      <c r="C3197" s="22">
        <v>2023</v>
      </c>
      <c r="D3197" t="s">
        <v>98</v>
      </c>
      <c r="F3197" t="str">
        <f>VLOOKUP(G3197,PC!B:D,2,FALSE)</f>
        <v>CIGARRO</v>
      </c>
      <c r="G3197" s="4" t="s">
        <v>57</v>
      </c>
      <c r="H3197" s="1">
        <v>650</v>
      </c>
    </row>
    <row r="3198" spans="2:8" x14ac:dyDescent="0.2">
      <c r="B3198" t="str">
        <f>VLOOKUP(G3198,PC!B:D,3,FALSE)</f>
        <v>CPV</v>
      </c>
      <c r="C3198" s="22">
        <v>2023</v>
      </c>
      <c r="D3198" t="s">
        <v>98</v>
      </c>
      <c r="F3198" t="str">
        <f>VLOOKUP(G3198,PC!B:D,2,FALSE)</f>
        <v>COMIDA</v>
      </c>
      <c r="G3198" s="4" t="s">
        <v>12</v>
      </c>
      <c r="H3198" s="1">
        <v>500</v>
      </c>
    </row>
    <row r="3199" spans="2:8" x14ac:dyDescent="0.2">
      <c r="B3199" t="str">
        <f>VLOOKUP(G3199,PC!B:D,3,FALSE)</f>
        <v>CPV</v>
      </c>
      <c r="C3199" s="22">
        <v>2023</v>
      </c>
      <c r="D3199" t="s">
        <v>98</v>
      </c>
      <c r="F3199" t="str">
        <f>VLOOKUP(G3199,PC!B:D,2,FALSE)</f>
        <v>SOBREMESA</v>
      </c>
      <c r="G3199" s="4" t="s">
        <v>7</v>
      </c>
      <c r="H3199" s="1">
        <v>289</v>
      </c>
    </row>
    <row r="3200" spans="2:8" x14ac:dyDescent="0.2">
      <c r="B3200" t="str">
        <f>VLOOKUP(G3200,PC!B:D,3,FALSE)</f>
        <v>CPV</v>
      </c>
      <c r="C3200" s="22">
        <v>2023</v>
      </c>
      <c r="D3200" t="s">
        <v>98</v>
      </c>
      <c r="F3200" t="str">
        <f>VLOOKUP(G3200,PC!B:D,2,FALSE)</f>
        <v>SOBREMESA</v>
      </c>
      <c r="G3200" s="4" t="s">
        <v>7</v>
      </c>
      <c r="H3200" s="1">
        <v>70</v>
      </c>
    </row>
    <row r="3201" spans="2:8" x14ac:dyDescent="0.2">
      <c r="B3201" t="str">
        <f>VLOOKUP(G3201,PC!B:D,3,FALSE)</f>
        <v>CPV</v>
      </c>
      <c r="C3201" s="22">
        <v>2023</v>
      </c>
      <c r="D3201" t="s">
        <v>98</v>
      </c>
      <c r="E3201" t="s">
        <v>89</v>
      </c>
      <c r="F3201" t="str">
        <f>VLOOKUP(G3201,PC!B:D,2,FALSE)</f>
        <v>COMIDA</v>
      </c>
      <c r="G3201" s="4" t="s">
        <v>38</v>
      </c>
      <c r="H3201" s="1">
        <v>150</v>
      </c>
    </row>
    <row r="3202" spans="2:8" x14ac:dyDescent="0.2">
      <c r="B3202" t="str">
        <f>VLOOKUP(G3202,PC!B:D,3,FALSE)</f>
        <v>CPV</v>
      </c>
      <c r="C3202" s="22">
        <v>2023</v>
      </c>
      <c r="D3202" t="s">
        <v>98</v>
      </c>
      <c r="E3202" t="s">
        <v>89</v>
      </c>
      <c r="F3202" t="str">
        <f>VLOOKUP(G3202,PC!B:D,2,FALSE)</f>
        <v>HIGIENE</v>
      </c>
      <c r="G3202" s="4" t="s">
        <v>36</v>
      </c>
      <c r="H3202" s="1">
        <v>150</v>
      </c>
    </row>
    <row r="3203" spans="2:8" x14ac:dyDescent="0.2">
      <c r="B3203" t="str">
        <f>VLOOKUP(G3203,PC!B:D,3,FALSE)</f>
        <v>CPV</v>
      </c>
      <c r="C3203" s="22">
        <v>2023</v>
      </c>
      <c r="D3203" t="s">
        <v>98</v>
      </c>
      <c r="E3203" t="s">
        <v>89</v>
      </c>
      <c r="F3203" t="str">
        <f>VLOOKUP(G3203,PC!B:D,2,FALSE)</f>
        <v>LIMPEZA</v>
      </c>
      <c r="G3203" s="4" t="s">
        <v>43</v>
      </c>
      <c r="H3203" s="1">
        <v>150</v>
      </c>
    </row>
    <row r="3204" spans="2:8" x14ac:dyDescent="0.2">
      <c r="B3204" t="str">
        <f>VLOOKUP(G3204,PC!B:D,3,FALSE)</f>
        <v>CPV</v>
      </c>
      <c r="C3204" s="22">
        <v>2023</v>
      </c>
      <c r="D3204" t="s">
        <v>98</v>
      </c>
      <c r="E3204" t="s">
        <v>77</v>
      </c>
      <c r="F3204" t="str">
        <f>VLOOKUP(G3204,PC!B:D,2,FALSE)</f>
        <v>COMIDA</v>
      </c>
      <c r="G3204" s="4" t="s">
        <v>38</v>
      </c>
      <c r="H3204" s="1">
        <v>233</v>
      </c>
    </row>
    <row r="3205" spans="2:8" x14ac:dyDescent="0.2">
      <c r="B3205" t="str">
        <f>VLOOKUP(G3205,PC!B:D,3,FALSE)</f>
        <v>CPV</v>
      </c>
      <c r="C3205" s="22">
        <v>2023</v>
      </c>
      <c r="D3205" t="s">
        <v>98</v>
      </c>
      <c r="E3205" t="s">
        <v>77</v>
      </c>
      <c r="F3205" t="str">
        <f>VLOOKUP(G3205,PC!B:D,2,FALSE)</f>
        <v>HIGIENE</v>
      </c>
      <c r="G3205" s="4" t="s">
        <v>36</v>
      </c>
      <c r="H3205" s="1">
        <v>233</v>
      </c>
    </row>
    <row r="3206" spans="2:8" x14ac:dyDescent="0.2">
      <c r="B3206" t="str">
        <f>VLOOKUP(G3206,PC!B:D,3,FALSE)</f>
        <v>CPV</v>
      </c>
      <c r="C3206" s="22">
        <v>2023</v>
      </c>
      <c r="D3206" t="s">
        <v>98</v>
      </c>
      <c r="E3206" t="s">
        <v>77</v>
      </c>
      <c r="F3206" t="str">
        <f>VLOOKUP(G3206,PC!B:D,2,FALSE)</f>
        <v>LIMPEZA</v>
      </c>
      <c r="G3206" s="4" t="s">
        <v>43</v>
      </c>
      <c r="H3206" s="1">
        <v>133</v>
      </c>
    </row>
    <row r="3207" spans="2:8" x14ac:dyDescent="0.2">
      <c r="B3207" t="str">
        <f>VLOOKUP(G3207,PC!B:D,3,FALSE)</f>
        <v>CPV</v>
      </c>
      <c r="C3207" s="22">
        <v>2023</v>
      </c>
      <c r="D3207" t="s">
        <v>98</v>
      </c>
      <c r="E3207" t="s">
        <v>77</v>
      </c>
      <c r="F3207" t="str">
        <f>VLOOKUP(G3207,PC!B:D,2,FALSE)</f>
        <v>COMIDA</v>
      </c>
      <c r="G3207" s="4" t="s">
        <v>12</v>
      </c>
      <c r="H3207" s="1">
        <v>233</v>
      </c>
    </row>
    <row r="3208" spans="2:8" x14ac:dyDescent="0.2">
      <c r="B3208" t="str">
        <f>VLOOKUP(G3208,PC!B:D,3,FALSE)</f>
        <v>CPV</v>
      </c>
      <c r="C3208" s="22">
        <v>2023</v>
      </c>
      <c r="D3208" t="s">
        <v>98</v>
      </c>
      <c r="F3208" t="str">
        <f>VLOOKUP(G3208,PC!B:D,2,FALSE)</f>
        <v>LIMPEZA</v>
      </c>
      <c r="G3208" s="4" t="s">
        <v>43</v>
      </c>
      <c r="H3208" s="1">
        <v>96.9</v>
      </c>
    </row>
    <row r="3209" spans="2:8" x14ac:dyDescent="0.2">
      <c r="B3209" t="str">
        <f>VLOOKUP(G3209,PC!B:D,3,FALSE)</f>
        <v>CPV</v>
      </c>
      <c r="C3209" s="22">
        <v>2023</v>
      </c>
      <c r="D3209" t="s">
        <v>98</v>
      </c>
      <c r="F3209" t="str">
        <f>VLOOKUP(G3209,PC!B:D,2,FALSE)</f>
        <v>COMIDA</v>
      </c>
      <c r="G3209" s="4" t="s">
        <v>145</v>
      </c>
      <c r="H3209" s="1">
        <v>44.8</v>
      </c>
    </row>
    <row r="3210" spans="2:8" x14ac:dyDescent="0.2">
      <c r="B3210" t="str">
        <f>VLOOKUP(G3210,PC!B:D,3,FALSE)</f>
        <v>CPV</v>
      </c>
      <c r="C3210" s="22">
        <v>2023</v>
      </c>
      <c r="D3210" t="s">
        <v>98</v>
      </c>
      <c r="F3210" t="str">
        <f>VLOOKUP(G3210,PC!B:D,2,FALSE)</f>
        <v>BEBIDAS</v>
      </c>
      <c r="G3210" s="4" t="s">
        <v>48</v>
      </c>
      <c r="H3210" s="1">
        <v>184.8</v>
      </c>
    </row>
    <row r="3211" spans="2:8" x14ac:dyDescent="0.2">
      <c r="B3211" t="str">
        <f>VLOOKUP(G3211,PC!B:D,3,FALSE)</f>
        <v>DESPESA OPERACIONAL</v>
      </c>
      <c r="C3211" s="22">
        <v>2023</v>
      </c>
      <c r="D3211" t="s">
        <v>98</v>
      </c>
      <c r="F3211" t="str">
        <f>VLOOKUP(G3211,PC!B:D,2,FALSE)</f>
        <v>DESPESA OPERACIONAL</v>
      </c>
      <c r="G3211" s="4" t="s">
        <v>73</v>
      </c>
      <c r="H3211" s="1">
        <f>787.18+694.29</f>
        <v>1481.4699999999998</v>
      </c>
    </row>
    <row r="3212" spans="2:8" x14ac:dyDescent="0.2">
      <c r="B3212" t="str">
        <f>VLOOKUP(G3212,PC!B:D,3,FALSE)</f>
        <v>RECEITA</v>
      </c>
      <c r="C3212" s="22">
        <v>2023</v>
      </c>
      <c r="D3212" t="s">
        <v>98</v>
      </c>
      <c r="F3212" t="str">
        <f>VLOOKUP(G3212,PC!B:D,2,FALSE)</f>
        <v>RECEITA</v>
      </c>
      <c r="G3212" s="4" t="s">
        <v>64</v>
      </c>
      <c r="H3212" s="1">
        <f>18.32+14.11</f>
        <v>32.43</v>
      </c>
    </row>
    <row r="3213" spans="2:8" x14ac:dyDescent="0.2">
      <c r="B3213" t="str">
        <f>VLOOKUP(G3213,PC!B:D,3,FALSE)</f>
        <v>CPV</v>
      </c>
      <c r="C3213" s="22">
        <v>2023</v>
      </c>
      <c r="D3213" t="s">
        <v>98</v>
      </c>
      <c r="E3213" t="s">
        <v>209</v>
      </c>
      <c r="F3213" t="str">
        <f>VLOOKUP(G3213,PC!B:D,2,FALSE)</f>
        <v>COMIDA</v>
      </c>
      <c r="G3213" s="4" t="s">
        <v>18</v>
      </c>
      <c r="H3213" s="1">
        <v>231.31</v>
      </c>
    </row>
    <row r="3214" spans="2:8" x14ac:dyDescent="0.2">
      <c r="B3214" t="str">
        <f>VLOOKUP(G3214,PC!B:D,3,FALSE)</f>
        <v>CPV</v>
      </c>
      <c r="C3214" s="22">
        <v>2023</v>
      </c>
      <c r="D3214" t="s">
        <v>98</v>
      </c>
      <c r="E3214" t="s">
        <v>49</v>
      </c>
      <c r="F3214" t="str">
        <f>VLOOKUP(G3214,PC!B:D,2,FALSE)</f>
        <v>CIGARRO</v>
      </c>
      <c r="G3214" s="4" t="s">
        <v>52</v>
      </c>
      <c r="H3214" s="1">
        <v>12493.26</v>
      </c>
    </row>
    <row r="3215" spans="2:8" x14ac:dyDescent="0.2">
      <c r="B3215" t="str">
        <f>VLOOKUP(G3215,PC!B:D,3,FALSE)</f>
        <v>CPV</v>
      </c>
      <c r="C3215" s="22">
        <v>2023</v>
      </c>
      <c r="D3215" t="s">
        <v>98</v>
      </c>
      <c r="E3215" t="s">
        <v>19</v>
      </c>
      <c r="F3215" t="str">
        <f>VLOOKUP(G3215,PC!B:D,2,FALSE)</f>
        <v>COMIDA</v>
      </c>
      <c r="G3215" s="4" t="s">
        <v>38</v>
      </c>
      <c r="H3215" s="1">
        <v>301.27</v>
      </c>
    </row>
    <row r="3216" spans="2:8" x14ac:dyDescent="0.2">
      <c r="B3216" t="str">
        <f>VLOOKUP(G3216,PC!B:D,3,FALSE)</f>
        <v>CPV</v>
      </c>
      <c r="C3216" s="22">
        <v>2023</v>
      </c>
      <c r="D3216" t="s">
        <v>98</v>
      </c>
      <c r="E3216" t="s">
        <v>45</v>
      </c>
      <c r="F3216" t="str">
        <f>VLOOKUP(G3216,PC!B:D,2,FALSE)</f>
        <v>COMIDA</v>
      </c>
      <c r="G3216" s="4" t="s">
        <v>38</v>
      </c>
      <c r="H3216" s="1">
        <v>369.03</v>
      </c>
    </row>
    <row r="3217" spans="2:8" x14ac:dyDescent="0.2">
      <c r="B3217" t="str">
        <f>VLOOKUP(G3217,PC!B:D,3,FALSE)</f>
        <v>CPV</v>
      </c>
      <c r="C3217" s="22">
        <v>2023</v>
      </c>
      <c r="D3217" t="s">
        <v>98</v>
      </c>
      <c r="E3217" t="s">
        <v>100</v>
      </c>
      <c r="F3217" t="str">
        <f>VLOOKUP(G3217,PC!B:D,2,FALSE)</f>
        <v>SOBREMESA</v>
      </c>
      <c r="G3217" s="4" t="s">
        <v>23</v>
      </c>
      <c r="H3217" s="1">
        <v>82.1</v>
      </c>
    </row>
    <row r="3218" spans="2:8" x14ac:dyDescent="0.2">
      <c r="B3218" t="str">
        <f>VLOOKUP(G3218,PC!B:D,3,FALSE)</f>
        <v>RECEITA</v>
      </c>
      <c r="C3218" s="22">
        <v>2023</v>
      </c>
      <c r="D3218" t="s">
        <v>98</v>
      </c>
      <c r="F3218" t="str">
        <f>VLOOKUP(G3218,PC!B:D,2,FALSE)</f>
        <v>RECEITA</v>
      </c>
      <c r="G3218" s="4" t="s">
        <v>83</v>
      </c>
      <c r="H3218" s="1">
        <v>25.21</v>
      </c>
    </row>
    <row r="3219" spans="2:8" x14ac:dyDescent="0.2">
      <c r="B3219" t="str">
        <f>VLOOKUP(G3219,PC!B:D,3,FALSE)</f>
        <v>CPV</v>
      </c>
      <c r="C3219" s="22">
        <v>2023</v>
      </c>
      <c r="D3219" t="s">
        <v>98</v>
      </c>
      <c r="E3219" t="s">
        <v>21</v>
      </c>
      <c r="F3219" t="str">
        <f>VLOOKUP(G3219,PC!B:D,2,FALSE)</f>
        <v>SOBREMESA</v>
      </c>
      <c r="G3219" s="4" t="s">
        <v>23</v>
      </c>
      <c r="H3219" s="1">
        <v>142.35</v>
      </c>
    </row>
    <row r="3220" spans="2:8" x14ac:dyDescent="0.2">
      <c r="B3220" t="str">
        <f>VLOOKUP(G3220,PC!B:D,3,FALSE)</f>
        <v>CPV</v>
      </c>
      <c r="C3220" s="22">
        <v>2023</v>
      </c>
      <c r="D3220" t="s">
        <v>98</v>
      </c>
      <c r="E3220" t="s">
        <v>14</v>
      </c>
      <c r="F3220" t="str">
        <f>VLOOKUP(G3220,PC!B:D,2,FALSE)</f>
        <v>BEBIDAS</v>
      </c>
      <c r="G3220" s="4" t="s">
        <v>25</v>
      </c>
      <c r="H3220" s="1">
        <v>1621.06</v>
      </c>
    </row>
    <row r="3221" spans="2:8" x14ac:dyDescent="0.2">
      <c r="B3221" t="str">
        <f>VLOOKUP(G3221,PC!B:D,3,FALSE)</f>
        <v>CPV</v>
      </c>
      <c r="C3221" s="22">
        <v>2023</v>
      </c>
      <c r="D3221" t="s">
        <v>98</v>
      </c>
      <c r="E3221" t="s">
        <v>28</v>
      </c>
      <c r="F3221" t="str">
        <f>VLOOKUP(G3221,PC!B:D,2,FALSE)</f>
        <v>BEBIDAS</v>
      </c>
      <c r="G3221" s="4" t="s">
        <v>26</v>
      </c>
      <c r="H3221" s="1">
        <v>2203.71</v>
      </c>
    </row>
    <row r="3222" spans="2:8" x14ac:dyDescent="0.2">
      <c r="B3222" t="str">
        <f>VLOOKUP(G3222,PC!B:D,3,FALSE)</f>
        <v>CPV</v>
      </c>
      <c r="C3222" s="22">
        <v>2023</v>
      </c>
      <c r="D3222" t="s">
        <v>98</v>
      </c>
      <c r="E3222" t="s">
        <v>28</v>
      </c>
      <c r="F3222" t="str">
        <f>VLOOKUP(G3222,PC!B:D,2,FALSE)</f>
        <v>BEBIDAS</v>
      </c>
      <c r="G3222" s="4" t="s">
        <v>26</v>
      </c>
      <c r="H3222" s="1">
        <v>410.83</v>
      </c>
    </row>
    <row r="3223" spans="2:8" x14ac:dyDescent="0.2">
      <c r="B3223" t="str">
        <f>VLOOKUP(G3223,PC!B:D,3,FALSE)</f>
        <v>INVESTIMENTO</v>
      </c>
      <c r="C3223" s="22">
        <v>2023</v>
      </c>
      <c r="D3223" t="s">
        <v>98</v>
      </c>
      <c r="F3223" t="str">
        <f>VLOOKUP(G3223,PC!B:D,2,FALSE)</f>
        <v>INVESTIMENTO</v>
      </c>
      <c r="G3223" s="4" t="s">
        <v>130</v>
      </c>
      <c r="H3223" s="1">
        <v>5.99</v>
      </c>
    </row>
    <row r="3224" spans="2:8" x14ac:dyDescent="0.2">
      <c r="B3224" t="str">
        <f>VLOOKUP(G3224,PC!B:D,3,FALSE)</f>
        <v>CPV</v>
      </c>
      <c r="C3224" s="22">
        <v>2023</v>
      </c>
      <c r="D3224" t="s">
        <v>98</v>
      </c>
      <c r="E3224" t="s">
        <v>206</v>
      </c>
      <c r="F3224" t="str">
        <f>VLOOKUP(G3224,PC!B:D,2,FALSE)</f>
        <v>LIMPEZA</v>
      </c>
      <c r="G3224" s="4" t="s">
        <v>43</v>
      </c>
      <c r="H3224" s="1">
        <v>907.32</v>
      </c>
    </row>
    <row r="3225" spans="2:8" x14ac:dyDescent="0.2">
      <c r="B3225" t="str">
        <f>VLOOKUP(G3225,PC!B:D,3,FALSE)</f>
        <v>CPV</v>
      </c>
      <c r="C3225" s="22">
        <v>2023</v>
      </c>
      <c r="D3225" t="s">
        <v>98</v>
      </c>
      <c r="E3225" t="s">
        <v>24</v>
      </c>
      <c r="F3225" t="str">
        <f>VLOOKUP(G3225,PC!B:D,2,FALSE)</f>
        <v>COMIDA</v>
      </c>
      <c r="G3225" s="4" t="s">
        <v>33</v>
      </c>
      <c r="H3225" s="1">
        <v>273.44</v>
      </c>
    </row>
    <row r="3226" spans="2:8" x14ac:dyDescent="0.2">
      <c r="B3226" t="str">
        <f>VLOOKUP(G3226,PC!B:D,3,FALSE)</f>
        <v>CPV</v>
      </c>
      <c r="C3226" s="22">
        <v>2023</v>
      </c>
      <c r="D3226" t="s">
        <v>98</v>
      </c>
      <c r="E3226" t="s">
        <v>14</v>
      </c>
      <c r="F3226" t="str">
        <f>VLOOKUP(G3226,PC!B:D,2,FALSE)</f>
        <v>BEBIDAS</v>
      </c>
      <c r="G3226" s="4" t="s">
        <v>41</v>
      </c>
      <c r="H3226" s="1">
        <v>500</v>
      </c>
    </row>
    <row r="3227" spans="2:8" x14ac:dyDescent="0.2">
      <c r="B3227" t="str">
        <f>VLOOKUP(G3227,PC!B:D,3,FALSE)</f>
        <v>CPV</v>
      </c>
      <c r="C3227" s="22">
        <v>2023</v>
      </c>
      <c r="D3227" t="s">
        <v>98</v>
      </c>
      <c r="E3227" t="s">
        <v>14</v>
      </c>
      <c r="F3227" t="str">
        <f>VLOOKUP(G3227,PC!B:D,2,FALSE)</f>
        <v>BEBIDAS</v>
      </c>
      <c r="G3227" s="4" t="s">
        <v>46</v>
      </c>
      <c r="H3227" s="1">
        <f>933.19-H3226</f>
        <v>433.19000000000005</v>
      </c>
    </row>
    <row r="3228" spans="2:8" x14ac:dyDescent="0.2">
      <c r="B3228" t="str">
        <f>VLOOKUP(G3228,PC!B:D,3,FALSE)</f>
        <v>CPV</v>
      </c>
      <c r="C3228" s="22">
        <v>2023</v>
      </c>
      <c r="D3228" t="s">
        <v>98</v>
      </c>
      <c r="E3228" t="s">
        <v>5</v>
      </c>
      <c r="F3228" t="str">
        <f>VLOOKUP(G3228,PC!B:D,2,FALSE)</f>
        <v>COMIDA</v>
      </c>
      <c r="G3228" s="4" t="s">
        <v>18</v>
      </c>
      <c r="H3228" s="1">
        <v>211.4</v>
      </c>
    </row>
    <row r="3229" spans="2:8" x14ac:dyDescent="0.2">
      <c r="B3229" t="str">
        <f>VLOOKUP(G3229,PC!B:D,3,FALSE)</f>
        <v>CPV</v>
      </c>
      <c r="C3229" s="22">
        <v>2023</v>
      </c>
      <c r="D3229" t="s">
        <v>98</v>
      </c>
      <c r="E3229" t="s">
        <v>35</v>
      </c>
      <c r="F3229" t="str">
        <f>VLOOKUP(G3229,PC!B:D,2,FALSE)</f>
        <v>BEBIDAS</v>
      </c>
      <c r="G3229" s="4" t="s">
        <v>39</v>
      </c>
      <c r="H3229" s="1">
        <f>3*295.57</f>
        <v>886.71</v>
      </c>
    </row>
    <row r="3230" spans="2:8" x14ac:dyDescent="0.2">
      <c r="B3230" t="str">
        <f>VLOOKUP(G3230,PC!B:D,3,FALSE)</f>
        <v>CPV</v>
      </c>
      <c r="C3230" s="22">
        <v>2023</v>
      </c>
      <c r="D3230" t="s">
        <v>98</v>
      </c>
      <c r="E3230" t="s">
        <v>35</v>
      </c>
      <c r="F3230" t="str">
        <f>VLOOKUP(G3230,PC!B:D,2,FALSE)</f>
        <v>OUTROS</v>
      </c>
      <c r="G3230" s="4" t="s">
        <v>37</v>
      </c>
      <c r="H3230" s="1">
        <f>1505.13-H3229</f>
        <v>618.42000000000007</v>
      </c>
    </row>
    <row r="3231" spans="2:8" x14ac:dyDescent="0.2">
      <c r="B3231" t="str">
        <f>VLOOKUP(G3231,PC!B:D,3,FALSE)</f>
        <v>CPV</v>
      </c>
      <c r="C3231" s="22">
        <v>2023</v>
      </c>
      <c r="D3231" t="s">
        <v>98</v>
      </c>
      <c r="E3231" t="s">
        <v>28</v>
      </c>
      <c r="F3231" t="str">
        <f>VLOOKUP(G3231,PC!B:D,2,FALSE)</f>
        <v>BEBIDAS</v>
      </c>
      <c r="G3231" s="4" t="s">
        <v>26</v>
      </c>
      <c r="H3231" s="1">
        <v>4159.8999999999996</v>
      </c>
    </row>
    <row r="3232" spans="2:8" x14ac:dyDescent="0.2">
      <c r="B3232" t="str">
        <f>VLOOKUP(G3232,PC!B:D,3,FALSE)</f>
        <v>CPV</v>
      </c>
      <c r="C3232" s="22">
        <v>2023</v>
      </c>
      <c r="D3232" t="s">
        <v>98</v>
      </c>
      <c r="E3232" t="s">
        <v>28</v>
      </c>
      <c r="F3232" t="str">
        <f>VLOOKUP(G3232,PC!B:D,2,FALSE)</f>
        <v>BEBIDAS</v>
      </c>
      <c r="G3232" s="4" t="s">
        <v>26</v>
      </c>
      <c r="H3232" s="1">
        <v>1186.69</v>
      </c>
    </row>
    <row r="3233" spans="2:8" x14ac:dyDescent="0.2">
      <c r="B3233" t="str">
        <f>VLOOKUP(G3233,PC!B:D,3,FALSE)</f>
        <v>CPV</v>
      </c>
      <c r="C3233" s="22">
        <v>2023</v>
      </c>
      <c r="D3233" t="s">
        <v>98</v>
      </c>
      <c r="E3233" t="s">
        <v>16</v>
      </c>
      <c r="F3233" t="str">
        <f>VLOOKUP(G3233,PC!B:D,2,FALSE)</f>
        <v>COMIDA</v>
      </c>
      <c r="G3233" s="4" t="s">
        <v>12</v>
      </c>
      <c r="H3233" s="1">
        <v>395.56</v>
      </c>
    </row>
    <row r="3234" spans="2:8" x14ac:dyDescent="0.2">
      <c r="B3234" t="str">
        <f>VLOOKUP(G3234,PC!B:D,3,FALSE)</f>
        <v>CPV</v>
      </c>
      <c r="C3234" s="22">
        <v>2023</v>
      </c>
      <c r="D3234" t="s">
        <v>98</v>
      </c>
      <c r="E3234" t="s">
        <v>19</v>
      </c>
      <c r="F3234" t="str">
        <f>VLOOKUP(G3234,PC!B:D,2,FALSE)</f>
        <v>COMIDA</v>
      </c>
      <c r="G3234" s="4" t="s">
        <v>34</v>
      </c>
      <c r="H3234" s="1">
        <v>75.5</v>
      </c>
    </row>
    <row r="3235" spans="2:8" x14ac:dyDescent="0.2">
      <c r="B3235" t="str">
        <f>VLOOKUP(G3235,PC!B:D,3,FALSE)</f>
        <v>CPV</v>
      </c>
      <c r="C3235" s="22">
        <v>2023</v>
      </c>
      <c r="D3235" t="s">
        <v>98</v>
      </c>
      <c r="E3235" t="s">
        <v>211</v>
      </c>
      <c r="F3235" t="str">
        <f>VLOOKUP(G3235,PC!B:D,2,FALSE)</f>
        <v>BEBIDAS</v>
      </c>
      <c r="G3235" s="4" t="s">
        <v>26</v>
      </c>
      <c r="H3235" s="1">
        <v>444.15</v>
      </c>
    </row>
    <row r="3236" spans="2:8" x14ac:dyDescent="0.2">
      <c r="B3236" t="str">
        <f>VLOOKUP(G3236,PC!B:D,3,FALSE)</f>
        <v>CPV</v>
      </c>
      <c r="C3236" s="22">
        <v>2023</v>
      </c>
      <c r="D3236" t="s">
        <v>98</v>
      </c>
      <c r="E3236" t="s">
        <v>40</v>
      </c>
      <c r="F3236" t="str">
        <f>VLOOKUP(G3236,PC!B:D,2,FALSE)</f>
        <v>BEBIDAS</v>
      </c>
      <c r="G3236" s="4" t="s">
        <v>51</v>
      </c>
      <c r="H3236" s="1">
        <v>17.649999999999999</v>
      </c>
    </row>
    <row r="3237" spans="2:8" x14ac:dyDescent="0.2">
      <c r="B3237" t="str">
        <f>VLOOKUP(G3237,PC!B:D,3,FALSE)</f>
        <v>RECEITA</v>
      </c>
      <c r="C3237" s="22">
        <v>2023</v>
      </c>
      <c r="D3237" t="s">
        <v>98</v>
      </c>
      <c r="F3237" t="str">
        <f>VLOOKUP(G3237,PC!B:D,2,FALSE)</f>
        <v>RECEITA</v>
      </c>
      <c r="G3237" s="4" t="s">
        <v>64</v>
      </c>
      <c r="H3237" s="1">
        <f>12.11+11.05</f>
        <v>23.16</v>
      </c>
    </row>
    <row r="3238" spans="2:8" x14ac:dyDescent="0.2">
      <c r="B3238" t="str">
        <f>VLOOKUP(G3238,PC!B:D,3,FALSE)</f>
        <v>DESPESA OPERACIONAL</v>
      </c>
      <c r="C3238" s="22">
        <v>2023</v>
      </c>
      <c r="D3238" t="s">
        <v>98</v>
      </c>
      <c r="F3238" t="str">
        <f>VLOOKUP(G3238,PC!B:D,2,FALSE)</f>
        <v>DESPESA OPERACIONAL</v>
      </c>
      <c r="G3238" s="4" t="s">
        <v>73</v>
      </c>
      <c r="H3238" s="1">
        <f>481.45+527.39</f>
        <v>1008.8399999999999</v>
      </c>
    </row>
    <row r="3239" spans="2:8" x14ac:dyDescent="0.2">
      <c r="B3239" t="str">
        <f>VLOOKUP(G3239,PC!B:D,3,FALSE)</f>
        <v>CPV</v>
      </c>
      <c r="C3239" s="22">
        <v>2023</v>
      </c>
      <c r="D3239" t="s">
        <v>98</v>
      </c>
      <c r="E3239" t="s">
        <v>129</v>
      </c>
      <c r="F3239" t="str">
        <f>VLOOKUP(G3239,PC!B:D,2,FALSE)</f>
        <v>COMIDA</v>
      </c>
      <c r="G3239" s="4" t="s">
        <v>33</v>
      </c>
      <c r="H3239" s="1">
        <v>45</v>
      </c>
    </row>
    <row r="3240" spans="2:8" x14ac:dyDescent="0.2">
      <c r="B3240" t="str">
        <f>VLOOKUP(G3240,PC!B:D,3,FALSE)</f>
        <v>DESPESA FINANCEIRA</v>
      </c>
      <c r="C3240" s="22">
        <v>2023</v>
      </c>
      <c r="D3240" t="s">
        <v>98</v>
      </c>
      <c r="E3240" t="s">
        <v>129</v>
      </c>
      <c r="F3240" t="str">
        <f>VLOOKUP(G3240,PC!B:D,2,FALSE)</f>
        <v>DESPESA FINANCEIRA</v>
      </c>
      <c r="G3240" s="4" t="s">
        <v>90</v>
      </c>
      <c r="H3240" s="1">
        <v>634.92999999999995</v>
      </c>
    </row>
    <row r="3241" spans="2:8" x14ac:dyDescent="0.2">
      <c r="B3241" t="str">
        <f>VLOOKUP(G3241,PC!B:D,3,FALSE)</f>
        <v>DESCONTO DE FATURAMENTO</v>
      </c>
      <c r="C3241" s="22">
        <v>2023</v>
      </c>
      <c r="D3241" t="s">
        <v>94</v>
      </c>
      <c r="E3241" t="s">
        <v>129</v>
      </c>
      <c r="F3241" t="str">
        <f>VLOOKUP(G3241,PC!B:D,2,FALSE)</f>
        <v>IMPOSTO</v>
      </c>
      <c r="G3241" s="4" t="s">
        <v>88</v>
      </c>
      <c r="H3241" s="1">
        <v>5194.96</v>
      </c>
    </row>
    <row r="3242" spans="2:8" x14ac:dyDescent="0.2">
      <c r="B3242" t="str">
        <f>VLOOKUP(G3242,PC!B:D,3,FALSE)</f>
        <v>CPV</v>
      </c>
      <c r="C3242" s="22">
        <v>2023</v>
      </c>
      <c r="D3242" t="s">
        <v>98</v>
      </c>
      <c r="E3242" t="s">
        <v>129</v>
      </c>
      <c r="F3242" t="str">
        <f>VLOOKUP(G3242,PC!B:D,2,FALSE)</f>
        <v>COMIDA</v>
      </c>
      <c r="G3242" s="4" t="s">
        <v>12</v>
      </c>
      <c r="H3242" s="1">
        <v>147</v>
      </c>
    </row>
    <row r="3243" spans="2:8" x14ac:dyDescent="0.2">
      <c r="B3243" t="str">
        <f>VLOOKUP(G3243,PC!B:D,3,FALSE)</f>
        <v>CPV</v>
      </c>
      <c r="C3243" s="22">
        <v>2023</v>
      </c>
      <c r="D3243" t="s">
        <v>98</v>
      </c>
      <c r="E3243" t="s">
        <v>129</v>
      </c>
      <c r="F3243" t="str">
        <f>VLOOKUP(G3243,PC!B:D,2,FALSE)</f>
        <v>COMIDA</v>
      </c>
      <c r="G3243" s="4" t="s">
        <v>155</v>
      </c>
      <c r="H3243" s="1">
        <v>384</v>
      </c>
    </row>
    <row r="3244" spans="2:8" x14ac:dyDescent="0.2">
      <c r="B3244" t="str">
        <f>VLOOKUP(G3244,PC!B:D,3,FALSE)</f>
        <v>CPV</v>
      </c>
      <c r="C3244" s="22">
        <v>2023</v>
      </c>
      <c r="D3244" t="s">
        <v>98</v>
      </c>
      <c r="E3244" t="s">
        <v>129</v>
      </c>
      <c r="F3244" t="str">
        <f>VLOOKUP(G3244,PC!B:D,2,FALSE)</f>
        <v>OUTROS</v>
      </c>
      <c r="G3244" s="4" t="s">
        <v>58</v>
      </c>
      <c r="H3244" s="1">
        <v>150</v>
      </c>
    </row>
    <row r="3245" spans="2:8" x14ac:dyDescent="0.2">
      <c r="B3245" t="str">
        <f>VLOOKUP(G3245,PC!B:D,3,FALSE)</f>
        <v>CPV</v>
      </c>
      <c r="C3245" s="22">
        <v>2023</v>
      </c>
      <c r="D3245" t="s">
        <v>98</v>
      </c>
      <c r="E3245" t="s">
        <v>129</v>
      </c>
      <c r="F3245" t="str">
        <f>VLOOKUP(G3245,PC!B:D,2,FALSE)</f>
        <v>SOBREMESA</v>
      </c>
      <c r="G3245" s="4" t="s">
        <v>7</v>
      </c>
      <c r="H3245" s="1">
        <v>70</v>
      </c>
    </row>
    <row r="3246" spans="2:8" x14ac:dyDescent="0.2">
      <c r="B3246" t="str">
        <f>VLOOKUP(G3246,PC!B:D,3,FALSE)</f>
        <v>CPV</v>
      </c>
      <c r="C3246" s="22">
        <v>2023</v>
      </c>
      <c r="D3246" t="s">
        <v>98</v>
      </c>
      <c r="E3246" t="s">
        <v>129</v>
      </c>
      <c r="F3246" t="str">
        <f>VLOOKUP(G3246,PC!B:D,2,FALSE)</f>
        <v>CIGARRO</v>
      </c>
      <c r="G3246" s="4" t="s">
        <v>131</v>
      </c>
      <c r="H3246" s="1">
        <v>977</v>
      </c>
    </row>
    <row r="3247" spans="2:8" x14ac:dyDescent="0.2">
      <c r="B3247" t="str">
        <f>VLOOKUP(G3247,PC!B:D,3,FALSE)</f>
        <v>CPV</v>
      </c>
      <c r="C3247" s="22">
        <v>2023</v>
      </c>
      <c r="D3247" t="s">
        <v>98</v>
      </c>
      <c r="E3247" t="s">
        <v>129</v>
      </c>
      <c r="F3247" t="str">
        <f>VLOOKUP(G3247,PC!B:D,2,FALSE)</f>
        <v>COMIDA</v>
      </c>
      <c r="G3247" s="4" t="s">
        <v>12</v>
      </c>
      <c r="H3247" s="1">
        <v>500</v>
      </c>
    </row>
    <row r="3248" spans="2:8" x14ac:dyDescent="0.2">
      <c r="B3248" t="str">
        <f>VLOOKUP(G3248,PC!B:D,3,FALSE)</f>
        <v>CPV</v>
      </c>
      <c r="C3248" s="22">
        <v>2023</v>
      </c>
      <c r="D3248" t="s">
        <v>98</v>
      </c>
      <c r="E3248" t="s">
        <v>129</v>
      </c>
      <c r="F3248" t="str">
        <f>VLOOKUP(G3248,PC!B:D,2,FALSE)</f>
        <v>SOBREMESA</v>
      </c>
      <c r="G3248" s="4" t="s">
        <v>7</v>
      </c>
      <c r="H3248" s="1">
        <v>150</v>
      </c>
    </row>
    <row r="3249" spans="2:8" x14ac:dyDescent="0.2">
      <c r="B3249" t="str">
        <f>VLOOKUP(G3249,PC!B:D,3,FALSE)</f>
        <v>DESPESA OPERACIONAL</v>
      </c>
      <c r="C3249" s="22">
        <v>2023</v>
      </c>
      <c r="D3249" t="s">
        <v>98</v>
      </c>
      <c r="E3249" t="s">
        <v>129</v>
      </c>
      <c r="F3249" t="str">
        <f>VLOOKUP(G3249,PC!B:D,2,FALSE)</f>
        <v>DESPESA OPERACIONAL</v>
      </c>
      <c r="G3249" s="4" t="s">
        <v>70</v>
      </c>
      <c r="H3249" s="1">
        <v>150</v>
      </c>
    </row>
    <row r="3250" spans="2:8" x14ac:dyDescent="0.2">
      <c r="B3250" t="str">
        <f>VLOOKUP(G3250,PC!B:D,3,FALSE)</f>
        <v>CPV</v>
      </c>
      <c r="C3250" s="22">
        <v>2023</v>
      </c>
      <c r="D3250" t="s">
        <v>98</v>
      </c>
      <c r="E3250" t="s">
        <v>89</v>
      </c>
      <c r="F3250" t="str">
        <f>VLOOKUP(G3250,PC!B:D,2,FALSE)</f>
        <v>OUTROS</v>
      </c>
      <c r="G3250" s="4" t="s">
        <v>37</v>
      </c>
      <c r="H3250" s="1">
        <f>47.74+413.46</f>
        <v>461.2</v>
      </c>
    </row>
    <row r="3251" spans="2:8" x14ac:dyDescent="0.2">
      <c r="B3251" t="str">
        <f>VLOOKUP(G3251,PC!B:D,3,FALSE)</f>
        <v>CPV</v>
      </c>
      <c r="C3251" s="22">
        <v>2023</v>
      </c>
      <c r="D3251" t="s">
        <v>98</v>
      </c>
      <c r="E3251" t="s">
        <v>77</v>
      </c>
      <c r="F3251" t="str">
        <f>VLOOKUP(G3251,PC!B:D,2,FALSE)</f>
        <v>OUTROS</v>
      </c>
      <c r="G3251" s="4" t="s">
        <v>37</v>
      </c>
      <c r="H3251" s="1">
        <v>580.30999999999995</v>
      </c>
    </row>
    <row r="3252" spans="2:8" x14ac:dyDescent="0.2">
      <c r="B3252" t="str">
        <f>VLOOKUP(G3252,PC!B:D,3,FALSE)</f>
        <v>CPV</v>
      </c>
      <c r="C3252" s="22">
        <v>2023</v>
      </c>
      <c r="D3252" t="s">
        <v>98</v>
      </c>
      <c r="E3252" t="s">
        <v>129</v>
      </c>
      <c r="F3252" t="str">
        <f>VLOOKUP(G3252,PC!B:D,2,FALSE)</f>
        <v>BEBIDAS</v>
      </c>
      <c r="G3252" s="4" t="s">
        <v>48</v>
      </c>
      <c r="H3252" s="1">
        <v>261</v>
      </c>
    </row>
    <row r="3253" spans="2:8" x14ac:dyDescent="0.2">
      <c r="B3253" t="str">
        <f>VLOOKUP(G3253,PC!B:D,3,FALSE)</f>
        <v>CPV</v>
      </c>
      <c r="C3253" s="22">
        <v>2023</v>
      </c>
      <c r="D3253" t="s">
        <v>98</v>
      </c>
      <c r="F3253" t="str">
        <f>VLOOKUP(G3253,PC!B:D,2,FALSE)</f>
        <v>OUTROS</v>
      </c>
      <c r="G3253" s="4" t="s">
        <v>149</v>
      </c>
      <c r="H3253" s="1">
        <v>133.35</v>
      </c>
    </row>
    <row r="3254" spans="2:8" x14ac:dyDescent="0.2">
      <c r="B3254" t="str">
        <f>VLOOKUP(G3254,PC!B:D,3,FALSE)</f>
        <v>CPV</v>
      </c>
      <c r="C3254" s="22">
        <v>2023</v>
      </c>
      <c r="D3254" t="s">
        <v>98</v>
      </c>
      <c r="F3254" t="str">
        <f>VLOOKUP(G3254,PC!B:D,2,FALSE)</f>
        <v>COMIDA</v>
      </c>
      <c r="G3254" s="4" t="s">
        <v>145</v>
      </c>
      <c r="H3254" s="1">
        <v>71.400000000000006</v>
      </c>
    </row>
    <row r="3255" spans="2:8" x14ac:dyDescent="0.2">
      <c r="B3255" t="str">
        <f>VLOOKUP(G3255,PC!B:D,3,FALSE)</f>
        <v>CPV</v>
      </c>
      <c r="C3255" s="22">
        <v>2023</v>
      </c>
      <c r="D3255" t="s">
        <v>98</v>
      </c>
      <c r="F3255" t="str">
        <f>VLOOKUP(G3255,PC!B:D,2,FALSE)</f>
        <v>COMIDA</v>
      </c>
      <c r="G3255" s="4" t="s">
        <v>22</v>
      </c>
      <c r="H3255" s="1">
        <v>33</v>
      </c>
    </row>
    <row r="3256" spans="2:8" x14ac:dyDescent="0.2">
      <c r="B3256" t="str">
        <f>VLOOKUP(G3256,PC!B:D,3,FALSE)</f>
        <v>CPV</v>
      </c>
      <c r="C3256" s="22">
        <v>2023</v>
      </c>
      <c r="D3256" t="s">
        <v>98</v>
      </c>
      <c r="F3256" t="str">
        <f>VLOOKUP(G3256,PC!B:D,2,FALSE)</f>
        <v>BEBIDAS</v>
      </c>
      <c r="G3256" s="4" t="s">
        <v>48</v>
      </c>
      <c r="H3256" s="1">
        <v>184.8</v>
      </c>
    </row>
    <row r="3257" spans="2:8" x14ac:dyDescent="0.2">
      <c r="B3257" t="str">
        <f>VLOOKUP(G3257,PC!B:D,3,FALSE)</f>
        <v>RECEITA</v>
      </c>
      <c r="C3257" s="22">
        <v>2023</v>
      </c>
      <c r="D3257" t="s">
        <v>98</v>
      </c>
      <c r="F3257" t="str">
        <f>VLOOKUP(G3257,PC!B:D,2,FALSE)</f>
        <v>RECEITA</v>
      </c>
      <c r="G3257" s="4" t="s">
        <v>54</v>
      </c>
      <c r="H3257" s="1">
        <f>30+80+39</f>
        <v>149</v>
      </c>
    </row>
    <row r="3258" spans="2:8" x14ac:dyDescent="0.2">
      <c r="B3258" t="e">
        <f>VLOOKUP(H3258,PC!B:D,3,FALSE)</f>
        <v>#N/A</v>
      </c>
      <c r="C3258" s="22">
        <v>2023</v>
      </c>
      <c r="D3258" t="s">
        <v>98</v>
      </c>
      <c r="F3258" t="str">
        <f>VLOOKUP(G3258,PC!B:D,2,FALSE)</f>
        <v>RECEITA</v>
      </c>
      <c r="G3258" s="4" t="s">
        <v>54</v>
      </c>
      <c r="H3258" s="1">
        <v>350</v>
      </c>
    </row>
    <row r="3259" spans="2:8" x14ac:dyDescent="0.2">
      <c r="B3259" t="str">
        <f>VLOOKUP(G3259,PC!B:D,3,FALSE)</f>
        <v>DESPESA OPERACIONAL</v>
      </c>
      <c r="C3259" s="22">
        <v>2023</v>
      </c>
      <c r="D3259" t="s">
        <v>98</v>
      </c>
      <c r="F3259" t="str">
        <f>VLOOKUP(G3259,PC!B:D,2,FALSE)</f>
        <v>DESPESA OPERACIONAL</v>
      </c>
      <c r="G3259" s="4" t="s">
        <v>79</v>
      </c>
      <c r="H3259" s="1">
        <v>39</v>
      </c>
    </row>
    <row r="3260" spans="2:8" x14ac:dyDescent="0.2">
      <c r="B3260" t="str">
        <f>VLOOKUP(G3260,PC!B:D,3,FALSE)</f>
        <v>RECEITA</v>
      </c>
      <c r="C3260" s="22">
        <v>2023</v>
      </c>
      <c r="D3260" t="s">
        <v>98</v>
      </c>
      <c r="F3260" t="str">
        <f>VLOOKUP(G3260,PC!B:D,2,FALSE)</f>
        <v>RECEITA</v>
      </c>
      <c r="G3260" s="4" t="s">
        <v>54</v>
      </c>
      <c r="H3260" s="1">
        <f>250+67.5+184+20</f>
        <v>521.5</v>
      </c>
    </row>
    <row r="3261" spans="2:8" x14ac:dyDescent="0.2">
      <c r="B3261" t="str">
        <f>VLOOKUP(G3261,PC!B:D,3,FALSE)</f>
        <v>RECEITA</v>
      </c>
      <c r="C3261" s="22">
        <v>2023</v>
      </c>
      <c r="D3261" t="s">
        <v>98</v>
      </c>
      <c r="F3261" t="str">
        <f>VLOOKUP(G3261,PC!B:D,2,FALSE)</f>
        <v>RECEITA</v>
      </c>
      <c r="G3261" s="4" t="s">
        <v>54</v>
      </c>
      <c r="H3261" s="1">
        <v>2300</v>
      </c>
    </row>
    <row r="3262" spans="2:8" x14ac:dyDescent="0.2">
      <c r="B3262" t="str">
        <f>VLOOKUP(G3262,PC!B:D,3,FALSE)</f>
        <v>RECEITA</v>
      </c>
      <c r="C3262" s="22">
        <v>2023</v>
      </c>
      <c r="D3262" t="s">
        <v>98</v>
      </c>
      <c r="F3262" t="str">
        <f>VLOOKUP(G3262,PC!B:D,2,FALSE)</f>
        <v>RECEITA</v>
      </c>
      <c r="G3262" s="4" t="s">
        <v>54</v>
      </c>
      <c r="H3262" s="1">
        <f>105+85.8+300</f>
        <v>490.8</v>
      </c>
    </row>
    <row r="3263" spans="2:8" x14ac:dyDescent="0.2">
      <c r="B3263" t="str">
        <f>VLOOKUP(G3263,PC!B:D,3,FALSE)</f>
        <v>RECEITA</v>
      </c>
      <c r="C3263" s="22">
        <v>2023</v>
      </c>
      <c r="D3263" t="s">
        <v>98</v>
      </c>
      <c r="F3263" t="str">
        <f>VLOOKUP(G3263,PC!B:D,2,FALSE)</f>
        <v>RECEITA</v>
      </c>
      <c r="G3263" s="4" t="s">
        <v>54</v>
      </c>
      <c r="H3263" s="1">
        <v>2050</v>
      </c>
    </row>
    <row r="3264" spans="2:8" x14ac:dyDescent="0.2">
      <c r="B3264" t="str">
        <f>VLOOKUP(G3264,PC!B:D,3,FALSE)</f>
        <v>RECEITA</v>
      </c>
      <c r="C3264" s="22">
        <v>2023</v>
      </c>
      <c r="D3264" t="s">
        <v>98</v>
      </c>
      <c r="F3264" t="str">
        <f>VLOOKUP(G3264,PC!B:D,2,FALSE)</f>
        <v>RECEITA</v>
      </c>
      <c r="G3264" s="4" t="s">
        <v>54</v>
      </c>
      <c r="H3264" s="1">
        <v>1800</v>
      </c>
    </row>
    <row r="3265" spans="2:8" x14ac:dyDescent="0.2">
      <c r="B3265" t="str">
        <f>VLOOKUP(G3265,PC!B:D,3,FALSE)</f>
        <v>RECEITA</v>
      </c>
      <c r="C3265" s="22">
        <v>2023</v>
      </c>
      <c r="D3265" t="s">
        <v>98</v>
      </c>
      <c r="F3265" t="str">
        <f>VLOOKUP(G3265,PC!B:D,2,FALSE)</f>
        <v>RECEITA</v>
      </c>
      <c r="G3265" s="4" t="s">
        <v>54</v>
      </c>
      <c r="H3265" s="1">
        <v>450</v>
      </c>
    </row>
    <row r="3266" spans="2:8" x14ac:dyDescent="0.2">
      <c r="B3266" t="str">
        <f>VLOOKUP(G3266,PC!B:D,3,FALSE)</f>
        <v>DESPESA PESSOAL</v>
      </c>
      <c r="C3266" s="22">
        <v>2023</v>
      </c>
      <c r="D3266" t="s">
        <v>98</v>
      </c>
      <c r="F3266" t="str">
        <f>VLOOKUP(G3266,PC!B:D,2,FALSE)</f>
        <v>DESPESA PESSOAL</v>
      </c>
      <c r="G3266" s="4" t="s">
        <v>56</v>
      </c>
      <c r="H3266" s="1">
        <v>300</v>
      </c>
    </row>
    <row r="3267" spans="2:8" x14ac:dyDescent="0.2">
      <c r="B3267" t="str">
        <f>VLOOKUP(G3267,PC!B:D,3,FALSE)</f>
        <v>RECEITA</v>
      </c>
      <c r="C3267" s="22">
        <v>2023</v>
      </c>
      <c r="D3267" t="s">
        <v>98</v>
      </c>
      <c r="F3267" t="str">
        <f>VLOOKUP(G3267,PC!B:D,2,FALSE)</f>
        <v>RECEITA</v>
      </c>
      <c r="G3267" s="4" t="s">
        <v>54</v>
      </c>
      <c r="H3267" s="1">
        <f>120+350+34</f>
        <v>504</v>
      </c>
    </row>
    <row r="3268" spans="2:8" x14ac:dyDescent="0.2">
      <c r="B3268" t="str">
        <f>VLOOKUP(G3268,PC!B:D,3,FALSE)</f>
        <v>CPV</v>
      </c>
      <c r="C3268" s="22">
        <v>2023</v>
      </c>
      <c r="D3268" t="s">
        <v>98</v>
      </c>
      <c r="F3268" t="str">
        <f>VLOOKUP(G3268,PC!B:D,2,FALSE)</f>
        <v>COMIDA</v>
      </c>
      <c r="G3268" s="4" t="s">
        <v>33</v>
      </c>
      <c r="H3268" s="1">
        <v>120</v>
      </c>
    </row>
    <row r="3269" spans="2:8" x14ac:dyDescent="0.2">
      <c r="B3269" t="str">
        <f>VLOOKUP(G3269,PC!B:D,3,FALSE)</f>
        <v>DESPESA PESSOAL</v>
      </c>
      <c r="C3269" s="22">
        <v>2023</v>
      </c>
      <c r="D3269" t="s">
        <v>98</v>
      </c>
      <c r="F3269" t="str">
        <f>VLOOKUP(G3269,PC!B:D,2,FALSE)</f>
        <v>DESPESA PESSOAL</v>
      </c>
      <c r="G3269" s="4" t="s">
        <v>56</v>
      </c>
      <c r="H3269" s="1">
        <v>350</v>
      </c>
    </row>
    <row r="3270" spans="2:8" x14ac:dyDescent="0.2">
      <c r="B3270" t="str">
        <f>VLOOKUP(G3270,PC!B:D,3,FALSE)</f>
        <v>RECEITA</v>
      </c>
      <c r="C3270" s="22">
        <v>2023</v>
      </c>
      <c r="D3270" t="s">
        <v>98</v>
      </c>
      <c r="F3270" t="str">
        <f>VLOOKUP(G3270,PC!B:D,2,FALSE)</f>
        <v>RECEITA</v>
      </c>
      <c r="G3270" s="4" t="s">
        <v>54</v>
      </c>
      <c r="H3270" s="1">
        <v>1950</v>
      </c>
    </row>
    <row r="3271" spans="2:8" x14ac:dyDescent="0.2">
      <c r="B3271" t="str">
        <f>VLOOKUP(G3271,PC!B:D,3,FALSE)</f>
        <v>RECEITA</v>
      </c>
      <c r="C3271" s="22">
        <v>2023</v>
      </c>
      <c r="D3271" t="s">
        <v>98</v>
      </c>
      <c r="F3271" t="str">
        <f>VLOOKUP(G3271,PC!B:D,2,FALSE)</f>
        <v>RECEITA</v>
      </c>
      <c r="G3271" s="4" t="s">
        <v>54</v>
      </c>
      <c r="H3271" s="1">
        <f>700+452.6+200+400+1150+400</f>
        <v>3302.6</v>
      </c>
    </row>
    <row r="3272" spans="2:8" x14ac:dyDescent="0.2">
      <c r="B3272" t="str">
        <f>VLOOKUP(G3272,PC!B:D,3,FALSE)</f>
        <v>RECEITA</v>
      </c>
      <c r="C3272" s="22">
        <v>2023</v>
      </c>
      <c r="D3272" t="s">
        <v>98</v>
      </c>
      <c r="F3272" t="str">
        <f>VLOOKUP(G3272,PC!B:D,2,FALSE)</f>
        <v>RECEITA</v>
      </c>
      <c r="G3272" s="4" t="s">
        <v>54</v>
      </c>
      <c r="H3272" s="1">
        <f>4000+60+1700</f>
        <v>5760</v>
      </c>
    </row>
    <row r="3273" spans="2:8" x14ac:dyDescent="0.2">
      <c r="B3273" t="str">
        <f>VLOOKUP(G3273,PC!B:D,3,FALSE)</f>
        <v>RECEITA</v>
      </c>
      <c r="C3273" s="22">
        <v>2023</v>
      </c>
      <c r="D3273" t="s">
        <v>98</v>
      </c>
      <c r="F3273" t="str">
        <f>VLOOKUP(G3273,PC!B:D,2,FALSE)</f>
        <v>RECEITA</v>
      </c>
      <c r="G3273" s="4" t="s">
        <v>54</v>
      </c>
      <c r="H3273" s="1">
        <f>52+317+58+80+350+76+50.9+120+1050+400</f>
        <v>2553.9</v>
      </c>
    </row>
    <row r="3274" spans="2:8" x14ac:dyDescent="0.2">
      <c r="B3274" t="str">
        <f>VLOOKUP(G3274,PC!B:D,3,FALSE)</f>
        <v>RECEITA</v>
      </c>
      <c r="C3274" s="22">
        <v>2023</v>
      </c>
      <c r="D3274" t="s">
        <v>98</v>
      </c>
      <c r="F3274" t="str">
        <f>VLOOKUP(G3274,PC!B:D,2,FALSE)</f>
        <v>RECEITA</v>
      </c>
      <c r="G3274" s="4" t="s">
        <v>59</v>
      </c>
      <c r="H3274" s="1">
        <v>737</v>
      </c>
    </row>
    <row r="3275" spans="2:8" x14ac:dyDescent="0.2">
      <c r="B3275" t="str">
        <f>VLOOKUP(G3275,PC!B:D,3,FALSE)</f>
        <v>CPV</v>
      </c>
      <c r="C3275" s="22">
        <v>2023</v>
      </c>
      <c r="D3275" t="s">
        <v>98</v>
      </c>
      <c r="F3275" t="str">
        <f>VLOOKUP(G3275,PC!B:D,2,FALSE)</f>
        <v>COMIDA</v>
      </c>
      <c r="G3275" s="4" t="s">
        <v>12</v>
      </c>
      <c r="H3275" s="1">
        <v>76</v>
      </c>
    </row>
    <row r="3276" spans="2:8" x14ac:dyDescent="0.2">
      <c r="B3276" t="str">
        <f>VLOOKUP(G3276,PC!B:D,3,FALSE)</f>
        <v>DESPESA OPERACIONAL</v>
      </c>
      <c r="C3276" s="22">
        <v>2023</v>
      </c>
      <c r="D3276" t="s">
        <v>98</v>
      </c>
      <c r="F3276" t="str">
        <f>VLOOKUP(G3276,PC!B:D,2,FALSE)</f>
        <v>DESPESA OPERACIONAL</v>
      </c>
      <c r="G3276" s="4" t="s">
        <v>70</v>
      </c>
      <c r="H3276" s="1">
        <v>80</v>
      </c>
    </row>
    <row r="3277" spans="2:8" x14ac:dyDescent="0.2">
      <c r="B3277" t="str">
        <f>VLOOKUP(G3277,PC!B:D,3,FALSE)</f>
        <v>RECEITA</v>
      </c>
      <c r="C3277" s="22">
        <v>2023</v>
      </c>
      <c r="D3277" t="s">
        <v>98</v>
      </c>
      <c r="F3277" t="str">
        <f>VLOOKUP(G3277,PC!B:D,2,FALSE)</f>
        <v>RECEITA</v>
      </c>
      <c r="G3277" s="4" t="s">
        <v>54</v>
      </c>
      <c r="H3277" s="1">
        <f>700+60+900+1000+2200+200</f>
        <v>5060</v>
      </c>
    </row>
    <row r="3278" spans="2:8" x14ac:dyDescent="0.2">
      <c r="B3278" t="str">
        <f>VLOOKUP(G3278,PC!B:D,3,FALSE)</f>
        <v>CPV</v>
      </c>
      <c r="C3278" s="22">
        <v>2023</v>
      </c>
      <c r="D3278" t="s">
        <v>98</v>
      </c>
      <c r="F3278" t="str">
        <f>VLOOKUP(G3278,PC!B:D,2,FALSE)</f>
        <v>COMIDA</v>
      </c>
      <c r="G3278" s="4" t="s">
        <v>146</v>
      </c>
      <c r="H3278" s="1">
        <v>60</v>
      </c>
    </row>
    <row r="3279" spans="2:8" x14ac:dyDescent="0.2">
      <c r="B3279" t="str">
        <f>VLOOKUP(G3279,PC!B:D,3,FALSE)</f>
        <v>DESPESA PESSOAL</v>
      </c>
      <c r="C3279" s="22">
        <v>2023</v>
      </c>
      <c r="D3279" t="s">
        <v>98</v>
      </c>
      <c r="F3279" t="str">
        <f>VLOOKUP(G3279,PC!B:D,2,FALSE)</f>
        <v>DESPESA PESSOAL</v>
      </c>
      <c r="G3279" s="4" t="s">
        <v>68</v>
      </c>
      <c r="H3279" s="1">
        <v>70</v>
      </c>
    </row>
    <row r="3280" spans="2:8" x14ac:dyDescent="0.2">
      <c r="B3280" t="str">
        <f>VLOOKUP(G3280,PC!B:D,3,FALSE)</f>
        <v>DESPESA PESSOAL</v>
      </c>
      <c r="C3280" s="22">
        <v>2023</v>
      </c>
      <c r="D3280" t="s">
        <v>98</v>
      </c>
      <c r="F3280" t="str">
        <f>VLOOKUP(G3280,PC!B:D,2,FALSE)</f>
        <v>DESPESA PESSOAL</v>
      </c>
      <c r="G3280" s="4" t="s">
        <v>68</v>
      </c>
      <c r="H3280" s="1">
        <v>32</v>
      </c>
    </row>
    <row r="3281" spans="2:9" x14ac:dyDescent="0.2">
      <c r="B3281" t="str">
        <f>VLOOKUP(G3281,PC!B:D,3,FALSE)</f>
        <v>RECEITA</v>
      </c>
      <c r="C3281" s="22">
        <v>2023</v>
      </c>
      <c r="D3281" t="s">
        <v>98</v>
      </c>
      <c r="F3281" t="str">
        <f>VLOOKUP(G3281,PC!B:D,2,FALSE)</f>
        <v>RECEITA</v>
      </c>
      <c r="G3281" s="4" t="s">
        <v>54</v>
      </c>
      <c r="H3281" s="1">
        <f>70+184+500+14.7+92.4+1200+500+800+600</f>
        <v>3961.1</v>
      </c>
    </row>
    <row r="3282" spans="2:9" x14ac:dyDescent="0.2">
      <c r="B3282" t="str">
        <f>VLOOKUP(G3282,PC!B:D,3,FALSE)</f>
        <v>DESPESA PESSOAL</v>
      </c>
      <c r="C3282" s="22">
        <v>2023</v>
      </c>
      <c r="D3282" t="s">
        <v>98</v>
      </c>
      <c r="F3282" t="str">
        <f>VLOOKUP(G3282,PC!B:D,2,FALSE)</f>
        <v>DESPESA PESSOAL</v>
      </c>
      <c r="G3282" s="4" t="s">
        <v>68</v>
      </c>
      <c r="H3282" s="1">
        <v>120</v>
      </c>
    </row>
    <row r="3283" spans="2:9" x14ac:dyDescent="0.2">
      <c r="B3283" t="str">
        <f>VLOOKUP(G3283,PC!B:D,3,FALSE)</f>
        <v>RECEITA</v>
      </c>
      <c r="C3283" s="22">
        <v>2023</v>
      </c>
      <c r="D3283" t="s">
        <v>98</v>
      </c>
      <c r="F3283" t="str">
        <f>VLOOKUP(G3283,PC!B:D,2,FALSE)</f>
        <v>RECEITA</v>
      </c>
      <c r="G3283" s="4" t="s">
        <v>54</v>
      </c>
      <c r="H3283" s="1">
        <f>111+400+13+1100+34</f>
        <v>1658</v>
      </c>
    </row>
    <row r="3284" spans="2:9" x14ac:dyDescent="0.2">
      <c r="B3284" t="str">
        <f>VLOOKUP(G3284,PC!B:D,3,FALSE)</f>
        <v>DESPESA OPERACIONAL</v>
      </c>
      <c r="C3284" s="22">
        <v>2023</v>
      </c>
      <c r="D3284" t="s">
        <v>98</v>
      </c>
      <c r="F3284" t="str">
        <f>VLOOKUP(G3284,PC!B:D,2,FALSE)</f>
        <v>DESPESA OPERACIONAL</v>
      </c>
      <c r="G3284" s="4" t="s">
        <v>79</v>
      </c>
      <c r="H3284" s="1">
        <v>13</v>
      </c>
    </row>
    <row r="3285" spans="2:9" x14ac:dyDescent="0.2">
      <c r="B3285" t="str">
        <f>VLOOKUP(G3285,PC!B:D,3,FALSE)</f>
        <v>RECEITA</v>
      </c>
      <c r="C3285" s="22">
        <v>2023</v>
      </c>
      <c r="D3285" t="s">
        <v>98</v>
      </c>
      <c r="F3285" t="str">
        <f>VLOOKUP(G3285,PC!B:D,2,FALSE)</f>
        <v>RECEITA</v>
      </c>
      <c r="G3285" s="4" t="s">
        <v>54</v>
      </c>
      <c r="H3285" s="1">
        <f>300+85.8+1500+300</f>
        <v>2185.8000000000002</v>
      </c>
    </row>
    <row r="3286" spans="2:9" x14ac:dyDescent="0.2">
      <c r="B3286" t="str">
        <f>VLOOKUP(G3286,PC!B:D,3,FALSE)</f>
        <v>DESPESA PESSOAL</v>
      </c>
      <c r="C3286" s="22">
        <v>2023</v>
      </c>
      <c r="D3286" t="s">
        <v>98</v>
      </c>
      <c r="F3286" t="str">
        <f>VLOOKUP(G3286,PC!B:D,2,FALSE)</f>
        <v>DESPESA PESSOAL</v>
      </c>
      <c r="G3286" s="4" t="s">
        <v>56</v>
      </c>
      <c r="H3286" s="1">
        <v>300</v>
      </c>
      <c r="I3286" s="20"/>
    </row>
    <row r="3287" spans="2:9" x14ac:dyDescent="0.2">
      <c r="B3287" t="str">
        <f>VLOOKUP(G3287,PC!B:D,3,FALSE)</f>
        <v>RECEITA</v>
      </c>
      <c r="C3287" s="22">
        <v>2023</v>
      </c>
      <c r="D3287" t="s">
        <v>98</v>
      </c>
      <c r="F3287" t="str">
        <f>VLOOKUP(G3287,PC!B:D,2,FALSE)</f>
        <v>RECEITA</v>
      </c>
      <c r="G3287" s="4" t="s">
        <v>54</v>
      </c>
      <c r="H3287" s="1">
        <f>2200+350+150</f>
        <v>2700</v>
      </c>
    </row>
    <row r="3288" spans="2:9" x14ac:dyDescent="0.2">
      <c r="B3288" t="str">
        <f>VLOOKUP(G3288,PC!B:D,3,FALSE)</f>
        <v>DESPESA PESSOAL</v>
      </c>
      <c r="C3288" s="22">
        <v>2023</v>
      </c>
      <c r="D3288" t="s">
        <v>98</v>
      </c>
      <c r="F3288" t="str">
        <f>VLOOKUP(G3288,PC!B:D,2,FALSE)</f>
        <v>DESPESA PESSOAL</v>
      </c>
      <c r="G3288" s="4" t="s">
        <v>56</v>
      </c>
      <c r="H3288" s="1">
        <v>350</v>
      </c>
    </row>
    <row r="3289" spans="2:9" x14ac:dyDescent="0.2">
      <c r="B3289" t="str">
        <f>VLOOKUP(G3289,PC!B:D,3,FALSE)</f>
        <v>RECEITA</v>
      </c>
      <c r="C3289" s="22">
        <v>2023</v>
      </c>
      <c r="D3289" t="s">
        <v>98</v>
      </c>
      <c r="F3289" t="str">
        <f>VLOOKUP(G3289,PC!B:D,2,FALSE)</f>
        <v>RECEITA</v>
      </c>
      <c r="G3289" s="4" t="s">
        <v>54</v>
      </c>
      <c r="H3289" s="1">
        <f>118+455.5+200+650+1400</f>
        <v>2823.5</v>
      </c>
    </row>
    <row r="3290" spans="2:9" x14ac:dyDescent="0.2">
      <c r="B3290" t="str">
        <f>VLOOKUP(G3290,PC!B:D,3,FALSE)</f>
        <v>DESPESA PESSOAL</v>
      </c>
      <c r="C3290" s="22">
        <v>2023</v>
      </c>
      <c r="D3290" t="s">
        <v>98</v>
      </c>
      <c r="F3290" t="str">
        <f>VLOOKUP(G3290,PC!B:D,2,FALSE)</f>
        <v>DESPESA PESSOAL</v>
      </c>
      <c r="G3290" s="4" t="s">
        <v>68</v>
      </c>
      <c r="H3290" s="1">
        <v>36</v>
      </c>
    </row>
    <row r="3291" spans="2:9" x14ac:dyDescent="0.2">
      <c r="B3291" t="str">
        <f>VLOOKUP(G3291,PC!B:D,3,FALSE)</f>
        <v>RECEITA</v>
      </c>
      <c r="C3291" s="22">
        <v>2023</v>
      </c>
      <c r="D3291" t="s">
        <v>98</v>
      </c>
      <c r="F3291" t="str">
        <f>VLOOKUP(G3291,PC!B:D,2,FALSE)</f>
        <v>RECEITA</v>
      </c>
      <c r="G3291" s="4" t="s">
        <v>54</v>
      </c>
      <c r="H3291" s="1">
        <f>36+1400+200+1200+1000</f>
        <v>3836</v>
      </c>
    </row>
    <row r="3292" spans="2:9" x14ac:dyDescent="0.2">
      <c r="B3292" t="str">
        <f>VLOOKUP(G3292,PC!B:D,3,FALSE)</f>
        <v>CPV</v>
      </c>
      <c r="C3292" s="22">
        <v>2023</v>
      </c>
      <c r="D3292" t="s">
        <v>98</v>
      </c>
      <c r="F3292" t="str">
        <f>VLOOKUP(G3292,PC!B:D,2,FALSE)</f>
        <v>COMIDA</v>
      </c>
      <c r="G3292" s="4" t="s">
        <v>12</v>
      </c>
      <c r="H3292" s="1">
        <v>30</v>
      </c>
    </row>
    <row r="3293" spans="2:9" x14ac:dyDescent="0.2">
      <c r="B3293" t="str">
        <f>VLOOKUP(G3293,PC!B:D,3,FALSE)</f>
        <v>RECEITA</v>
      </c>
      <c r="C3293" s="22">
        <v>2023</v>
      </c>
      <c r="D3293" t="s">
        <v>98</v>
      </c>
      <c r="F3293" t="str">
        <f>VLOOKUP(G3293,PC!B:D,2,FALSE)</f>
        <v>RECEITA</v>
      </c>
      <c r="G3293" s="4" t="s">
        <v>54</v>
      </c>
      <c r="H3293" s="1">
        <f>30+56+146+300+52+1200+17</f>
        <v>1801</v>
      </c>
    </row>
    <row r="3294" spans="2:9" x14ac:dyDescent="0.2">
      <c r="B3294" t="str">
        <f>VLOOKUP(G3294,PC!B:D,3,FALSE)</f>
        <v>DESPESA PESSOAL</v>
      </c>
      <c r="C3294" s="22">
        <v>2023</v>
      </c>
      <c r="D3294" t="s">
        <v>98</v>
      </c>
      <c r="F3294" t="str">
        <f>VLOOKUP(G3294,PC!B:D,2,FALSE)</f>
        <v>DESPESA PESSOAL</v>
      </c>
      <c r="G3294" s="4" t="s">
        <v>68</v>
      </c>
      <c r="H3294" s="1">
        <v>17</v>
      </c>
    </row>
    <row r="3295" spans="2:9" x14ac:dyDescent="0.2">
      <c r="B3295" t="str">
        <f>VLOOKUP(G3295,PC!B:D,3,FALSE)</f>
        <v>RECEITA</v>
      </c>
      <c r="C3295" s="22">
        <v>2023</v>
      </c>
      <c r="D3295" t="s">
        <v>98</v>
      </c>
      <c r="F3295" t="str">
        <f>VLOOKUP(G3295,PC!B:D,2,FALSE)</f>
        <v>RECEITA</v>
      </c>
      <c r="G3295" s="4" t="s">
        <v>54</v>
      </c>
      <c r="H3295" s="1">
        <f>50+30+20+228+56.4+75+16+300+30+1500</f>
        <v>2305.4</v>
      </c>
    </row>
    <row r="3296" spans="2:9" x14ac:dyDescent="0.2">
      <c r="B3296" t="str">
        <f>VLOOKUP(G3296,PC!B:D,3,FALSE)</f>
        <v>CPV</v>
      </c>
      <c r="C3296" s="22">
        <v>2023</v>
      </c>
      <c r="D3296" t="s">
        <v>98</v>
      </c>
      <c r="F3296" t="str">
        <f>VLOOKUP(G3296,PC!B:D,2,FALSE)</f>
        <v>COMIDA</v>
      </c>
      <c r="G3296" s="4" t="s">
        <v>146</v>
      </c>
      <c r="H3296" s="1">
        <v>75</v>
      </c>
    </row>
    <row r="3297" spans="2:8" x14ac:dyDescent="0.2">
      <c r="B3297" t="str">
        <f>VLOOKUP(G3297,PC!B:D,3,FALSE)</f>
        <v>CPV</v>
      </c>
      <c r="C3297" s="22">
        <v>2023</v>
      </c>
      <c r="D3297" t="s">
        <v>98</v>
      </c>
      <c r="F3297" t="str">
        <f>VLOOKUP(G3297,PC!B:D,2,FALSE)</f>
        <v>COMIDA</v>
      </c>
      <c r="G3297" s="4" t="s">
        <v>33</v>
      </c>
      <c r="H3297" s="1">
        <v>30</v>
      </c>
    </row>
    <row r="3298" spans="2:8" x14ac:dyDescent="0.2">
      <c r="B3298" t="str">
        <f>VLOOKUP(G3298,PC!B:D,3,FALSE)</f>
        <v>RECEITA</v>
      </c>
      <c r="C3298" s="22">
        <v>2023</v>
      </c>
      <c r="D3298" t="s">
        <v>98</v>
      </c>
      <c r="F3298" t="str">
        <f>VLOOKUP(G3298,PC!B:D,2,FALSE)</f>
        <v>RECEITA</v>
      </c>
      <c r="G3298" s="4" t="s">
        <v>54</v>
      </c>
      <c r="H3298" s="1">
        <f>44.8+51.6+650+30+177.85+49+700+1050</f>
        <v>2753.25</v>
      </c>
    </row>
    <row r="3299" spans="2:8" x14ac:dyDescent="0.2">
      <c r="B3299" t="str">
        <f>VLOOKUP(G3299,PC!B:D,3,FALSE)</f>
        <v>CPV</v>
      </c>
      <c r="C3299" s="22">
        <v>2023</v>
      </c>
      <c r="D3299" t="s">
        <v>98</v>
      </c>
      <c r="F3299" t="str">
        <f>VLOOKUP(G3299,PC!B:D,2,FALSE)</f>
        <v>COMIDA</v>
      </c>
      <c r="G3299" s="4" t="s">
        <v>12</v>
      </c>
      <c r="H3299" s="1">
        <v>30</v>
      </c>
    </row>
    <row r="3300" spans="2:8" x14ac:dyDescent="0.2">
      <c r="B3300" t="str">
        <f>VLOOKUP(G3300,PC!B:D,3,FALSE)</f>
        <v>RECEITA</v>
      </c>
      <c r="C3300" s="22">
        <v>2023</v>
      </c>
      <c r="D3300" t="s">
        <v>98</v>
      </c>
      <c r="F3300" t="str">
        <f>VLOOKUP(G3300,PC!B:D,2,FALSE)</f>
        <v>RECEITA</v>
      </c>
      <c r="G3300" s="4" t="s">
        <v>54</v>
      </c>
      <c r="H3300" s="1">
        <f>30+105+1300+300+1500+60+120+950</f>
        <v>4365</v>
      </c>
    </row>
    <row r="3301" spans="2:8" x14ac:dyDescent="0.2">
      <c r="B3301" t="str">
        <f>VLOOKUP(G3301,PC!B:D,3,FALSE)</f>
        <v>DESPESA PESSOAL</v>
      </c>
      <c r="C3301" s="22">
        <v>2023</v>
      </c>
      <c r="D3301" t="s">
        <v>98</v>
      </c>
      <c r="F3301" t="str">
        <f>VLOOKUP(G3301,PC!B:D,2,FALSE)</f>
        <v>DESPESA PESSOAL</v>
      </c>
      <c r="G3301" s="4" t="s">
        <v>56</v>
      </c>
      <c r="H3301" s="1">
        <v>300</v>
      </c>
    </row>
    <row r="3302" spans="2:8" x14ac:dyDescent="0.2">
      <c r="B3302" t="str">
        <f>VLOOKUP(G3302,PC!B:D,3,FALSE)</f>
        <v>RECEITA</v>
      </c>
      <c r="C3302" s="22">
        <v>2023</v>
      </c>
      <c r="D3302" t="s">
        <v>98</v>
      </c>
      <c r="F3302" t="str">
        <f>VLOOKUP(G3302,PC!B:D,2,FALSE)</f>
        <v>RECEITA</v>
      </c>
      <c r="G3302" s="4" t="s">
        <v>54</v>
      </c>
      <c r="H3302" s="1">
        <f>1500+350+450</f>
        <v>2300</v>
      </c>
    </row>
    <row r="3303" spans="2:8" x14ac:dyDescent="0.2">
      <c r="B3303" t="str">
        <f>VLOOKUP(G3303,PC!B:D,3,FALSE)</f>
        <v>DESPESA PESSOAL</v>
      </c>
      <c r="C3303" s="22">
        <v>2023</v>
      </c>
      <c r="D3303" t="s">
        <v>98</v>
      </c>
      <c r="F3303" t="str">
        <f>VLOOKUP(G3303,PC!B:D,2,FALSE)</f>
        <v>DESPESA PESSOAL</v>
      </c>
      <c r="G3303" s="4" t="s">
        <v>56</v>
      </c>
      <c r="H3303" s="1">
        <v>350</v>
      </c>
    </row>
    <row r="3304" spans="2:8" x14ac:dyDescent="0.2">
      <c r="B3304" t="str">
        <f>VLOOKUP(G3304,PC!B:D,3,FALSE)</f>
        <v>DESPESA PESSOAL</v>
      </c>
      <c r="C3304" s="22">
        <v>2023</v>
      </c>
      <c r="D3304" t="s">
        <v>98</v>
      </c>
      <c r="F3304" t="str">
        <f>VLOOKUP(G3304,PC!B:D,2,FALSE)</f>
        <v>DESPESA PESSOAL</v>
      </c>
      <c r="G3304" s="4" t="s">
        <v>124</v>
      </c>
      <c r="H3304" s="1">
        <v>450</v>
      </c>
    </row>
    <row r="3305" spans="2:8" x14ac:dyDescent="0.2">
      <c r="B3305" t="str">
        <f>VLOOKUP(G3305,PC!B:D,3,FALSE)</f>
        <v>RECEITA</v>
      </c>
      <c r="C3305" s="22">
        <v>2023</v>
      </c>
      <c r="D3305" t="s">
        <v>98</v>
      </c>
      <c r="F3305" t="str">
        <f>VLOOKUP(G3305,PC!B:D,2,FALSE)</f>
        <v>RECEITA</v>
      </c>
      <c r="G3305" s="4" t="s">
        <v>54</v>
      </c>
      <c r="H3305" s="1">
        <f>1000+200+400+800</f>
        <v>2400</v>
      </c>
    </row>
    <row r="3306" spans="2:8" x14ac:dyDescent="0.2">
      <c r="B3306" t="str">
        <f>VLOOKUP(G3306,PC!B:D,3,FALSE)</f>
        <v>RECEITA</v>
      </c>
      <c r="C3306" s="22">
        <v>2023</v>
      </c>
      <c r="D3306" t="s">
        <v>98</v>
      </c>
      <c r="F3306" t="str">
        <f>VLOOKUP(G3306,PC!B:D,2,FALSE)</f>
        <v>RECEITA</v>
      </c>
      <c r="G3306" s="4" t="s">
        <v>54</v>
      </c>
      <c r="H3306" s="1">
        <f>215+800+20+80+1200</f>
        <v>2315</v>
      </c>
    </row>
    <row r="3307" spans="2:8" x14ac:dyDescent="0.2">
      <c r="B3307" t="str">
        <f>VLOOKUP(G3307,PC!B:D,3,FALSE)</f>
        <v>RECEITAS NÃO OPERACIONAIS</v>
      </c>
      <c r="C3307" s="22">
        <v>2023</v>
      </c>
      <c r="D3307" t="s">
        <v>98</v>
      </c>
      <c r="F3307" t="str">
        <f>VLOOKUP(G3307,PC!B:D,2,FALSE)</f>
        <v>EMPRESTIMO</v>
      </c>
      <c r="G3307" s="4" t="s">
        <v>71</v>
      </c>
      <c r="H3307" s="1">
        <v>20</v>
      </c>
    </row>
    <row r="3308" spans="2:8" x14ac:dyDescent="0.2">
      <c r="B3308" t="str">
        <f>VLOOKUP(G3308,PC!B:D,3,FALSE)</f>
        <v>RECEITA</v>
      </c>
      <c r="C3308" s="22">
        <v>2023</v>
      </c>
      <c r="D3308" t="s">
        <v>98</v>
      </c>
      <c r="F3308" t="str">
        <f>VLOOKUP(G3308,PC!B:D,2,FALSE)</f>
        <v>RECEITA</v>
      </c>
      <c r="G3308" s="4" t="s">
        <v>54</v>
      </c>
      <c r="H3308" s="1">
        <f>58+54+107+160+50+70+1000</f>
        <v>1499</v>
      </c>
    </row>
    <row r="3309" spans="2:8" x14ac:dyDescent="0.2">
      <c r="B3309" t="str">
        <f>VLOOKUP(G3309,PC!B:D,3,FALSE)</f>
        <v>CPV</v>
      </c>
      <c r="C3309" s="22">
        <v>2023</v>
      </c>
      <c r="D3309" t="s">
        <v>98</v>
      </c>
      <c r="F3309" t="str">
        <f>VLOOKUP(G3309,PC!B:D,2,FALSE)</f>
        <v>COMIDA</v>
      </c>
      <c r="G3309" s="4" t="s">
        <v>146</v>
      </c>
      <c r="H3309" s="1">
        <v>35</v>
      </c>
    </row>
    <row r="3310" spans="2:8" x14ac:dyDescent="0.2">
      <c r="B3310" t="str">
        <f>VLOOKUP(G3310,PC!B:D,3,FALSE)</f>
        <v>RECEITA</v>
      </c>
      <c r="C3310" s="22">
        <v>2023</v>
      </c>
      <c r="D3310" t="s">
        <v>98</v>
      </c>
      <c r="F3310" t="str">
        <f>VLOOKUP(G3310,PC!B:D,2,FALSE)</f>
        <v>RECEITA</v>
      </c>
      <c r="G3310" s="4" t="s">
        <v>54</v>
      </c>
      <c r="H3310" s="1">
        <f>35+30+20+300+100+2400</f>
        <v>2885</v>
      </c>
    </row>
    <row r="3311" spans="2:8" x14ac:dyDescent="0.2">
      <c r="B3311" t="str">
        <f>VLOOKUP(G3311,PC!B:D,3,FALSE)</f>
        <v>DESPESA PESSOAL</v>
      </c>
      <c r="C3311" s="22">
        <v>2023</v>
      </c>
      <c r="D3311" t="s">
        <v>98</v>
      </c>
      <c r="F3311" t="str">
        <f>VLOOKUP(G3311,PC!B:D,2,FALSE)</f>
        <v>DESPESA PESSOAL</v>
      </c>
      <c r="G3311" s="4" t="s">
        <v>68</v>
      </c>
      <c r="H3311" s="1">
        <v>20</v>
      </c>
    </row>
    <row r="3312" spans="2:8" x14ac:dyDescent="0.2">
      <c r="B3312" t="str">
        <f>VLOOKUP(G3312,PC!B:D,3,FALSE)</f>
        <v>RECEITAS NÃO OPERACIONAIS</v>
      </c>
      <c r="C3312" s="22">
        <v>2023</v>
      </c>
      <c r="D3312" t="s">
        <v>98</v>
      </c>
      <c r="F3312" t="str">
        <f>VLOOKUP(G3312,PC!B:D,2,FALSE)</f>
        <v>EMPRESTIMO</v>
      </c>
      <c r="G3312" s="4" t="s">
        <v>71</v>
      </c>
      <c r="H3312" s="1">
        <v>30</v>
      </c>
    </row>
    <row r="3313" spans="2:8" x14ac:dyDescent="0.2">
      <c r="B3313" t="str">
        <f>VLOOKUP(G3313,PC!B:D,3,FALSE)</f>
        <v>RECEITA</v>
      </c>
      <c r="C3313" s="22">
        <v>2023</v>
      </c>
      <c r="D3313" t="s">
        <v>98</v>
      </c>
      <c r="F3313" t="str">
        <f>VLOOKUP(G3313,PC!B:D,2,FALSE)</f>
        <v>RECEITA</v>
      </c>
      <c r="G3313" s="4" t="s">
        <v>54</v>
      </c>
      <c r="H3313" s="1">
        <f>202+36+450+44+47+184+1400+1250</f>
        <v>3613</v>
      </c>
    </row>
    <row r="3314" spans="2:8" x14ac:dyDescent="0.2">
      <c r="B3314" t="str">
        <f>VLOOKUP(G3314,PC!B:D,3,FALSE)</f>
        <v>CPV</v>
      </c>
      <c r="C3314" s="22">
        <v>2023</v>
      </c>
      <c r="D3314" t="s">
        <v>98</v>
      </c>
      <c r="F3314" t="str">
        <f>VLOOKUP(G3314,PC!B:D,2,FALSE)</f>
        <v>COMIDA</v>
      </c>
      <c r="G3314" s="4" t="s">
        <v>18</v>
      </c>
      <c r="H3314" s="1">
        <v>47</v>
      </c>
    </row>
    <row r="3315" spans="2:8" x14ac:dyDescent="0.2">
      <c r="B3315" t="str">
        <f>VLOOKUP(G3315,PC!B:D,3,FALSE)</f>
        <v>DESPESA PESSOAL</v>
      </c>
      <c r="C3315" s="22">
        <v>2023</v>
      </c>
      <c r="D3315" t="s">
        <v>98</v>
      </c>
      <c r="F3315" t="str">
        <f>VLOOKUP(G3315,PC!B:D,2,FALSE)</f>
        <v>DESPESA PESSOAL</v>
      </c>
      <c r="G3315" s="4" t="s">
        <v>68</v>
      </c>
      <c r="H3315" s="1">
        <v>44</v>
      </c>
    </row>
    <row r="3316" spans="2:8" x14ac:dyDescent="0.2">
      <c r="B3316" t="str">
        <f>VLOOKUP(G3316,PC!B:D,3,FALSE)</f>
        <v>CPV</v>
      </c>
      <c r="C3316" s="22">
        <v>2023</v>
      </c>
      <c r="D3316" t="s">
        <v>98</v>
      </c>
      <c r="F3316" t="str">
        <f>VLOOKUP(G3316,PC!B:D,2,FALSE)</f>
        <v>COMIDA</v>
      </c>
      <c r="G3316" s="4" t="s">
        <v>12</v>
      </c>
      <c r="H3316" s="1">
        <v>202</v>
      </c>
    </row>
    <row r="3317" spans="2:8" x14ac:dyDescent="0.2">
      <c r="B3317" t="str">
        <f>VLOOKUP(G3317,PC!B:D,3,FALSE)</f>
        <v>RECEITA</v>
      </c>
      <c r="C3317" s="22">
        <v>2023</v>
      </c>
      <c r="D3317" t="s">
        <v>98</v>
      </c>
      <c r="F3317" t="str">
        <f>VLOOKUP(G3317,PC!B:D,2,FALSE)</f>
        <v>RECEITA</v>
      </c>
      <c r="G3317" s="4" t="s">
        <v>54</v>
      </c>
      <c r="H3317" s="1">
        <f>96+50+1100+45+300+64+2000+1000</f>
        <v>4655</v>
      </c>
    </row>
    <row r="3318" spans="2:8" x14ac:dyDescent="0.2">
      <c r="B3318" t="str">
        <f>VLOOKUP(G3318,PC!B:D,3,FALSE)</f>
        <v>DESPESA PESSOAL</v>
      </c>
      <c r="C3318" s="22">
        <v>2023</v>
      </c>
      <c r="D3318" t="s">
        <v>98</v>
      </c>
      <c r="F3318" t="str">
        <f>VLOOKUP(G3318,PC!B:D,2,FALSE)</f>
        <v>DESPESA PESSOAL</v>
      </c>
      <c r="G3318" s="4" t="s">
        <v>56</v>
      </c>
      <c r="H3318" s="1">
        <v>300</v>
      </c>
    </row>
    <row r="3319" spans="2:8" x14ac:dyDescent="0.2">
      <c r="B3319" t="str">
        <f>VLOOKUP(G3319,PC!B:D,3,FALSE)</f>
        <v>CPV</v>
      </c>
      <c r="C3319" s="22">
        <v>2023</v>
      </c>
      <c r="D3319" t="s">
        <v>98</v>
      </c>
      <c r="F3319" t="str">
        <f>VLOOKUP(G3319,PC!B:D,2,FALSE)</f>
        <v>CIGARRO</v>
      </c>
      <c r="G3319" s="4" t="s">
        <v>131</v>
      </c>
      <c r="H3319" s="1">
        <v>275</v>
      </c>
    </row>
    <row r="3320" spans="2:8" x14ac:dyDescent="0.2">
      <c r="B3320" t="str">
        <f>VLOOKUP(G3320,PC!B:D,3,FALSE)</f>
        <v>RECEITA</v>
      </c>
      <c r="C3320" s="22">
        <v>2023</v>
      </c>
      <c r="D3320" t="s">
        <v>98</v>
      </c>
      <c r="F3320" t="str">
        <f>VLOOKUP(G3320,PC!B:D,2,FALSE)</f>
        <v>RECEITA</v>
      </c>
      <c r="G3320" s="4" t="s">
        <v>54</v>
      </c>
      <c r="H3320" s="1">
        <f>275+500+600+350</f>
        <v>1725</v>
      </c>
    </row>
    <row r="3321" spans="2:8" x14ac:dyDescent="0.2">
      <c r="B3321" t="str">
        <f>VLOOKUP(G3321,PC!B:D,3,FALSE)</f>
        <v>RECEITA</v>
      </c>
      <c r="C3321" s="22">
        <v>2023</v>
      </c>
      <c r="D3321" t="s">
        <v>98</v>
      </c>
      <c r="F3321" t="str">
        <f>VLOOKUP(G3321,PC!B:D,2,FALSE)</f>
        <v>RECEITA</v>
      </c>
      <c r="G3321" s="4" t="s">
        <v>54</v>
      </c>
      <c r="H3321" s="1">
        <v>500</v>
      </c>
    </row>
    <row r="3322" spans="2:8" x14ac:dyDescent="0.2">
      <c r="B3322" t="str">
        <f>VLOOKUP(G3322,PC!B:D,3,FALSE)</f>
        <v>DESPESA PESSOAL</v>
      </c>
      <c r="C3322" s="22">
        <v>2023</v>
      </c>
      <c r="D3322" t="s">
        <v>98</v>
      </c>
      <c r="F3322" t="str">
        <f>VLOOKUP(G3322,PC!B:D,2,FALSE)</f>
        <v>DESPESA PESSOAL</v>
      </c>
      <c r="G3322" s="4" t="s">
        <v>124</v>
      </c>
      <c r="H3322" s="1">
        <v>500</v>
      </c>
    </row>
    <row r="3323" spans="2:8" x14ac:dyDescent="0.2">
      <c r="B3323" t="str">
        <f>VLOOKUP(G3323,PC!B:D,3,FALSE)</f>
        <v>RECEITA</v>
      </c>
      <c r="C3323" s="22">
        <v>2023</v>
      </c>
      <c r="D3323" t="s">
        <v>98</v>
      </c>
      <c r="F3323" t="str">
        <f>VLOOKUP(G3323,PC!B:D,2,FALSE)</f>
        <v>RECEITA</v>
      </c>
      <c r="G3323" s="4" t="s">
        <v>54</v>
      </c>
      <c r="H3323" s="1">
        <f>700+350+82.1+850</f>
        <v>1982.1</v>
      </c>
    </row>
    <row r="3324" spans="2:8" x14ac:dyDescent="0.2">
      <c r="B3324" t="str">
        <f>VLOOKUP(G3324,PC!B:D,3,FALSE)</f>
        <v>RECEITA</v>
      </c>
      <c r="C3324" s="22">
        <v>2023</v>
      </c>
      <c r="D3324" t="s">
        <v>98</v>
      </c>
      <c r="F3324" t="str">
        <f>VLOOKUP(G3324,PC!B:D,2,FALSE)</f>
        <v>RECEITA</v>
      </c>
      <c r="G3324" s="4" t="s">
        <v>54</v>
      </c>
      <c r="H3324" s="1">
        <f>80+650+250+1600</f>
        <v>2580</v>
      </c>
    </row>
    <row r="3325" spans="2:8" x14ac:dyDescent="0.2">
      <c r="B3325" t="str">
        <f>VLOOKUP(G3325,PC!B:D,3,FALSE)</f>
        <v>CPV</v>
      </c>
      <c r="C3325" s="22">
        <v>2023</v>
      </c>
      <c r="D3325" t="s">
        <v>98</v>
      </c>
      <c r="F3325" t="str">
        <f>VLOOKUP(G3325,PC!B:D,2,FALSE)</f>
        <v>COMIDA</v>
      </c>
      <c r="G3325" s="4" t="s">
        <v>33</v>
      </c>
      <c r="H3325" s="1">
        <v>250</v>
      </c>
    </row>
    <row r="3326" spans="2:8" x14ac:dyDescent="0.2">
      <c r="B3326" t="str">
        <f>VLOOKUP(G3326,PC!B:D,3,FALSE)</f>
        <v>RECEITA</v>
      </c>
      <c r="C3326" s="22">
        <v>2023</v>
      </c>
      <c r="D3326" t="s">
        <v>98</v>
      </c>
      <c r="F3326" t="str">
        <f>VLOOKUP(G3326,PC!B:D,2,FALSE)</f>
        <v>RECEITA</v>
      </c>
      <c r="G3326" s="4" t="s">
        <v>54</v>
      </c>
      <c r="H3326" s="1">
        <f>23+210+23+147+70+1200+550</f>
        <v>2223</v>
      </c>
    </row>
    <row r="3327" spans="2:8" x14ac:dyDescent="0.2">
      <c r="B3327" t="str">
        <f>VLOOKUP(G3327,PC!B:D,3,FALSE)</f>
        <v>CPV</v>
      </c>
      <c r="C3327" s="22">
        <v>2023</v>
      </c>
      <c r="D3327" t="s">
        <v>98</v>
      </c>
      <c r="F3327" t="str">
        <f>VLOOKUP(G3327,PC!B:D,2,FALSE)</f>
        <v>COMIDA</v>
      </c>
      <c r="G3327" s="4" t="s">
        <v>12</v>
      </c>
      <c r="H3327" s="1">
        <v>210</v>
      </c>
    </row>
    <row r="3328" spans="2:8" x14ac:dyDescent="0.2">
      <c r="B3328" t="str">
        <f>VLOOKUP(G3328,PC!B:D,3,FALSE)</f>
        <v>RECEITA</v>
      </c>
      <c r="C3328" s="22">
        <v>2023</v>
      </c>
      <c r="D3328" t="s">
        <v>98</v>
      </c>
      <c r="F3328" t="str">
        <f>VLOOKUP(G3328,PC!B:D,2,FALSE)</f>
        <v>RECEITA</v>
      </c>
      <c r="G3328" s="4" t="s">
        <v>54</v>
      </c>
      <c r="H3328" s="1">
        <f>40+15+11+11+50+120+250+432+1250</f>
        <v>2179</v>
      </c>
    </row>
    <row r="3329" spans="2:8" x14ac:dyDescent="0.2">
      <c r="B3329" t="str">
        <f>VLOOKUP(G3329,PC!B:D,3,FALSE)</f>
        <v>RECEITAS NÃO OPERACIONAIS</v>
      </c>
      <c r="C3329" s="22">
        <v>2023</v>
      </c>
      <c r="D3329" t="s">
        <v>98</v>
      </c>
      <c r="F3329" t="str">
        <f>VLOOKUP(G3329,PC!B:D,2,FALSE)</f>
        <v>EMPRESTIMO</v>
      </c>
      <c r="G3329" s="4" t="s">
        <v>71</v>
      </c>
      <c r="H3329" s="1">
        <v>65</v>
      </c>
    </row>
    <row r="3330" spans="2:8" x14ac:dyDescent="0.2">
      <c r="B3330" t="str">
        <f>VLOOKUP(G3330,PC!B:D,3,FALSE)</f>
        <v>DESPESA PESSOAL</v>
      </c>
      <c r="C3330" s="22">
        <v>2023</v>
      </c>
      <c r="D3330" t="s">
        <v>98</v>
      </c>
      <c r="F3330" t="str">
        <f>VLOOKUP(G3330,PC!B:D,2,FALSE)</f>
        <v>DESPESA PESSOAL</v>
      </c>
      <c r="G3330" s="4" t="s">
        <v>68</v>
      </c>
      <c r="H3330" s="1">
        <v>40</v>
      </c>
    </row>
    <row r="3331" spans="2:8" x14ac:dyDescent="0.2">
      <c r="B3331" t="str">
        <f>VLOOKUP(G3331,PC!B:D,3,FALSE)</f>
        <v>CPV</v>
      </c>
      <c r="C3331" s="22">
        <v>2023</v>
      </c>
      <c r="D3331" t="s">
        <v>98</v>
      </c>
      <c r="F3331" t="str">
        <f>VLOOKUP(G3331,PC!B:D,2,FALSE)</f>
        <v>COMIDA</v>
      </c>
      <c r="G3331" s="4" t="s">
        <v>12</v>
      </c>
      <c r="H3331" s="1">
        <v>432</v>
      </c>
    </row>
    <row r="3332" spans="2:8" x14ac:dyDescent="0.2">
      <c r="B3332" t="str">
        <f>VLOOKUP(G3332,PC!B:D,3,FALSE)</f>
        <v>CPV</v>
      </c>
      <c r="C3332" s="22">
        <v>2023</v>
      </c>
      <c r="D3332" t="s">
        <v>98</v>
      </c>
      <c r="F3332" t="str">
        <f>VLOOKUP(G3332,PC!B:D,2,FALSE)</f>
        <v>COMIDA</v>
      </c>
      <c r="G3332" s="4" t="s">
        <v>146</v>
      </c>
      <c r="H3332" s="1">
        <v>120</v>
      </c>
    </row>
    <row r="3333" spans="2:8" x14ac:dyDescent="0.2">
      <c r="B3333" t="str">
        <f>VLOOKUP(G3333,PC!B:D,3,FALSE)</f>
        <v>RECEITA</v>
      </c>
      <c r="C3333" s="22">
        <v>2023</v>
      </c>
      <c r="D3333" t="s">
        <v>98</v>
      </c>
      <c r="F3333" t="str">
        <f>VLOOKUP(G3333,PC!B:D,2,FALSE)</f>
        <v>RECEITA</v>
      </c>
      <c r="G3333" s="4" t="s">
        <v>54</v>
      </c>
      <c r="H3333" s="1">
        <f>71.3+133.35+76+48+184.8+33+34+2100+1250</f>
        <v>3930.45</v>
      </c>
    </row>
    <row r="3334" spans="2:8" x14ac:dyDescent="0.2">
      <c r="B3334" t="str">
        <f>VLOOKUP(G3334,PC!B:D,3,FALSE)</f>
        <v>CPV</v>
      </c>
      <c r="C3334" s="22">
        <v>2023</v>
      </c>
      <c r="D3334" t="s">
        <v>98</v>
      </c>
      <c r="F3334" t="str">
        <f>VLOOKUP(G3334,PC!B:D,2,FALSE)</f>
        <v>COMIDA</v>
      </c>
      <c r="G3334" s="4" t="s">
        <v>18</v>
      </c>
      <c r="H3334" s="1">
        <v>48</v>
      </c>
    </row>
    <row r="3335" spans="2:8" x14ac:dyDescent="0.2">
      <c r="B3335" t="str">
        <f>VLOOKUP(G3335,PC!B:D,3,FALSE)</f>
        <v>RECEITA</v>
      </c>
      <c r="C3335" s="22">
        <v>2023</v>
      </c>
      <c r="D3335" t="s">
        <v>98</v>
      </c>
      <c r="F3335" t="str">
        <f>VLOOKUP(G3335,PC!B:D,2,FALSE)</f>
        <v>RECEITA</v>
      </c>
      <c r="G3335" s="4" t="s">
        <v>54</v>
      </c>
      <c r="H3335" s="1">
        <f>17.65+1600+300+1400+700</f>
        <v>4017.65</v>
      </c>
    </row>
    <row r="3336" spans="2:8" x14ac:dyDescent="0.2">
      <c r="B3336" t="str">
        <f>VLOOKUP(G3336,PC!B:D,3,FALSE)</f>
        <v>DESPESA PESSOAL</v>
      </c>
      <c r="C3336" s="22">
        <v>2023</v>
      </c>
      <c r="D3336" t="s">
        <v>98</v>
      </c>
      <c r="F3336" t="str">
        <f>VLOOKUP(G3336,PC!B:D,2,FALSE)</f>
        <v>DESPESA PESSOAL</v>
      </c>
      <c r="G3336" s="4" t="s">
        <v>56</v>
      </c>
      <c r="H3336" s="1">
        <v>300</v>
      </c>
    </row>
    <row r="3337" spans="2:8" x14ac:dyDescent="0.2">
      <c r="B3337" t="str">
        <f>VLOOKUP(G3337,PC!B:D,3,FALSE)</f>
        <v>CPV</v>
      </c>
      <c r="C3337" s="22">
        <v>2023</v>
      </c>
      <c r="D3337" t="s">
        <v>102</v>
      </c>
      <c r="E3337" s="22" t="s">
        <v>129</v>
      </c>
      <c r="F3337" t="str">
        <f>VLOOKUP(G3337,PC!B:D,2,FALSE)</f>
        <v>BEBIDAS</v>
      </c>
      <c r="G3337" s="4" t="s">
        <v>48</v>
      </c>
      <c r="H3337" s="1">
        <v>430.6</v>
      </c>
    </row>
    <row r="3338" spans="2:8" x14ac:dyDescent="0.2">
      <c r="B3338" t="str">
        <f>VLOOKUP(G3338,PC!B:D,3,FALSE)</f>
        <v>CPV</v>
      </c>
      <c r="C3338" s="22">
        <v>2023</v>
      </c>
      <c r="D3338" t="s">
        <v>102</v>
      </c>
      <c r="E3338" s="22" t="s">
        <v>129</v>
      </c>
      <c r="F3338" t="str">
        <f>VLOOKUP(G3338,PC!B:D,2,FALSE)</f>
        <v>COMIDA</v>
      </c>
      <c r="G3338" s="4" t="s">
        <v>145</v>
      </c>
      <c r="H3338" s="1">
        <v>18</v>
      </c>
    </row>
    <row r="3339" spans="2:8" x14ac:dyDescent="0.2">
      <c r="B3339" t="str">
        <f>VLOOKUP(G3339,PC!B:D,3,FALSE)</f>
        <v>CPV</v>
      </c>
      <c r="C3339" s="22">
        <v>2023</v>
      </c>
      <c r="D3339" t="s">
        <v>102</v>
      </c>
      <c r="E3339" s="22" t="s">
        <v>129</v>
      </c>
      <c r="F3339" t="str">
        <f>VLOOKUP(G3339,PC!B:D,2,FALSE)</f>
        <v>COMIDA</v>
      </c>
      <c r="G3339" s="4" t="s">
        <v>38</v>
      </c>
      <c r="H3339" s="1">
        <v>199.06</v>
      </c>
    </row>
    <row r="3340" spans="2:8" x14ac:dyDescent="0.2">
      <c r="B3340" t="str">
        <f>VLOOKUP(G3340,PC!B:D,3,FALSE)</f>
        <v>CPV</v>
      </c>
      <c r="C3340" s="22">
        <v>2023</v>
      </c>
      <c r="D3340" t="s">
        <v>102</v>
      </c>
      <c r="E3340" s="22" t="s">
        <v>129</v>
      </c>
      <c r="F3340" t="str">
        <f>VLOOKUP(G3340,PC!B:D,2,FALSE)</f>
        <v>HIGIENE</v>
      </c>
      <c r="G3340" s="4" t="s">
        <v>36</v>
      </c>
      <c r="H3340" s="1">
        <f>258.46-H3339</f>
        <v>59.399999999999977</v>
      </c>
    </row>
    <row r="3341" spans="2:8" x14ac:dyDescent="0.2">
      <c r="B3341" t="str">
        <f>VLOOKUP(G3341,PC!B:D,3,FALSE)</f>
        <v>CPV</v>
      </c>
      <c r="C3341" s="22">
        <v>2023</v>
      </c>
      <c r="D3341" t="s">
        <v>102</v>
      </c>
      <c r="E3341" s="22" t="s">
        <v>129</v>
      </c>
      <c r="F3341" t="str">
        <f>VLOOKUP(G3341,PC!B:D,2,FALSE)</f>
        <v>COMIDA</v>
      </c>
      <c r="G3341" s="4" t="s">
        <v>38</v>
      </c>
      <c r="H3341" s="1">
        <v>330</v>
      </c>
    </row>
    <row r="3342" spans="2:8" x14ac:dyDescent="0.2">
      <c r="B3342" t="str">
        <f>VLOOKUP(G3342,PC!B:D,3,FALSE)</f>
        <v>CPV</v>
      </c>
      <c r="C3342" s="22">
        <v>2023</v>
      </c>
      <c r="D3342" t="s">
        <v>102</v>
      </c>
      <c r="E3342" s="22" t="s">
        <v>129</v>
      </c>
      <c r="F3342" t="str">
        <f>VLOOKUP(G3342,PC!B:D,2,FALSE)</f>
        <v>BEBIDAS</v>
      </c>
      <c r="G3342" s="4" t="s">
        <v>48</v>
      </c>
      <c r="H3342" s="1">
        <v>226.8</v>
      </c>
    </row>
    <row r="3343" spans="2:8" x14ac:dyDescent="0.2">
      <c r="B3343" t="str">
        <f>VLOOKUP(G3343,PC!B:D,3,FALSE)</f>
        <v>CPV</v>
      </c>
      <c r="C3343" s="22">
        <v>2023</v>
      </c>
      <c r="D3343" t="s">
        <v>102</v>
      </c>
      <c r="E3343" s="22" t="s">
        <v>129</v>
      </c>
      <c r="F3343" t="str">
        <f>VLOOKUP(G3343,PC!B:D,2,FALSE)</f>
        <v>COMIDA</v>
      </c>
      <c r="G3343" s="4" t="s">
        <v>18</v>
      </c>
      <c r="H3343" s="1">
        <v>87</v>
      </c>
    </row>
    <row r="3344" spans="2:8" x14ac:dyDescent="0.2">
      <c r="B3344" t="str">
        <f>VLOOKUP(G3344,PC!B:D,3,FALSE)</f>
        <v>CPV</v>
      </c>
      <c r="C3344" s="22">
        <v>2023</v>
      </c>
      <c r="D3344" t="s">
        <v>102</v>
      </c>
      <c r="E3344" s="22" t="s">
        <v>129</v>
      </c>
      <c r="F3344" t="str">
        <f>VLOOKUP(G3344,PC!B:D,2,FALSE)</f>
        <v>OUTROS</v>
      </c>
      <c r="G3344" s="4" t="s">
        <v>37</v>
      </c>
      <c r="H3344" s="1">
        <v>550</v>
      </c>
    </row>
    <row r="3345" spans="2:8" x14ac:dyDescent="0.2">
      <c r="B3345" t="str">
        <f>VLOOKUP(G3345,PC!B:D,3,FALSE)</f>
        <v>CPV</v>
      </c>
      <c r="C3345" s="22">
        <v>2023</v>
      </c>
      <c r="D3345" t="s">
        <v>102</v>
      </c>
      <c r="E3345" s="22" t="s">
        <v>129</v>
      </c>
      <c r="F3345" t="str">
        <f>VLOOKUP(G3345,PC!B:D,2,FALSE)</f>
        <v>OUTROS</v>
      </c>
      <c r="G3345" s="4" t="s">
        <v>37</v>
      </c>
      <c r="H3345" s="1">
        <v>340</v>
      </c>
    </row>
    <row r="3346" spans="2:8" x14ac:dyDescent="0.2">
      <c r="B3346" t="str">
        <f>VLOOKUP(G3346,PC!B:D,3,FALSE)</f>
        <v>CPV</v>
      </c>
      <c r="C3346" s="22">
        <v>2023</v>
      </c>
      <c r="D3346" t="s">
        <v>102</v>
      </c>
      <c r="E3346" s="22" t="s">
        <v>129</v>
      </c>
      <c r="F3346" t="str">
        <f>VLOOKUP(G3346,PC!B:D,2,FALSE)</f>
        <v>SOBREMESA</v>
      </c>
      <c r="G3346" s="4" t="s">
        <v>75</v>
      </c>
      <c r="H3346" s="1">
        <v>1070.33</v>
      </c>
    </row>
    <row r="3347" spans="2:8" x14ac:dyDescent="0.2">
      <c r="B3347" t="str">
        <f>VLOOKUP(G3347,PC!B:D,3,FALSE)</f>
        <v>CPV</v>
      </c>
      <c r="C3347" s="22">
        <v>2023</v>
      </c>
      <c r="D3347" t="s">
        <v>102</v>
      </c>
      <c r="E3347" s="22" t="s">
        <v>129</v>
      </c>
      <c r="F3347" t="str">
        <f>VLOOKUP(G3347,PC!B:D,2,FALSE)</f>
        <v>COMIDA</v>
      </c>
      <c r="G3347" s="4" t="s">
        <v>38</v>
      </c>
      <c r="H3347" s="1">
        <v>160.83000000000001</v>
      </c>
    </row>
    <row r="3348" spans="2:8" x14ac:dyDescent="0.2">
      <c r="B3348" t="str">
        <f>VLOOKUP(G3348,PC!B:D,3,FALSE)</f>
        <v>CPV</v>
      </c>
      <c r="C3348" s="22">
        <v>2023</v>
      </c>
      <c r="D3348" t="s">
        <v>102</v>
      </c>
      <c r="E3348" s="22" t="s">
        <v>14</v>
      </c>
      <c r="F3348" t="str">
        <f>VLOOKUP(G3348,PC!B:D,2,FALSE)</f>
        <v>BEBIDAS</v>
      </c>
      <c r="G3348" s="4" t="s">
        <v>25</v>
      </c>
      <c r="H3348" s="1">
        <v>361.54</v>
      </c>
    </row>
    <row r="3349" spans="2:8" x14ac:dyDescent="0.2">
      <c r="B3349" t="str">
        <f>VLOOKUP(G3349,PC!B:D,3,FALSE)</f>
        <v>CPV</v>
      </c>
      <c r="C3349" s="22">
        <v>2023</v>
      </c>
      <c r="D3349" t="s">
        <v>102</v>
      </c>
      <c r="E3349" s="22" t="s">
        <v>129</v>
      </c>
      <c r="F3349" t="str">
        <f>VLOOKUP(G3349,PC!B:D,2,FALSE)</f>
        <v>COMIDA</v>
      </c>
      <c r="G3349" s="4" t="s">
        <v>18</v>
      </c>
      <c r="H3349" s="1">
        <v>29.9</v>
      </c>
    </row>
    <row r="3350" spans="2:8" x14ac:dyDescent="0.2">
      <c r="B3350" t="str">
        <f>VLOOKUP(G3350,PC!B:D,3,FALSE)</f>
        <v>CPV</v>
      </c>
      <c r="C3350" s="22">
        <v>2023</v>
      </c>
      <c r="D3350" t="s">
        <v>102</v>
      </c>
      <c r="E3350" s="22" t="s">
        <v>13</v>
      </c>
      <c r="F3350" t="str">
        <f>VLOOKUP(G3350,PC!B:D,2,FALSE)</f>
        <v>COMIDA</v>
      </c>
      <c r="G3350" s="4" t="s">
        <v>33</v>
      </c>
      <c r="H3350" s="1">
        <v>582.6</v>
      </c>
    </row>
    <row r="3351" spans="2:8" x14ac:dyDescent="0.2">
      <c r="B3351" t="str">
        <f>VLOOKUP(G3351,PC!B:D,3,FALSE)</f>
        <v>CPV</v>
      </c>
      <c r="C3351" s="22">
        <v>2023</v>
      </c>
      <c r="D3351" t="s">
        <v>102</v>
      </c>
      <c r="E3351" s="22" t="s">
        <v>28</v>
      </c>
      <c r="F3351" t="str">
        <f>VLOOKUP(G3351,PC!B:D,2,FALSE)</f>
        <v>BEBIDAS</v>
      </c>
      <c r="G3351" s="4" t="s">
        <v>26</v>
      </c>
      <c r="H3351" s="1">
        <v>2699.26</v>
      </c>
    </row>
    <row r="3352" spans="2:8" x14ac:dyDescent="0.2">
      <c r="B3352" t="str">
        <f>VLOOKUP(G3352,PC!B:D,3,FALSE)</f>
        <v>CPV</v>
      </c>
      <c r="C3352" s="22">
        <v>2023</v>
      </c>
      <c r="D3352" t="s">
        <v>102</v>
      </c>
      <c r="E3352" s="22" t="s">
        <v>45</v>
      </c>
      <c r="F3352" t="str">
        <f>VLOOKUP(G3352,PC!B:D,2,FALSE)</f>
        <v>HIGIENE</v>
      </c>
      <c r="G3352" s="4" t="s">
        <v>36</v>
      </c>
      <c r="H3352" s="1">
        <v>442.78</v>
      </c>
    </row>
    <row r="3353" spans="2:8" x14ac:dyDescent="0.2">
      <c r="B3353" t="str">
        <f>VLOOKUP(G3353,PC!B:D,3,FALSE)</f>
        <v>CPV</v>
      </c>
      <c r="C3353" s="22">
        <v>2023</v>
      </c>
      <c r="D3353" t="s">
        <v>102</v>
      </c>
      <c r="E3353" s="22" t="s">
        <v>100</v>
      </c>
      <c r="F3353" t="str">
        <f>VLOOKUP(G3353,PC!B:D,2,FALSE)</f>
        <v>COMIDA</v>
      </c>
      <c r="G3353" s="4" t="s">
        <v>18</v>
      </c>
      <c r="H3353" s="1">
        <v>223.96</v>
      </c>
    </row>
    <row r="3354" spans="2:8" x14ac:dyDescent="0.2">
      <c r="B3354" t="str">
        <f>VLOOKUP(G3354,PC!B:D,3,FALSE)</f>
        <v>CPV</v>
      </c>
      <c r="C3354" s="22">
        <v>2023</v>
      </c>
      <c r="D3354" t="s">
        <v>102</v>
      </c>
      <c r="E3354" s="22" t="s">
        <v>78</v>
      </c>
      <c r="F3354" t="str">
        <f>VLOOKUP(G3354,PC!B:D,2,FALSE)</f>
        <v>CIGARRO</v>
      </c>
      <c r="G3354" s="4" t="s">
        <v>82</v>
      </c>
      <c r="H3354" s="1">
        <v>599.47</v>
      </c>
    </row>
    <row r="3355" spans="2:8" x14ac:dyDescent="0.2">
      <c r="B3355" t="str">
        <f>VLOOKUP(G3355,PC!B:D,3,FALSE)</f>
        <v>CPV</v>
      </c>
      <c r="C3355" s="22">
        <v>2023</v>
      </c>
      <c r="D3355" t="s">
        <v>102</v>
      </c>
      <c r="E3355" s="22" t="s">
        <v>129</v>
      </c>
      <c r="F3355" t="str">
        <f>VLOOKUP(G3355,PC!B:D,2,FALSE)</f>
        <v>COMIDA</v>
      </c>
      <c r="G3355" s="4" t="s">
        <v>12</v>
      </c>
      <c r="H3355" s="1">
        <v>500</v>
      </c>
    </row>
    <row r="3356" spans="2:8" x14ac:dyDescent="0.2">
      <c r="B3356" t="str">
        <f>VLOOKUP(G3356,PC!B:D,3,FALSE)</f>
        <v>CPV</v>
      </c>
      <c r="C3356" s="22">
        <v>2023</v>
      </c>
      <c r="D3356" t="s">
        <v>102</v>
      </c>
      <c r="F3356" t="str">
        <f>VLOOKUP(G3356,PC!B:D,2,FALSE)</f>
        <v>SOBREMESA</v>
      </c>
      <c r="G3356" s="4" t="s">
        <v>7</v>
      </c>
      <c r="H3356" s="1">
        <v>207</v>
      </c>
    </row>
    <row r="3357" spans="2:8" x14ac:dyDescent="0.2">
      <c r="B3357" t="str">
        <f>VLOOKUP(G3357,PC!B:D,3,FALSE)</f>
        <v>CPV</v>
      </c>
      <c r="C3357" s="22">
        <v>2023</v>
      </c>
      <c r="D3357" t="s">
        <v>102</v>
      </c>
      <c r="F3357" t="str">
        <f>VLOOKUP(G3357,PC!B:D,2,FALSE)</f>
        <v>OUTROS</v>
      </c>
      <c r="G3357" s="4" t="s">
        <v>37</v>
      </c>
      <c r="H3357" s="1">
        <v>270</v>
      </c>
    </row>
    <row r="3358" spans="2:8" x14ac:dyDescent="0.2">
      <c r="B3358" t="str">
        <f>VLOOKUP(G3358,PC!B:D,3,FALSE)</f>
        <v>CPV</v>
      </c>
      <c r="C3358" s="22">
        <v>2023</v>
      </c>
      <c r="D3358" t="s">
        <v>102</v>
      </c>
      <c r="F3358" t="str">
        <f>VLOOKUP(G3358,PC!B:D,2,FALSE)</f>
        <v>COMIDA</v>
      </c>
      <c r="G3358" s="4" t="s">
        <v>155</v>
      </c>
      <c r="H3358" s="1">
        <v>287.5</v>
      </c>
    </row>
    <row r="3359" spans="2:8" x14ac:dyDescent="0.2">
      <c r="B3359" t="str">
        <f>VLOOKUP(G3359,PC!B:D,3,FALSE)</f>
        <v>SERV. PUBLICOS</v>
      </c>
      <c r="C3359" s="22">
        <v>2023</v>
      </c>
      <c r="D3359" t="s">
        <v>102</v>
      </c>
      <c r="F3359" t="str">
        <f>VLOOKUP(G3359,PC!B:D,2,FALSE)</f>
        <v>SERV. PUBLICOS</v>
      </c>
      <c r="G3359" s="4" t="s">
        <v>104</v>
      </c>
      <c r="H3359" s="1">
        <v>289.69</v>
      </c>
    </row>
    <row r="3360" spans="2:8" x14ac:dyDescent="0.2">
      <c r="B3360" t="str">
        <f>VLOOKUP(G3360,PC!B:D,3,FALSE)</f>
        <v>CPV</v>
      </c>
      <c r="C3360" s="22">
        <v>2023</v>
      </c>
      <c r="D3360" t="s">
        <v>102</v>
      </c>
      <c r="F3360" t="str">
        <f>VLOOKUP(G3360,PC!B:D,2,FALSE)</f>
        <v>CIGARRO</v>
      </c>
      <c r="G3360" s="4" t="s">
        <v>57</v>
      </c>
      <c r="H3360" s="1">
        <v>1127</v>
      </c>
    </row>
    <row r="3361" spans="2:8" x14ac:dyDescent="0.2">
      <c r="B3361" t="str">
        <f>VLOOKUP(G3361,PC!B:D,3,FALSE)</f>
        <v>CPV</v>
      </c>
      <c r="C3361" s="22">
        <v>2023</v>
      </c>
      <c r="D3361" t="s">
        <v>102</v>
      </c>
      <c r="F3361" t="str">
        <f>VLOOKUP(G3361,PC!B:D,2,FALSE)</f>
        <v>SOBREMESA</v>
      </c>
      <c r="G3361" s="4" t="s">
        <v>7</v>
      </c>
      <c r="H3361" s="1">
        <v>46</v>
      </c>
    </row>
    <row r="3362" spans="2:8" x14ac:dyDescent="0.2">
      <c r="B3362" t="str">
        <f>VLOOKUP(G3362,PC!B:D,3,FALSE)</f>
        <v>CPV</v>
      </c>
      <c r="C3362" s="22">
        <v>2023</v>
      </c>
      <c r="D3362" t="s">
        <v>102</v>
      </c>
      <c r="E3362" t="s">
        <v>27</v>
      </c>
      <c r="F3362" t="str">
        <f>VLOOKUP(G3362,PC!B:D,2,FALSE)</f>
        <v>COMIDA</v>
      </c>
      <c r="G3362" s="4" t="s">
        <v>12</v>
      </c>
      <c r="H3362" s="47">
        <v>212</v>
      </c>
    </row>
    <row r="3363" spans="2:8" x14ac:dyDescent="0.2">
      <c r="B3363" t="str">
        <f>VLOOKUP(G3363,PC!B:D,3,FALSE)</f>
        <v>DESPESA OPERACIONAL</v>
      </c>
      <c r="C3363" s="22">
        <v>2023</v>
      </c>
      <c r="D3363" t="s">
        <v>102</v>
      </c>
      <c r="F3363" t="str">
        <f>VLOOKUP(G3363,PC!B:D,2,FALSE)</f>
        <v>DESPESA OPERACIONAL</v>
      </c>
      <c r="G3363" s="4" t="s">
        <v>73</v>
      </c>
      <c r="H3363" s="1">
        <f>935.01+682.82</f>
        <v>1617.83</v>
      </c>
    </row>
    <row r="3364" spans="2:8" x14ac:dyDescent="0.2">
      <c r="B3364" t="str">
        <f>VLOOKUP(G3364,PC!B:D,3,FALSE)</f>
        <v>RECEITA</v>
      </c>
      <c r="C3364" s="22">
        <v>2023</v>
      </c>
      <c r="D3364" t="s">
        <v>102</v>
      </c>
      <c r="F3364" t="str">
        <f>VLOOKUP(G3364,PC!B:D,2,FALSE)</f>
        <v>RECEITA</v>
      </c>
      <c r="G3364" s="4" t="s">
        <v>64</v>
      </c>
      <c r="H3364" s="1">
        <f>21.49+15.69</f>
        <v>37.18</v>
      </c>
    </row>
    <row r="3365" spans="2:8" x14ac:dyDescent="0.2">
      <c r="B3365" t="str">
        <f>VLOOKUP(G3365,PC!B:D,3,FALSE)</f>
        <v>CPV</v>
      </c>
      <c r="C3365" s="22">
        <v>2023</v>
      </c>
      <c r="D3365" t="s">
        <v>102</v>
      </c>
      <c r="E3365" t="s">
        <v>14</v>
      </c>
      <c r="F3365" t="str">
        <f>VLOOKUP(G3365,PC!B:D,2,FALSE)</f>
        <v>BEBIDAS</v>
      </c>
      <c r="G3365" s="4" t="s">
        <v>25</v>
      </c>
      <c r="H3365" s="1">
        <v>623.23</v>
      </c>
    </row>
    <row r="3366" spans="2:8" x14ac:dyDescent="0.2">
      <c r="B3366" t="str">
        <f>VLOOKUP(G3366,PC!B:D,3,FALSE)</f>
        <v>CPV</v>
      </c>
      <c r="C3366" s="22">
        <v>2023</v>
      </c>
      <c r="D3366" t="s">
        <v>102</v>
      </c>
      <c r="E3366" t="s">
        <v>14</v>
      </c>
      <c r="F3366" t="str">
        <f>VLOOKUP(G3366,PC!B:D,2,FALSE)</f>
        <v>BEBIDAS</v>
      </c>
      <c r="G3366" s="4" t="s">
        <v>25</v>
      </c>
      <c r="H3366" s="1">
        <v>231.47</v>
      </c>
    </row>
    <row r="3367" spans="2:8" x14ac:dyDescent="0.2">
      <c r="B3367" t="str">
        <f>VLOOKUP(G3367,PC!B:D,3,FALSE)</f>
        <v>CPV</v>
      </c>
      <c r="C3367" s="22">
        <v>2023</v>
      </c>
      <c r="D3367" t="s">
        <v>102</v>
      </c>
      <c r="E3367" t="s">
        <v>21</v>
      </c>
      <c r="F3367" t="str">
        <f>VLOOKUP(G3367,PC!B:D,2,FALSE)</f>
        <v>SOBREMESA</v>
      </c>
      <c r="G3367" s="4" t="s">
        <v>23</v>
      </c>
      <c r="H3367" s="1">
        <v>104.64</v>
      </c>
    </row>
    <row r="3368" spans="2:8" x14ac:dyDescent="0.2">
      <c r="B3368" t="str">
        <f>VLOOKUP(G3368,PC!B:D,3,FALSE)</f>
        <v>CPV</v>
      </c>
      <c r="C3368" s="22">
        <v>2023</v>
      </c>
      <c r="D3368" t="s">
        <v>102</v>
      </c>
      <c r="E3368" t="s">
        <v>211</v>
      </c>
      <c r="F3368" t="str">
        <f>VLOOKUP(G3368,PC!B:D,2,FALSE)</f>
        <v>BEBIDAS</v>
      </c>
      <c r="G3368" s="4" t="s">
        <v>26</v>
      </c>
      <c r="H3368" s="1">
        <v>321.77</v>
      </c>
    </row>
    <row r="3369" spans="2:8" x14ac:dyDescent="0.2">
      <c r="B3369" t="str">
        <f>VLOOKUP(G3369,PC!B:D,3,FALSE)</f>
        <v>CPV</v>
      </c>
      <c r="C3369" s="22">
        <v>2023</v>
      </c>
      <c r="D3369" t="s">
        <v>102</v>
      </c>
      <c r="E3369" t="s">
        <v>19</v>
      </c>
      <c r="F3369" t="str">
        <f>VLOOKUP(G3369,PC!B:D,2,FALSE)</f>
        <v>COMIDA</v>
      </c>
      <c r="G3369" s="4" t="s">
        <v>145</v>
      </c>
      <c r="H3369" s="1">
        <v>268.37</v>
      </c>
    </row>
    <row r="3370" spans="2:8" x14ac:dyDescent="0.2">
      <c r="B3370" t="str">
        <f>VLOOKUP(G3370,PC!B:D,3,FALSE)</f>
        <v>CPV</v>
      </c>
      <c r="C3370" s="22">
        <v>2023</v>
      </c>
      <c r="D3370" t="s">
        <v>102</v>
      </c>
      <c r="E3370" t="s">
        <v>19</v>
      </c>
      <c r="F3370" t="str">
        <f>VLOOKUP(G3370,PC!B:D,2,FALSE)</f>
        <v>BEBIDAS</v>
      </c>
      <c r="G3370" s="4" t="s">
        <v>46</v>
      </c>
      <c r="H3370" s="1">
        <v>48.96</v>
      </c>
    </row>
    <row r="3371" spans="2:8" x14ac:dyDescent="0.2">
      <c r="B3371" t="str">
        <f>VLOOKUP(G3371,PC!B:D,3,FALSE)</f>
        <v>CPV</v>
      </c>
      <c r="C3371" s="22">
        <v>2023</v>
      </c>
      <c r="D3371" t="s">
        <v>102</v>
      </c>
      <c r="E3371" t="s">
        <v>28</v>
      </c>
      <c r="F3371" t="str">
        <f>VLOOKUP(G3371,PC!B:D,2,FALSE)</f>
        <v>BEBIDAS</v>
      </c>
      <c r="G3371" s="4" t="s">
        <v>26</v>
      </c>
      <c r="H3371" s="1">
        <v>2421.94</v>
      </c>
    </row>
    <row r="3372" spans="2:8" x14ac:dyDescent="0.2">
      <c r="B3372" t="str">
        <f>VLOOKUP(G3372,PC!B:D,3,FALSE)</f>
        <v>CPV</v>
      </c>
      <c r="C3372" s="22">
        <v>2023</v>
      </c>
      <c r="D3372" t="s">
        <v>102</v>
      </c>
      <c r="E3372" t="s">
        <v>40</v>
      </c>
      <c r="F3372" t="str">
        <f>VLOOKUP(G3372,PC!B:D,2,FALSE)</f>
        <v>BEBIDAS</v>
      </c>
      <c r="G3372" s="4" t="s">
        <v>26</v>
      </c>
      <c r="H3372" s="1">
        <v>26.9</v>
      </c>
    </row>
    <row r="3373" spans="2:8" x14ac:dyDescent="0.2">
      <c r="B3373" t="str">
        <f>VLOOKUP(G3373,PC!B:D,3,FALSE)</f>
        <v>RECEITA</v>
      </c>
      <c r="C3373" s="22">
        <v>2023</v>
      </c>
      <c r="D3373" t="s">
        <v>98</v>
      </c>
      <c r="F3373" t="str">
        <f>VLOOKUP(G3373,PC!B:D,2,FALSE)</f>
        <v>RECEITA</v>
      </c>
      <c r="G3373" s="4" t="s">
        <v>136</v>
      </c>
      <c r="H3373" s="1">
        <v>2119.63</v>
      </c>
    </row>
    <row r="3374" spans="2:8" x14ac:dyDescent="0.2">
      <c r="B3374" t="str">
        <f>VLOOKUP(G3374,PC!B:D,3,FALSE)</f>
        <v>DESCONTO DE FATURAMENTO</v>
      </c>
      <c r="C3374" s="22">
        <v>2023</v>
      </c>
      <c r="D3374" t="s">
        <v>98</v>
      </c>
      <c r="F3374" t="str">
        <f>VLOOKUP(G3374,PC!B:D,2,FALSE)</f>
        <v>OUTROS DESCONTOS</v>
      </c>
      <c r="G3374" s="4" t="s">
        <v>63</v>
      </c>
      <c r="H3374" s="1">
        <f>2164.1-H3373</f>
        <v>44.4699999999998</v>
      </c>
    </row>
    <row r="3375" spans="2:8" x14ac:dyDescent="0.2">
      <c r="B3375" t="str">
        <f>VLOOKUP(G3375,PC!B:D,3,FALSE)</f>
        <v>RECEITA</v>
      </c>
      <c r="C3375" s="22">
        <v>2023</v>
      </c>
      <c r="D3375" t="s">
        <v>98</v>
      </c>
      <c r="F3375" t="str">
        <f>VLOOKUP(G3375,PC!B:D,2,FALSE)</f>
        <v>RECEITA</v>
      </c>
      <c r="G3375" s="4" t="s">
        <v>136</v>
      </c>
      <c r="H3375" s="1">
        <v>23252.52</v>
      </c>
    </row>
    <row r="3376" spans="2:8" x14ac:dyDescent="0.2">
      <c r="B3376" t="str">
        <f>VLOOKUP(G3376,PC!B:D,3,FALSE)</f>
        <v>RECEITA</v>
      </c>
      <c r="C3376" s="22">
        <v>2023</v>
      </c>
      <c r="D3376" t="s">
        <v>98</v>
      </c>
      <c r="F3376" t="str">
        <f>VLOOKUP(G3376,PC!B:D,2,FALSE)</f>
        <v>RECEITA</v>
      </c>
      <c r="G3376" s="4" t="s">
        <v>137</v>
      </c>
      <c r="H3376" s="1">
        <v>9466.85</v>
      </c>
    </row>
    <row r="3377" spans="2:8" x14ac:dyDescent="0.2">
      <c r="B3377" t="str">
        <f>VLOOKUP(G3377,PC!B:D,3,FALSE)</f>
        <v>DESCONTO DE FATURAMENTO</v>
      </c>
      <c r="C3377" s="22">
        <v>2023</v>
      </c>
      <c r="D3377" t="s">
        <v>98</v>
      </c>
      <c r="F3377" t="str">
        <f>VLOOKUP(G3377,PC!B:D,2,FALSE)</f>
        <v>OUTROS DESCONTOS</v>
      </c>
      <c r="G3377" s="4" t="s">
        <v>63</v>
      </c>
      <c r="H3377" s="1">
        <f>0.01*H3375</f>
        <v>232.52520000000001</v>
      </c>
    </row>
    <row r="3378" spans="2:8" x14ac:dyDescent="0.2">
      <c r="B3378" t="str">
        <f>VLOOKUP(G3378,PC!B:D,3,FALSE)</f>
        <v>DESCONTO DE FATURAMENTO</v>
      </c>
      <c r="C3378" s="22">
        <v>2023</v>
      </c>
      <c r="D3378" t="s">
        <v>98</v>
      </c>
      <c r="F3378" t="str">
        <f>VLOOKUP(G3378,PC!B:D,2,FALSE)</f>
        <v>OUTROS DESCONTOS</v>
      </c>
      <c r="G3378" s="4" t="s">
        <v>63</v>
      </c>
      <c r="H3378" s="1">
        <f>0.02*H3376</f>
        <v>189.33700000000002</v>
      </c>
    </row>
    <row r="3379" spans="2:8" x14ac:dyDescent="0.2">
      <c r="B3379" t="str">
        <f>VLOOKUP(G3379,PC!B:D,3,FALSE)</f>
        <v>DESPESA OPERACIONAL</v>
      </c>
      <c r="C3379" s="22">
        <v>2023</v>
      </c>
      <c r="D3379" t="s">
        <v>110</v>
      </c>
      <c r="F3379" t="str">
        <f>VLOOKUP(G3379,PC!B:D,2,FALSE)</f>
        <v>DESPESA OPERACIONAL</v>
      </c>
      <c r="G3379" s="4" t="s">
        <v>122</v>
      </c>
      <c r="H3379" s="1">
        <v>90</v>
      </c>
    </row>
    <row r="3380" spans="2:8" x14ac:dyDescent="0.2">
      <c r="B3380" t="str">
        <f>VLOOKUP(G3380,PC!B:D,3,FALSE)</f>
        <v>DESPESA OPERACIONAL</v>
      </c>
      <c r="C3380" s="22">
        <v>2023</v>
      </c>
      <c r="D3380" t="s">
        <v>112</v>
      </c>
      <c r="F3380" t="str">
        <f>VLOOKUP(G3380,PC!B:D,2,FALSE)</f>
        <v>DESPESA OPERACIONAL</v>
      </c>
      <c r="G3380" s="4" t="s">
        <v>122</v>
      </c>
      <c r="H3380" s="1">
        <v>90</v>
      </c>
    </row>
    <row r="3381" spans="2:8" x14ac:dyDescent="0.2">
      <c r="B3381" t="str">
        <f>VLOOKUP(G3381,PC!B:D,3,FALSE)</f>
        <v>DESPESA OPERACIONAL</v>
      </c>
      <c r="C3381" s="22">
        <v>2023</v>
      </c>
      <c r="D3381" t="s">
        <v>113</v>
      </c>
      <c r="F3381" t="str">
        <f>VLOOKUP(G3381,PC!B:D,2,FALSE)</f>
        <v>DESPESA OPERACIONAL</v>
      </c>
      <c r="G3381" s="4" t="s">
        <v>122</v>
      </c>
      <c r="H3381" s="1">
        <v>90</v>
      </c>
    </row>
    <row r="3382" spans="2:8" x14ac:dyDescent="0.2">
      <c r="B3382" t="str">
        <f>VLOOKUP(G3382,PC!B:D,3,FALSE)</f>
        <v>DESPESA OPERACIONAL</v>
      </c>
      <c r="C3382" s="22">
        <v>2023</v>
      </c>
      <c r="D3382" t="s">
        <v>44</v>
      </c>
      <c r="F3382" t="str">
        <f>VLOOKUP(G3382,PC!B:D,2,FALSE)</f>
        <v>DESPESA OPERACIONAL</v>
      </c>
      <c r="G3382" s="4" t="s">
        <v>122</v>
      </c>
      <c r="H3382" s="1">
        <v>90</v>
      </c>
    </row>
    <row r="3383" spans="2:8" x14ac:dyDescent="0.2">
      <c r="B3383" t="str">
        <f>VLOOKUP(G3383,PC!B:D,3,FALSE)</f>
        <v>DESPESA OPERACIONAL</v>
      </c>
      <c r="C3383" s="22">
        <v>2023</v>
      </c>
      <c r="D3383" t="s">
        <v>74</v>
      </c>
      <c r="F3383" t="str">
        <f>VLOOKUP(G3383,PC!B:D,2,FALSE)</f>
        <v>DESPESA OPERACIONAL</v>
      </c>
      <c r="G3383" s="4" t="s">
        <v>122</v>
      </c>
      <c r="H3383" s="1">
        <v>90</v>
      </c>
    </row>
    <row r="3384" spans="2:8" x14ac:dyDescent="0.2">
      <c r="B3384" t="str">
        <f>VLOOKUP(G3384,PC!B:D,3,FALSE)</f>
        <v>DESPESA OPERACIONAL</v>
      </c>
      <c r="C3384" s="22">
        <v>2023</v>
      </c>
      <c r="D3384" t="s">
        <v>84</v>
      </c>
      <c r="F3384" t="str">
        <f>VLOOKUP(G3384,PC!B:D,2,FALSE)</f>
        <v>DESPESA OPERACIONAL</v>
      </c>
      <c r="G3384" s="4" t="s">
        <v>122</v>
      </c>
      <c r="H3384" s="1">
        <v>90</v>
      </c>
    </row>
    <row r="3385" spans="2:8" x14ac:dyDescent="0.2">
      <c r="B3385" t="str">
        <f>VLOOKUP(G3385,PC!B:D,3,FALSE)</f>
        <v>DESPESA OPERACIONAL</v>
      </c>
      <c r="C3385" s="22">
        <v>2023</v>
      </c>
      <c r="D3385" t="s">
        <v>94</v>
      </c>
      <c r="F3385" t="str">
        <f>VLOOKUP(G3385,PC!B:D,2,FALSE)</f>
        <v>DESPESA OPERACIONAL</v>
      </c>
      <c r="G3385" s="4" t="s">
        <v>122</v>
      </c>
      <c r="H3385" s="1">
        <v>90</v>
      </c>
    </row>
    <row r="3386" spans="2:8" x14ac:dyDescent="0.2">
      <c r="B3386" t="str">
        <f>VLOOKUP(G3386,PC!B:D,3,FALSE)</f>
        <v>DESPESA OPERACIONAL</v>
      </c>
      <c r="C3386" s="22">
        <v>2023</v>
      </c>
      <c r="D3386" t="s">
        <v>98</v>
      </c>
      <c r="F3386" t="str">
        <f>VLOOKUP(G3386,PC!B:D,2,FALSE)</f>
        <v>DESPESA OPERACIONAL</v>
      </c>
      <c r="G3386" s="4" t="s">
        <v>122</v>
      </c>
      <c r="H3386" s="1">
        <v>80</v>
      </c>
    </row>
    <row r="3387" spans="2:8" x14ac:dyDescent="0.2">
      <c r="B3387" t="str">
        <f>VLOOKUP(G3387,PC!B:D,3,FALSE)</f>
        <v>SERV. PUBLICOS</v>
      </c>
      <c r="C3387" s="22">
        <v>2023</v>
      </c>
      <c r="D3387" t="s">
        <v>74</v>
      </c>
      <c r="F3387" t="str">
        <f>VLOOKUP(G3387,PC!B:D,2,FALSE)</f>
        <v>SERV. PUBLICOS</v>
      </c>
      <c r="G3387" s="4" t="s">
        <v>91</v>
      </c>
      <c r="H3387" s="1">
        <v>1600</v>
      </c>
    </row>
    <row r="3388" spans="2:8" x14ac:dyDescent="0.2">
      <c r="B3388" t="str">
        <f>VLOOKUP(G3388,PC!B:D,3,FALSE)</f>
        <v>SERV. PUBLICOS</v>
      </c>
      <c r="C3388" s="22">
        <v>2023</v>
      </c>
      <c r="D3388" t="s">
        <v>113</v>
      </c>
      <c r="F3388" t="str">
        <f>VLOOKUP(G3388,PC!B:D,2,FALSE)</f>
        <v>SERV. PUBLICOS</v>
      </c>
      <c r="G3388" s="4" t="s">
        <v>104</v>
      </c>
      <c r="H3388" s="1">
        <v>250</v>
      </c>
    </row>
    <row r="3389" spans="2:8" x14ac:dyDescent="0.2">
      <c r="B3389" t="str">
        <f>VLOOKUP(G3389,PC!B:D,3,FALSE)</f>
        <v>SERV. PUBLICOS</v>
      </c>
      <c r="C3389" s="22">
        <v>2023</v>
      </c>
      <c r="D3389" t="s">
        <v>94</v>
      </c>
      <c r="F3389" t="str">
        <f>VLOOKUP(G3389,PC!B:D,2,FALSE)</f>
        <v>SERV. PUBLICOS</v>
      </c>
      <c r="G3389" s="4" t="s">
        <v>91</v>
      </c>
      <c r="H3389" s="1">
        <v>1600</v>
      </c>
    </row>
    <row r="3390" spans="2:8" x14ac:dyDescent="0.2">
      <c r="B3390" t="str">
        <f>VLOOKUP(G3390,PC!B:D,3,FALSE)</f>
        <v>SERV.TERCEIROS</v>
      </c>
      <c r="C3390" s="22">
        <v>2023</v>
      </c>
      <c r="D3390" t="s">
        <v>94</v>
      </c>
      <c r="F3390" t="str">
        <f>VLOOKUP(G3390,PC!B:D,2,FALSE)</f>
        <v>SERV.TERCEIROS</v>
      </c>
      <c r="G3390" s="4" t="s">
        <v>60</v>
      </c>
      <c r="H3390" s="1">
        <v>380</v>
      </c>
    </row>
    <row r="3391" spans="2:8" x14ac:dyDescent="0.2">
      <c r="B3391" t="str">
        <f>VLOOKUP(G3391,PC!B:D,3,FALSE)</f>
        <v>SERV.TERCEIROS</v>
      </c>
      <c r="C3391" s="22">
        <v>2023</v>
      </c>
      <c r="D3391" t="s">
        <v>98</v>
      </c>
      <c r="F3391" t="str">
        <f>VLOOKUP(G3391,PC!B:D,2,FALSE)</f>
        <v>SERV.TERCEIROS</v>
      </c>
      <c r="G3391" s="4" t="s">
        <v>60</v>
      </c>
      <c r="H3391" s="1">
        <v>380</v>
      </c>
    </row>
    <row r="3392" spans="2:8" x14ac:dyDescent="0.2">
      <c r="B3392" t="str">
        <f>VLOOKUP(G3392,PC!B:D,3,FALSE)</f>
        <v>SERV.TERCEIROS</v>
      </c>
      <c r="C3392" s="22">
        <v>2023</v>
      </c>
      <c r="D3392" t="s">
        <v>98</v>
      </c>
      <c r="F3392" t="str">
        <f>VLOOKUP(G3392,PC!B:D,2,FALSE)</f>
        <v>SERV.TERCEIROS</v>
      </c>
      <c r="G3392" s="4" t="s">
        <v>123</v>
      </c>
      <c r="H3392" s="1">
        <v>250</v>
      </c>
    </row>
    <row r="3393" spans="2:8" x14ac:dyDescent="0.2">
      <c r="B3393" t="str">
        <f>VLOOKUP(G3393,PC!B:D,3,FALSE)</f>
        <v>DESPESA FINANCEIRA</v>
      </c>
      <c r="C3393" s="22">
        <v>2023</v>
      </c>
      <c r="D3393" t="s">
        <v>112</v>
      </c>
      <c r="F3393" t="str">
        <f>VLOOKUP(G3393,PC!B:D,2,FALSE)</f>
        <v>DESPESA FINANCEIRA</v>
      </c>
      <c r="G3393" s="4" t="s">
        <v>125</v>
      </c>
      <c r="H3393" s="1">
        <v>107</v>
      </c>
    </row>
    <row r="3394" spans="2:8" x14ac:dyDescent="0.2">
      <c r="B3394" t="str">
        <f>VLOOKUP(G3394,PC!B:D,3,FALSE)</f>
        <v>DESPESA FINANCEIRA</v>
      </c>
      <c r="C3394" s="22">
        <v>2023</v>
      </c>
      <c r="D3394" t="s">
        <v>113</v>
      </c>
      <c r="F3394" t="str">
        <f>VLOOKUP(G3394,PC!B:D,2,FALSE)</f>
        <v>DESPESA FINANCEIRA</v>
      </c>
      <c r="G3394" s="4" t="s">
        <v>125</v>
      </c>
      <c r="H3394" s="1">
        <v>107</v>
      </c>
    </row>
    <row r="3395" spans="2:8" x14ac:dyDescent="0.2">
      <c r="B3395" t="str">
        <f>VLOOKUP(G3395,PC!B:D,3,FALSE)</f>
        <v>DESPESA FINANCEIRA</v>
      </c>
      <c r="C3395" s="22">
        <v>2023</v>
      </c>
      <c r="D3395" t="s">
        <v>44</v>
      </c>
      <c r="F3395" t="str">
        <f>VLOOKUP(G3395,PC!B:D,2,FALSE)</f>
        <v>DESPESA FINANCEIRA</v>
      </c>
      <c r="G3395" s="4" t="s">
        <v>125</v>
      </c>
      <c r="H3395" s="1">
        <v>107</v>
      </c>
    </row>
    <row r="3396" spans="2:8" x14ac:dyDescent="0.2">
      <c r="B3396" t="str">
        <f>VLOOKUP(G3396,PC!B:D,3,FALSE)</f>
        <v>DESPESA FINANCEIRA</v>
      </c>
      <c r="C3396" s="22">
        <v>2023</v>
      </c>
      <c r="D3396" t="s">
        <v>74</v>
      </c>
      <c r="F3396" t="str">
        <f>VLOOKUP(G3396,PC!B:D,2,FALSE)</f>
        <v>DESPESA FINANCEIRA</v>
      </c>
      <c r="G3396" s="4" t="s">
        <v>125</v>
      </c>
      <c r="H3396" s="1">
        <v>107</v>
      </c>
    </row>
    <row r="3397" spans="2:8" x14ac:dyDescent="0.2">
      <c r="B3397" t="str">
        <f>VLOOKUP(G3397,PC!B:D,3,FALSE)</f>
        <v>DESPESA FINANCEIRA</v>
      </c>
      <c r="C3397" s="22">
        <v>2023</v>
      </c>
      <c r="D3397" t="s">
        <v>84</v>
      </c>
      <c r="F3397" t="str">
        <f>VLOOKUP(G3397,PC!B:D,2,FALSE)</f>
        <v>DESPESA FINANCEIRA</v>
      </c>
      <c r="G3397" s="4" t="s">
        <v>125</v>
      </c>
      <c r="H3397" s="1">
        <v>107</v>
      </c>
    </row>
    <row r="3398" spans="2:8" x14ac:dyDescent="0.2">
      <c r="B3398" t="str">
        <f>VLOOKUP(G3398,PC!B:D,3,FALSE)</f>
        <v>DESPESA FINANCEIRA</v>
      </c>
      <c r="C3398" s="22">
        <v>2023</v>
      </c>
      <c r="D3398" t="s">
        <v>94</v>
      </c>
      <c r="F3398" t="str">
        <f>VLOOKUP(G3398,PC!B:D,2,FALSE)</f>
        <v>DESPESA FINANCEIRA</v>
      </c>
      <c r="G3398" s="4" t="s">
        <v>125</v>
      </c>
      <c r="H3398" s="1">
        <v>107</v>
      </c>
    </row>
    <row r="3399" spans="2:8" x14ac:dyDescent="0.2">
      <c r="B3399" t="str">
        <f>VLOOKUP(G3399,PC!B:D,3,FALSE)</f>
        <v>DESPESA FINANCEIRA</v>
      </c>
      <c r="C3399" s="22">
        <v>2023</v>
      </c>
      <c r="D3399" t="s">
        <v>98</v>
      </c>
      <c r="F3399" t="str">
        <f>VLOOKUP(G3399,PC!B:D,2,FALSE)</f>
        <v>DESPESA FINANCEIRA</v>
      </c>
      <c r="G3399" s="4" t="s">
        <v>125</v>
      </c>
      <c r="H3399" s="1">
        <v>107</v>
      </c>
    </row>
    <row r="3400" spans="2:8" x14ac:dyDescent="0.2">
      <c r="B3400" t="str">
        <f>VLOOKUP(G3400,PC!B:D,3,FALSE)</f>
        <v>DESPESA FINANCEIRA</v>
      </c>
      <c r="C3400" s="22">
        <v>2023</v>
      </c>
      <c r="D3400" t="s">
        <v>102</v>
      </c>
      <c r="F3400" t="str">
        <f>VLOOKUP(G3400,PC!B:D,2,FALSE)</f>
        <v>DESPESA FINANCEIRA</v>
      </c>
      <c r="G3400" s="4" t="s">
        <v>125</v>
      </c>
      <c r="H3400" s="1">
        <v>107</v>
      </c>
    </row>
    <row r="3401" spans="2:8" x14ac:dyDescent="0.2">
      <c r="B3401" t="str">
        <f>VLOOKUP(G3401,PC!B:D,3,FALSE)</f>
        <v>CPV</v>
      </c>
      <c r="C3401" s="22">
        <v>2023</v>
      </c>
      <c r="D3401" t="s">
        <v>102</v>
      </c>
      <c r="E3401" t="s">
        <v>5</v>
      </c>
      <c r="F3401" t="str">
        <f>VLOOKUP(G3401,PC!B:D,2,FALSE)</f>
        <v>COMIDA</v>
      </c>
      <c r="G3401" s="4" t="s">
        <v>18</v>
      </c>
      <c r="H3401" s="1">
        <v>142.91</v>
      </c>
    </row>
    <row r="3402" spans="2:8" x14ac:dyDescent="0.2">
      <c r="B3402" t="str">
        <f>VLOOKUP(G3402,PC!B:D,3,FALSE)</f>
        <v>RECEITA</v>
      </c>
      <c r="C3402" s="22">
        <v>2023</v>
      </c>
      <c r="D3402" t="s">
        <v>102</v>
      </c>
      <c r="F3402" t="str">
        <f>VLOOKUP(G3402,PC!B:D,2,FALSE)</f>
        <v>RECEITA</v>
      </c>
      <c r="G3402" s="4" t="s">
        <v>83</v>
      </c>
      <c r="H3402" s="1">
        <v>13.68</v>
      </c>
    </row>
    <row r="3403" spans="2:8" x14ac:dyDescent="0.2">
      <c r="B3403" t="str">
        <f>VLOOKUP(G3403,PC!B:D,3,FALSE)</f>
        <v>CPV</v>
      </c>
      <c r="C3403" s="22">
        <v>2023</v>
      </c>
      <c r="D3403" t="s">
        <v>102</v>
      </c>
      <c r="E3403" t="s">
        <v>45</v>
      </c>
      <c r="F3403" t="str">
        <f>VLOOKUP(G3403,PC!B:D,2,FALSE)</f>
        <v>SOBREMESA</v>
      </c>
      <c r="G3403" s="4" t="s">
        <v>23</v>
      </c>
      <c r="H3403" s="1">
        <v>471.07</v>
      </c>
    </row>
    <row r="3404" spans="2:8" x14ac:dyDescent="0.2">
      <c r="B3404" t="str">
        <f>VLOOKUP(G3404,PC!B:D,3,FALSE)</f>
        <v>CPV</v>
      </c>
      <c r="C3404" s="22">
        <v>2023</v>
      </c>
      <c r="D3404" t="s">
        <v>102</v>
      </c>
      <c r="E3404" t="s">
        <v>156</v>
      </c>
      <c r="F3404" t="str">
        <f>VLOOKUP(G3404,PC!B:D,2,FALSE)</f>
        <v>BEBIDAS</v>
      </c>
      <c r="G3404" s="4" t="s">
        <v>26</v>
      </c>
      <c r="H3404" s="1">
        <v>217.44</v>
      </c>
    </row>
    <row r="3405" spans="2:8" x14ac:dyDescent="0.2">
      <c r="B3405" t="str">
        <f>VLOOKUP(G3405,PC!B:D,3,FALSE)</f>
        <v>CPV</v>
      </c>
      <c r="C3405" s="22">
        <v>2023</v>
      </c>
      <c r="D3405" t="s">
        <v>102</v>
      </c>
      <c r="E3405" t="s">
        <v>24</v>
      </c>
      <c r="F3405" t="str">
        <f>VLOOKUP(G3405,PC!B:D,2,FALSE)</f>
        <v>COMIDA</v>
      </c>
      <c r="G3405" s="4" t="s">
        <v>33</v>
      </c>
      <c r="H3405" s="1">
        <v>668.07</v>
      </c>
    </row>
    <row r="3406" spans="2:8" x14ac:dyDescent="0.2">
      <c r="B3406" t="str">
        <f>VLOOKUP(G3406,PC!B:D,3,FALSE)</f>
        <v>CPV</v>
      </c>
      <c r="C3406" s="22">
        <v>2023</v>
      </c>
      <c r="D3406" t="s">
        <v>102</v>
      </c>
      <c r="E3406" t="s">
        <v>10</v>
      </c>
      <c r="F3406" t="str">
        <f>VLOOKUP(G3406,PC!B:D,2,FALSE)</f>
        <v>COMIDA</v>
      </c>
      <c r="G3406" s="4" t="s">
        <v>33</v>
      </c>
      <c r="H3406" s="1">
        <v>1005.28</v>
      </c>
    </row>
    <row r="3407" spans="2:8" x14ac:dyDescent="0.2">
      <c r="B3407" t="str">
        <f>VLOOKUP(G3407,PC!B:D,3,FALSE)</f>
        <v>CPV</v>
      </c>
      <c r="C3407" s="22">
        <v>2023</v>
      </c>
      <c r="D3407" t="s">
        <v>102</v>
      </c>
      <c r="E3407" t="s">
        <v>35</v>
      </c>
      <c r="F3407" t="str">
        <f>VLOOKUP(G3407,PC!B:D,2,FALSE)</f>
        <v>COMIDA</v>
      </c>
      <c r="G3407" s="4" t="s">
        <v>38</v>
      </c>
      <c r="H3407" s="1">
        <v>300</v>
      </c>
    </row>
    <row r="3408" spans="2:8" x14ac:dyDescent="0.2">
      <c r="B3408" t="str">
        <f>VLOOKUP(G3408,PC!B:D,3,FALSE)</f>
        <v>CPV</v>
      </c>
      <c r="C3408" s="22">
        <v>2023</v>
      </c>
      <c r="D3408" t="s">
        <v>102</v>
      </c>
      <c r="E3408" t="s">
        <v>35</v>
      </c>
      <c r="F3408" t="str">
        <f>VLOOKUP(G3408,PC!B:D,2,FALSE)</f>
        <v>OUTROS</v>
      </c>
      <c r="G3408" s="4" t="s">
        <v>37</v>
      </c>
      <c r="H3408" s="1">
        <f>1350.32-H3407</f>
        <v>1050.32</v>
      </c>
    </row>
    <row r="3409" spans="2:8" x14ac:dyDescent="0.2">
      <c r="B3409" t="str">
        <f>VLOOKUP(G3409,PC!B:D,3,FALSE)</f>
        <v>CPV</v>
      </c>
      <c r="C3409" s="22">
        <v>2023</v>
      </c>
      <c r="D3409" t="s">
        <v>102</v>
      </c>
      <c r="E3409" t="s">
        <v>49</v>
      </c>
      <c r="F3409" t="str">
        <f>VLOOKUP(G3409,PC!B:D,2,FALSE)</f>
        <v>CIGARRO</v>
      </c>
      <c r="G3409" s="4" t="s">
        <v>52</v>
      </c>
      <c r="H3409" s="1">
        <v>5309.38</v>
      </c>
    </row>
    <row r="3410" spans="2:8" x14ac:dyDescent="0.2">
      <c r="B3410" t="str">
        <f>VLOOKUP(G3410,PC!B:D,3,FALSE)</f>
        <v>CPV</v>
      </c>
      <c r="C3410" s="22">
        <v>2023</v>
      </c>
      <c r="D3410" t="s">
        <v>102</v>
      </c>
      <c r="E3410" t="s">
        <v>14</v>
      </c>
      <c r="F3410" t="str">
        <f>VLOOKUP(G3410,PC!B:D,2,FALSE)</f>
        <v>BEBIDAS</v>
      </c>
      <c r="G3410" s="4" t="s">
        <v>46</v>
      </c>
      <c r="H3410" s="1">
        <v>477.18</v>
      </c>
    </row>
    <row r="3411" spans="2:8" x14ac:dyDescent="0.2">
      <c r="B3411" t="str">
        <f>VLOOKUP(G3411,PC!B:D,3,FALSE)</f>
        <v>CPV</v>
      </c>
      <c r="C3411" s="22">
        <v>2023</v>
      </c>
      <c r="D3411" t="s">
        <v>102</v>
      </c>
      <c r="E3411" t="s">
        <v>28</v>
      </c>
      <c r="F3411" t="str">
        <f>VLOOKUP(G3411,PC!B:D,2,FALSE)</f>
        <v>BEBIDAS</v>
      </c>
      <c r="G3411" s="4" t="s">
        <v>26</v>
      </c>
      <c r="H3411" s="1">
        <v>4173.09</v>
      </c>
    </row>
    <row r="3412" spans="2:8" x14ac:dyDescent="0.2">
      <c r="B3412" t="str">
        <f>VLOOKUP(G3412,PC!B:D,3,FALSE)</f>
        <v>CPV</v>
      </c>
      <c r="C3412" s="22">
        <v>2023</v>
      </c>
      <c r="D3412" t="s">
        <v>102</v>
      </c>
      <c r="E3412" t="s">
        <v>28</v>
      </c>
      <c r="F3412" t="str">
        <f>VLOOKUP(G3412,PC!B:D,2,FALSE)</f>
        <v>BEBIDAS</v>
      </c>
      <c r="G3412" s="4" t="s">
        <v>26</v>
      </c>
      <c r="H3412" s="1">
        <v>212.84</v>
      </c>
    </row>
    <row r="3413" spans="2:8" x14ac:dyDescent="0.2">
      <c r="B3413" t="str">
        <f>VLOOKUP(G3413,PC!B:D,3,FALSE)</f>
        <v>CPV</v>
      </c>
      <c r="C3413" s="22">
        <v>2023</v>
      </c>
      <c r="D3413" t="s">
        <v>102</v>
      </c>
      <c r="E3413" t="s">
        <v>101</v>
      </c>
      <c r="F3413" t="str">
        <f>VLOOKUP(G3413,PC!B:D,2,FALSE)</f>
        <v>COMIDA</v>
      </c>
      <c r="G3413" s="4" t="s">
        <v>34</v>
      </c>
      <c r="H3413" s="1">
        <v>474.36</v>
      </c>
    </row>
    <row r="3414" spans="2:8" x14ac:dyDescent="0.2">
      <c r="B3414" t="str">
        <f>VLOOKUP(G3414,PC!B:D,3,FALSE)</f>
        <v>CPV</v>
      </c>
      <c r="C3414" s="22">
        <v>2023</v>
      </c>
      <c r="D3414" t="s">
        <v>102</v>
      </c>
      <c r="E3414" t="s">
        <v>14</v>
      </c>
      <c r="F3414" t="str">
        <f>VLOOKUP(G3414,PC!B:D,2,FALSE)</f>
        <v>BEBIDAS</v>
      </c>
      <c r="G3414" s="4" t="s">
        <v>25</v>
      </c>
      <c r="H3414" s="1">
        <v>1358.34</v>
      </c>
    </row>
    <row r="3415" spans="2:8" x14ac:dyDescent="0.2">
      <c r="B3415" t="str">
        <f>VLOOKUP(G3415,PC!B:D,3,FALSE)</f>
        <v>CPV</v>
      </c>
      <c r="C3415" s="22">
        <v>2023</v>
      </c>
      <c r="D3415" t="s">
        <v>102</v>
      </c>
      <c r="E3415" t="s">
        <v>30</v>
      </c>
      <c r="F3415" t="str">
        <f>VLOOKUP(G3415,PC!B:D,2,FALSE)</f>
        <v>SOBREMESA</v>
      </c>
      <c r="G3415" s="4" t="s">
        <v>23</v>
      </c>
      <c r="H3415" s="1">
        <v>224.32</v>
      </c>
    </row>
    <row r="3416" spans="2:8" x14ac:dyDescent="0.2">
      <c r="B3416" t="str">
        <f>VLOOKUP(G3416,PC!B:D,3,FALSE)</f>
        <v>CPV</v>
      </c>
      <c r="C3416" s="22">
        <v>2023</v>
      </c>
      <c r="D3416" t="s">
        <v>102</v>
      </c>
      <c r="E3416" t="s">
        <v>30</v>
      </c>
      <c r="F3416" t="str">
        <f>VLOOKUP(G3416,PC!B:D,2,FALSE)</f>
        <v>SOBREMESA</v>
      </c>
      <c r="G3416" s="4" t="s">
        <v>8</v>
      </c>
      <c r="H3416" s="1">
        <v>351.36</v>
      </c>
    </row>
    <row r="3417" spans="2:8" x14ac:dyDescent="0.2">
      <c r="B3417" t="str">
        <f>VLOOKUP(G3417,PC!B:D,3,FALSE)</f>
        <v>CPV</v>
      </c>
      <c r="C3417" s="22">
        <v>2023</v>
      </c>
      <c r="D3417" t="s">
        <v>102</v>
      </c>
      <c r="E3417" t="s">
        <v>165</v>
      </c>
      <c r="F3417" t="str">
        <f>VLOOKUP(G3417,PC!B:D,2,FALSE)</f>
        <v>COMIDA</v>
      </c>
      <c r="G3417" s="4" t="s">
        <v>33</v>
      </c>
      <c r="H3417" s="1">
        <v>1018.84</v>
      </c>
    </row>
    <row r="3418" spans="2:8" x14ac:dyDescent="0.2">
      <c r="B3418" t="str">
        <f>VLOOKUP(G3418,PC!B:D,3,FALSE)</f>
        <v>CPV</v>
      </c>
      <c r="C3418" s="22">
        <v>2023</v>
      </c>
      <c r="D3418" t="s">
        <v>102</v>
      </c>
      <c r="E3418" t="s">
        <v>165</v>
      </c>
      <c r="F3418" t="str">
        <f>VLOOKUP(G3418,PC!B:D,2,FALSE)</f>
        <v>COMIDA</v>
      </c>
      <c r="G3418" s="4" t="s">
        <v>33</v>
      </c>
      <c r="H3418" s="1">
        <v>95.34</v>
      </c>
    </row>
    <row r="3419" spans="2:8" x14ac:dyDescent="0.2">
      <c r="B3419" t="str">
        <f>VLOOKUP(G3419,PC!B:D,3,FALSE)</f>
        <v>CPV</v>
      </c>
      <c r="C3419" s="22">
        <v>2023</v>
      </c>
      <c r="D3419" t="s">
        <v>102</v>
      </c>
      <c r="E3419" t="s">
        <v>19</v>
      </c>
      <c r="F3419" t="str">
        <f>VLOOKUP(G3419,PC!B:D,2,FALSE)</f>
        <v>COMIDA</v>
      </c>
      <c r="G3419" s="4" t="s">
        <v>145</v>
      </c>
      <c r="H3419" s="1">
        <v>358.65</v>
      </c>
    </row>
    <row r="3420" spans="2:8" x14ac:dyDescent="0.2">
      <c r="B3420" t="str">
        <f>VLOOKUP(G3420,PC!B:D,3,FALSE)</f>
        <v>CPV</v>
      </c>
      <c r="C3420" s="22">
        <v>2023</v>
      </c>
      <c r="D3420" t="s">
        <v>102</v>
      </c>
      <c r="E3420" t="s">
        <v>35</v>
      </c>
      <c r="F3420" t="str">
        <f>VLOOKUP(G3420,PC!B:D,2,FALSE)</f>
        <v>OUTROS</v>
      </c>
      <c r="G3420" s="4" t="s">
        <v>37</v>
      </c>
      <c r="H3420" s="1">
        <v>519.41</v>
      </c>
    </row>
    <row r="3421" spans="2:8" x14ac:dyDescent="0.2">
      <c r="B3421" t="str">
        <f>VLOOKUP(G3421,PC!B:D,3,FALSE)</f>
        <v>CPV</v>
      </c>
      <c r="C3421" s="22">
        <v>2023</v>
      </c>
      <c r="D3421" t="s">
        <v>102</v>
      </c>
      <c r="E3421" t="s">
        <v>27</v>
      </c>
      <c r="F3421" t="str">
        <f>VLOOKUP(G3421,PC!B:D,2,FALSE)</f>
        <v>COMIDA</v>
      </c>
      <c r="G3421" s="4" t="s">
        <v>12</v>
      </c>
      <c r="H3421" s="1">
        <v>213.24</v>
      </c>
    </row>
    <row r="3422" spans="2:8" x14ac:dyDescent="0.2">
      <c r="B3422" t="str">
        <f>VLOOKUP(G3422,PC!B:D,3,FALSE)</f>
        <v>CPV</v>
      </c>
      <c r="C3422" s="22">
        <v>2023</v>
      </c>
      <c r="D3422" t="s">
        <v>102</v>
      </c>
      <c r="E3422" t="s">
        <v>21</v>
      </c>
      <c r="F3422" t="str">
        <f>VLOOKUP(G3422,PC!B:D,2,FALSE)</f>
        <v>SOBREMESA</v>
      </c>
      <c r="G3422" s="4" t="s">
        <v>23</v>
      </c>
      <c r="H3422" s="1">
        <v>256.31</v>
      </c>
    </row>
    <row r="3423" spans="2:8" x14ac:dyDescent="0.2">
      <c r="B3423" t="str">
        <f>VLOOKUP(G3423,PC!B:D,3,FALSE)</f>
        <v>CPV</v>
      </c>
      <c r="C3423" s="22">
        <v>2023</v>
      </c>
      <c r="D3423" t="s">
        <v>102</v>
      </c>
      <c r="E3423" t="s">
        <v>16</v>
      </c>
      <c r="F3423" t="str">
        <f>VLOOKUP(G3423,PC!B:D,2,FALSE)</f>
        <v>COMIDA</v>
      </c>
      <c r="G3423" s="4" t="s">
        <v>12</v>
      </c>
      <c r="H3423" s="1">
        <v>421.46</v>
      </c>
    </row>
    <row r="3424" spans="2:8" x14ac:dyDescent="0.2">
      <c r="B3424" t="str">
        <f>VLOOKUP(G3424,PC!B:D,3,FALSE)</f>
        <v>CPV</v>
      </c>
      <c r="C3424" s="22">
        <v>2023</v>
      </c>
      <c r="D3424" t="s">
        <v>102</v>
      </c>
      <c r="E3424" t="s">
        <v>16</v>
      </c>
      <c r="F3424" t="str">
        <f>VLOOKUP(G3424,PC!B:D,2,FALSE)</f>
        <v>COMIDA</v>
      </c>
      <c r="G3424" s="4" t="s">
        <v>12</v>
      </c>
      <c r="H3424" s="1">
        <v>288.88</v>
      </c>
    </row>
    <row r="3425" spans="2:8" x14ac:dyDescent="0.2">
      <c r="B3425" t="str">
        <f>VLOOKUP(G3425,PC!B:D,3,FALSE)</f>
        <v>CPV</v>
      </c>
      <c r="C3425" s="22">
        <v>2023</v>
      </c>
      <c r="D3425" t="s">
        <v>102</v>
      </c>
      <c r="E3425" t="s">
        <v>129</v>
      </c>
      <c r="F3425" t="str">
        <f>VLOOKUP(G3425,PC!B:D,2,FALSE)</f>
        <v>BEBIDAS</v>
      </c>
      <c r="G3425" s="4" t="s">
        <v>48</v>
      </c>
      <c r="H3425" s="1">
        <v>162</v>
      </c>
    </row>
    <row r="3426" spans="2:8" x14ac:dyDescent="0.2">
      <c r="B3426" t="str">
        <f>VLOOKUP(G3426,PC!B:D,3,FALSE)</f>
        <v>CPV</v>
      </c>
      <c r="C3426" s="22">
        <v>2023</v>
      </c>
      <c r="D3426" t="s">
        <v>102</v>
      </c>
      <c r="E3426" t="s">
        <v>24</v>
      </c>
      <c r="F3426" t="str">
        <f>VLOOKUP(G3426,PC!B:D,2,FALSE)</f>
        <v>COMIDA</v>
      </c>
      <c r="G3426" s="4" t="s">
        <v>33</v>
      </c>
      <c r="H3426" s="1">
        <v>100.53</v>
      </c>
    </row>
    <row r="3427" spans="2:8" x14ac:dyDescent="0.2">
      <c r="B3427" t="str">
        <f>VLOOKUP(G3427,PC!B:D,3,FALSE)</f>
        <v>CPV</v>
      </c>
      <c r="C3427" s="22">
        <v>2023</v>
      </c>
      <c r="D3427" t="s">
        <v>102</v>
      </c>
      <c r="E3427" t="s">
        <v>45</v>
      </c>
      <c r="F3427" t="str">
        <f>VLOOKUP(G3427,PC!B:D,2,FALSE)</f>
        <v>SOBREMESA</v>
      </c>
      <c r="G3427" s="4" t="s">
        <v>47</v>
      </c>
      <c r="H3427" s="1">
        <v>200</v>
      </c>
    </row>
    <row r="3428" spans="2:8" x14ac:dyDescent="0.2">
      <c r="B3428" t="str">
        <f>VLOOKUP(G3428,PC!B:D,3,FALSE)</f>
        <v>CPV</v>
      </c>
      <c r="C3428" s="22">
        <v>2023</v>
      </c>
      <c r="D3428" t="s">
        <v>102</v>
      </c>
      <c r="E3428" t="s">
        <v>45</v>
      </c>
      <c r="F3428" t="str">
        <f>VLOOKUP(G3428,PC!B:D,2,FALSE)</f>
        <v>BEBIDAS</v>
      </c>
      <c r="G3428" s="4" t="s">
        <v>46</v>
      </c>
      <c r="H3428" s="1">
        <v>280.51</v>
      </c>
    </row>
    <row r="3429" spans="2:8" x14ac:dyDescent="0.2">
      <c r="B3429" t="str">
        <f>VLOOKUP(G3429,PC!B:D,3,FALSE)</f>
        <v>CPV</v>
      </c>
      <c r="C3429" s="22">
        <v>2023</v>
      </c>
      <c r="D3429" t="s">
        <v>102</v>
      </c>
      <c r="E3429" t="s">
        <v>211</v>
      </c>
      <c r="F3429" t="str">
        <f>VLOOKUP(G3429,PC!B:D,2,FALSE)</f>
        <v>BEBIDAS</v>
      </c>
      <c r="G3429" s="4" t="s">
        <v>26</v>
      </c>
      <c r="H3429" s="1">
        <v>326.55</v>
      </c>
    </row>
    <row r="3430" spans="2:8" x14ac:dyDescent="0.2">
      <c r="B3430" t="str">
        <f>VLOOKUP(G3430,PC!B:D,3,FALSE)</f>
        <v>CPV</v>
      </c>
      <c r="C3430" s="22">
        <v>2023</v>
      </c>
      <c r="D3430" t="s">
        <v>102</v>
      </c>
      <c r="E3430" t="s">
        <v>20</v>
      </c>
      <c r="F3430" t="str">
        <f>VLOOKUP(G3430,PC!B:D,2,FALSE)</f>
        <v>COMIDA</v>
      </c>
      <c r="G3430" s="4" t="s">
        <v>29</v>
      </c>
      <c r="H3430" s="1">
        <v>57.8</v>
      </c>
    </row>
    <row r="3431" spans="2:8" x14ac:dyDescent="0.2">
      <c r="B3431" t="str">
        <f>VLOOKUP(G3431,PC!B:D,3,FALSE)</f>
        <v>CPV</v>
      </c>
      <c r="C3431" s="22">
        <v>2023</v>
      </c>
      <c r="D3431" t="s">
        <v>102</v>
      </c>
      <c r="E3431" t="s">
        <v>156</v>
      </c>
      <c r="F3431" t="str">
        <f>VLOOKUP(G3431,PC!B:D,2,FALSE)</f>
        <v>BEBIDAS</v>
      </c>
      <c r="G3431" s="4" t="s">
        <v>41</v>
      </c>
      <c r="H3431" s="1">
        <v>58.42</v>
      </c>
    </row>
    <row r="3432" spans="2:8" x14ac:dyDescent="0.2">
      <c r="B3432" t="str">
        <f>VLOOKUP(G3432,PC!B:D,3,FALSE)</f>
        <v>CPV</v>
      </c>
      <c r="C3432" s="22">
        <v>2023</v>
      </c>
      <c r="D3432" t="s">
        <v>102</v>
      </c>
      <c r="E3432" t="s">
        <v>49</v>
      </c>
      <c r="F3432" t="str">
        <f>VLOOKUP(G3432,PC!B:D,2,FALSE)</f>
        <v>CIGARRO</v>
      </c>
      <c r="G3432" s="4" t="s">
        <v>52</v>
      </c>
      <c r="H3432" s="1">
        <v>6455.94</v>
      </c>
    </row>
    <row r="3433" spans="2:8" x14ac:dyDescent="0.2">
      <c r="B3433" t="str">
        <f>VLOOKUP(G3433,PC!B:D,3,FALSE)</f>
        <v>CPV</v>
      </c>
      <c r="C3433" s="22">
        <v>2023</v>
      </c>
      <c r="D3433" t="s">
        <v>102</v>
      </c>
      <c r="E3433" t="s">
        <v>45</v>
      </c>
      <c r="F3433" t="str">
        <f>VLOOKUP(G3433,PC!B:D,2,FALSE)</f>
        <v>LIMPEZA</v>
      </c>
      <c r="G3433" s="4" t="s">
        <v>43</v>
      </c>
      <c r="H3433" s="1">
        <v>200</v>
      </c>
    </row>
    <row r="3434" spans="2:8" x14ac:dyDescent="0.2">
      <c r="B3434" t="str">
        <f>VLOOKUP(G3434,PC!B:D,3,FALSE)</f>
        <v>CPV</v>
      </c>
      <c r="C3434" s="22">
        <v>2023</v>
      </c>
      <c r="D3434" t="s">
        <v>102</v>
      </c>
      <c r="E3434" t="s">
        <v>45</v>
      </c>
      <c r="F3434" t="str">
        <f>VLOOKUP(G3434,PC!B:D,2,FALSE)</f>
        <v>HIGIENE</v>
      </c>
      <c r="G3434" s="4" t="s">
        <v>36</v>
      </c>
      <c r="H3434" s="1">
        <v>200</v>
      </c>
    </row>
    <row r="3435" spans="2:8" x14ac:dyDescent="0.2">
      <c r="B3435" t="str">
        <f>VLOOKUP(G3435,PC!B:D,3,FALSE)</f>
        <v>CPV</v>
      </c>
      <c r="C3435" s="22">
        <v>2023</v>
      </c>
      <c r="D3435" t="s">
        <v>102</v>
      </c>
      <c r="E3435" t="s">
        <v>45</v>
      </c>
      <c r="F3435" t="str">
        <f>VLOOKUP(G3435,PC!B:D,2,FALSE)</f>
        <v>BEBIDAS</v>
      </c>
      <c r="G3435" s="4" t="s">
        <v>61</v>
      </c>
      <c r="H3435" s="1">
        <v>303.13</v>
      </c>
    </row>
    <row r="3436" spans="2:8" x14ac:dyDescent="0.2">
      <c r="B3436" t="str">
        <f>VLOOKUP(G3436,PC!B:D,3,FALSE)</f>
        <v>CPV</v>
      </c>
      <c r="C3436" s="22">
        <v>2023</v>
      </c>
      <c r="D3436" t="s">
        <v>102</v>
      </c>
      <c r="E3436" t="s">
        <v>163</v>
      </c>
      <c r="F3436" t="str">
        <f>VLOOKUP(G3436,PC!B:D,2,FALSE)</f>
        <v>LIMPEZA</v>
      </c>
      <c r="G3436" s="4" t="s">
        <v>43</v>
      </c>
      <c r="H3436" s="1">
        <v>469.48</v>
      </c>
    </row>
    <row r="3437" spans="2:8" x14ac:dyDescent="0.2">
      <c r="B3437" t="str">
        <f>VLOOKUP(G3437,PC!B:D,3,FALSE)</f>
        <v>CPV</v>
      </c>
      <c r="C3437" s="22">
        <v>2023</v>
      </c>
      <c r="D3437" t="s">
        <v>102</v>
      </c>
      <c r="E3437" t="s">
        <v>14</v>
      </c>
      <c r="F3437" t="str">
        <f>VLOOKUP(G3437,PC!B:D,2,FALSE)</f>
        <v>BEBIDAS</v>
      </c>
      <c r="G3437" s="4" t="s">
        <v>25</v>
      </c>
      <c r="H3437" s="1">
        <v>464.83</v>
      </c>
    </row>
    <row r="3438" spans="2:8" x14ac:dyDescent="0.2">
      <c r="B3438" t="str">
        <f>VLOOKUP(G3438,PC!B:D,3,FALSE)</f>
        <v>CPV</v>
      </c>
      <c r="C3438" s="22">
        <v>2023</v>
      </c>
      <c r="D3438" t="s">
        <v>102</v>
      </c>
      <c r="E3438" t="s">
        <v>40</v>
      </c>
      <c r="F3438" t="str">
        <f>VLOOKUP(G3438,PC!B:D,2,FALSE)</f>
        <v>BEBIDAS</v>
      </c>
      <c r="G3438" s="4" t="s">
        <v>26</v>
      </c>
      <c r="H3438" s="1">
        <v>1875.8</v>
      </c>
    </row>
    <row r="3439" spans="2:8" x14ac:dyDescent="0.2">
      <c r="B3439" t="str">
        <f>VLOOKUP(G3439,PC!B:D,3,FALSE)</f>
        <v>CPV</v>
      </c>
      <c r="C3439" s="22">
        <v>2023</v>
      </c>
      <c r="D3439" t="s">
        <v>102</v>
      </c>
      <c r="E3439" t="s">
        <v>129</v>
      </c>
      <c r="F3439" t="str">
        <f>VLOOKUP(G3439,PC!B:D,2,FALSE)</f>
        <v>COMIDA</v>
      </c>
      <c r="G3439" s="4" t="s">
        <v>18</v>
      </c>
      <c r="H3439" s="1">
        <v>73.849999999999994</v>
      </c>
    </row>
    <row r="3440" spans="2:8" x14ac:dyDescent="0.2">
      <c r="B3440" t="str">
        <f>VLOOKUP(G3440,PC!B:D,3,FALSE)</f>
        <v>CPV</v>
      </c>
      <c r="C3440" s="22">
        <v>2023</v>
      </c>
      <c r="D3440" t="s">
        <v>102</v>
      </c>
      <c r="E3440" t="s">
        <v>28</v>
      </c>
      <c r="F3440" t="str">
        <f>VLOOKUP(G3440,PC!B:D,2,FALSE)</f>
        <v>BEBIDAS</v>
      </c>
      <c r="G3440" s="4" t="s">
        <v>26</v>
      </c>
      <c r="H3440" s="1">
        <v>6484.1</v>
      </c>
    </row>
    <row r="3441" spans="2:9" x14ac:dyDescent="0.2">
      <c r="B3441" t="str">
        <f>VLOOKUP(G3441,PC!B:D,3,FALSE)</f>
        <v>INVESTIMENTO</v>
      </c>
      <c r="C3441" s="22">
        <v>2023</v>
      </c>
      <c r="D3441" t="s">
        <v>102</v>
      </c>
      <c r="E3441" t="s">
        <v>28</v>
      </c>
      <c r="F3441" t="str">
        <f>VLOOKUP(G3441,PC!B:D,2,FALSE)</f>
        <v>INVESTIMENTO</v>
      </c>
      <c r="G3441" s="4" t="s">
        <v>130</v>
      </c>
      <c r="H3441" s="1">
        <v>180.05</v>
      </c>
      <c r="I3441" s="7" t="s">
        <v>218</v>
      </c>
    </row>
    <row r="3442" spans="2:9" x14ac:dyDescent="0.2">
      <c r="B3442" t="str">
        <f>VLOOKUP(G3442,PC!B:D,3,FALSE)</f>
        <v>CPV</v>
      </c>
      <c r="C3442" s="22">
        <v>2023</v>
      </c>
      <c r="D3442" t="s">
        <v>102</v>
      </c>
      <c r="E3442" t="s">
        <v>14</v>
      </c>
      <c r="F3442" t="str">
        <f>VLOOKUP(G3442,PC!B:D,2,FALSE)</f>
        <v>BEBIDAS</v>
      </c>
      <c r="G3442" s="4" t="s">
        <v>25</v>
      </c>
      <c r="H3442" s="1">
        <v>121.82</v>
      </c>
    </row>
    <row r="3443" spans="2:9" x14ac:dyDescent="0.2">
      <c r="B3443" t="str">
        <f>VLOOKUP(G3443,PC!B:D,3,FALSE)</f>
        <v>CPV</v>
      </c>
      <c r="C3443" s="22">
        <v>2023</v>
      </c>
      <c r="D3443" t="s">
        <v>102</v>
      </c>
      <c r="E3443" t="s">
        <v>14</v>
      </c>
      <c r="F3443" t="str">
        <f>VLOOKUP(G3443,PC!B:D,2,FALSE)</f>
        <v>BEBIDAS</v>
      </c>
      <c r="G3443" s="4" t="s">
        <v>25</v>
      </c>
      <c r="H3443" s="1">
        <v>569.33000000000004</v>
      </c>
    </row>
    <row r="3444" spans="2:9" x14ac:dyDescent="0.2">
      <c r="B3444" t="str">
        <f>VLOOKUP(G3444,PC!B:D,3,FALSE)</f>
        <v>CPV</v>
      </c>
      <c r="C3444" s="22">
        <v>2023</v>
      </c>
      <c r="D3444" t="s">
        <v>102</v>
      </c>
      <c r="E3444" t="s">
        <v>14</v>
      </c>
      <c r="F3444" t="str">
        <f>VLOOKUP(G3444,PC!B:D,2,FALSE)</f>
        <v>BEBIDAS</v>
      </c>
      <c r="G3444" s="4" t="s">
        <v>25</v>
      </c>
      <c r="H3444" s="1">
        <v>883.87</v>
      </c>
    </row>
    <row r="3445" spans="2:9" x14ac:dyDescent="0.2">
      <c r="B3445" t="str">
        <f>VLOOKUP(G3445,PC!B:D,3,FALSE)</f>
        <v>CPV</v>
      </c>
      <c r="C3445" s="22">
        <v>2023</v>
      </c>
      <c r="D3445" t="s">
        <v>102</v>
      </c>
      <c r="E3445" t="s">
        <v>24</v>
      </c>
      <c r="F3445" t="str">
        <f>VLOOKUP(G3445,PC!B:D,2,FALSE)</f>
        <v>COMIDA</v>
      </c>
      <c r="G3445" s="4" t="s">
        <v>33</v>
      </c>
      <c r="H3445" s="1">
        <v>369.93</v>
      </c>
    </row>
    <row r="3446" spans="2:9" x14ac:dyDescent="0.2">
      <c r="B3446" t="str">
        <f>VLOOKUP(G3446,PC!B:D,3,FALSE)</f>
        <v>CPV</v>
      </c>
      <c r="C3446" s="22">
        <v>2023</v>
      </c>
      <c r="D3446" t="s">
        <v>102</v>
      </c>
      <c r="E3446" t="s">
        <v>95</v>
      </c>
      <c r="F3446" t="str">
        <f>VLOOKUP(G3446,PC!B:D,2,FALSE)</f>
        <v>BEBIDAS</v>
      </c>
      <c r="G3446" s="4" t="s">
        <v>144</v>
      </c>
      <c r="H3446" s="1">
        <v>476.35</v>
      </c>
    </row>
    <row r="3447" spans="2:9" x14ac:dyDescent="0.2">
      <c r="B3447" t="str">
        <f>VLOOKUP(G3447,PC!B:D,3,FALSE)</f>
        <v>CPV</v>
      </c>
      <c r="C3447" s="22">
        <v>2023</v>
      </c>
      <c r="D3447" t="s">
        <v>102</v>
      </c>
      <c r="E3447" t="s">
        <v>129</v>
      </c>
      <c r="F3447" t="str">
        <f>VLOOKUP(G3447,PC!B:D,2,FALSE)</f>
        <v>OUTROS</v>
      </c>
      <c r="G3447" s="4" t="s">
        <v>37</v>
      </c>
      <c r="H3447" s="1">
        <v>401.73</v>
      </c>
    </row>
    <row r="3448" spans="2:9" x14ac:dyDescent="0.2">
      <c r="B3448" t="str">
        <f>VLOOKUP(G3448,PC!B:D,3,FALSE)</f>
        <v>CPV</v>
      </c>
      <c r="C3448" s="22">
        <v>2023</v>
      </c>
      <c r="D3448" t="s">
        <v>102</v>
      </c>
      <c r="E3448" t="s">
        <v>21</v>
      </c>
      <c r="F3448" t="str">
        <f>VLOOKUP(G3448,PC!B:D,2,FALSE)</f>
        <v>SOBREMESA</v>
      </c>
      <c r="G3448" s="4" t="s">
        <v>23</v>
      </c>
      <c r="H3448" s="1">
        <v>256.83999999999997</v>
      </c>
    </row>
    <row r="3449" spans="2:9" x14ac:dyDescent="0.2">
      <c r="B3449" t="str">
        <f>VLOOKUP(G3449,PC!B:D,3,FALSE)</f>
        <v>CPV</v>
      </c>
      <c r="C3449" s="22">
        <v>2023</v>
      </c>
      <c r="D3449" t="s">
        <v>102</v>
      </c>
      <c r="E3449" t="s">
        <v>211</v>
      </c>
      <c r="F3449" t="str">
        <f>VLOOKUP(G3449,PC!B:D,2,FALSE)</f>
        <v>BEBIDAS</v>
      </c>
      <c r="G3449" s="4" t="s">
        <v>26</v>
      </c>
      <c r="H3449" s="1">
        <v>709.95</v>
      </c>
    </row>
    <row r="3450" spans="2:9" x14ac:dyDescent="0.2">
      <c r="B3450" t="str">
        <f>VLOOKUP(G3450,PC!B:D,3,FALSE)</f>
        <v>CPV</v>
      </c>
      <c r="C3450" s="22">
        <v>2023</v>
      </c>
      <c r="D3450" t="s">
        <v>102</v>
      </c>
      <c r="E3450" t="s">
        <v>16</v>
      </c>
      <c r="F3450" t="str">
        <f>VLOOKUP(G3450,PC!B:D,2,FALSE)</f>
        <v>COMIDA</v>
      </c>
      <c r="G3450" s="4" t="s">
        <v>12</v>
      </c>
      <c r="H3450" s="1">
        <v>310.58999999999997</v>
      </c>
    </row>
    <row r="3451" spans="2:9" x14ac:dyDescent="0.2">
      <c r="B3451" t="str">
        <f>VLOOKUP(G3451,PC!B:D,3,FALSE)</f>
        <v>CPV</v>
      </c>
      <c r="C3451" s="22">
        <v>2023</v>
      </c>
      <c r="D3451" t="s">
        <v>102</v>
      </c>
      <c r="E3451" t="s">
        <v>19</v>
      </c>
      <c r="F3451" t="str">
        <f>VLOOKUP(G3451,PC!B:D,2,FALSE)</f>
        <v>COMIDA</v>
      </c>
      <c r="G3451" s="4" t="s">
        <v>38</v>
      </c>
      <c r="H3451" s="1">
        <v>385.81</v>
      </c>
    </row>
    <row r="3452" spans="2:9" x14ac:dyDescent="0.2">
      <c r="B3452" t="str">
        <f>VLOOKUP(G3452,PC!B:D,3,FALSE)</f>
        <v>CPV</v>
      </c>
      <c r="C3452" s="22">
        <v>2023</v>
      </c>
      <c r="D3452" t="s">
        <v>102</v>
      </c>
      <c r="E3452" t="s">
        <v>45</v>
      </c>
      <c r="F3452" t="str">
        <f>VLOOKUP(G3452,PC!B:D,2,FALSE)</f>
        <v>OUTROS</v>
      </c>
      <c r="G3452" s="4" t="s">
        <v>37</v>
      </c>
      <c r="H3452" s="1">
        <v>926.98</v>
      </c>
    </row>
    <row r="3453" spans="2:9" x14ac:dyDescent="0.2">
      <c r="B3453" t="str">
        <f>VLOOKUP(G3453,PC!B:D,3,FALSE)</f>
        <v>CPV</v>
      </c>
      <c r="C3453" s="22">
        <v>2023</v>
      </c>
      <c r="D3453" t="s">
        <v>102</v>
      </c>
      <c r="E3453" t="s">
        <v>129</v>
      </c>
      <c r="F3453" t="str">
        <f>VLOOKUP(G3453,PC!B:D,2,FALSE)</f>
        <v>COMIDA</v>
      </c>
      <c r="G3453" s="4" t="s">
        <v>145</v>
      </c>
      <c r="H3453" s="1">
        <v>71.2</v>
      </c>
    </row>
    <row r="3454" spans="2:9" x14ac:dyDescent="0.2">
      <c r="B3454" t="e">
        <f>VLOOKUP(G3454,PC!B:D,3,FALSE)</f>
        <v>#N/A</v>
      </c>
      <c r="C3454" s="22">
        <v>2023</v>
      </c>
      <c r="D3454" t="s">
        <v>102</v>
      </c>
      <c r="F3454" t="e">
        <f>VLOOKUP(G3454,PC!B:D,2,FALSE)</f>
        <v>#N/A</v>
      </c>
      <c r="G3454" s="4" t="s">
        <v>210</v>
      </c>
      <c r="H3454" s="1">
        <v>41.71</v>
      </c>
    </row>
    <row r="3455" spans="2:9" x14ac:dyDescent="0.2">
      <c r="B3455" t="str">
        <f>VLOOKUP(G3455,PC!B:D,3,FALSE)</f>
        <v>CPV</v>
      </c>
      <c r="C3455" s="22">
        <v>2023</v>
      </c>
      <c r="D3455" t="s">
        <v>102</v>
      </c>
      <c r="E3455" t="s">
        <v>129</v>
      </c>
      <c r="F3455" t="str">
        <f>VLOOKUP(G3455,PC!B:D,2,FALSE)</f>
        <v>COMIDA</v>
      </c>
      <c r="G3455" s="4" t="s">
        <v>155</v>
      </c>
      <c r="H3455" s="1">
        <v>255</v>
      </c>
    </row>
    <row r="3456" spans="2:9" x14ac:dyDescent="0.2">
      <c r="B3456" t="str">
        <f>VLOOKUP(G3456,PC!B:D,3,FALSE)</f>
        <v>CPV</v>
      </c>
      <c r="C3456" s="22">
        <v>2023</v>
      </c>
      <c r="D3456" t="s">
        <v>102</v>
      </c>
      <c r="E3456" t="s">
        <v>129</v>
      </c>
      <c r="F3456" t="str">
        <f>VLOOKUP(G3456,PC!B:D,2,FALSE)</f>
        <v>COMIDA</v>
      </c>
      <c r="G3456" s="4" t="s">
        <v>12</v>
      </c>
      <c r="H3456" s="1">
        <v>400</v>
      </c>
    </row>
    <row r="3457" spans="2:8" x14ac:dyDescent="0.2">
      <c r="B3457" t="str">
        <f>VLOOKUP(G3457,PC!B:D,3,FALSE)</f>
        <v>CPV</v>
      </c>
      <c r="C3457" s="22">
        <v>2023</v>
      </c>
      <c r="D3457" t="s">
        <v>102</v>
      </c>
      <c r="E3457" t="s">
        <v>129</v>
      </c>
      <c r="F3457" t="str">
        <f>VLOOKUP(G3457,PC!B:D,2,FALSE)</f>
        <v>SOBREMESA</v>
      </c>
      <c r="G3457" s="4" t="s">
        <v>7</v>
      </c>
      <c r="H3457" s="1">
        <v>249</v>
      </c>
    </row>
    <row r="3458" spans="2:8" x14ac:dyDescent="0.2">
      <c r="B3458" t="str">
        <f>VLOOKUP(G3458,PC!B:D,3,FALSE)</f>
        <v>CPV</v>
      </c>
      <c r="C3458" s="22">
        <v>2023</v>
      </c>
      <c r="D3458" t="s">
        <v>102</v>
      </c>
      <c r="E3458" t="s">
        <v>129</v>
      </c>
      <c r="F3458" t="str">
        <f>VLOOKUP(G3458,PC!B:D,2,FALSE)</f>
        <v>COMIDA</v>
      </c>
      <c r="G3458" s="4" t="s">
        <v>12</v>
      </c>
      <c r="H3458" s="1">
        <v>128</v>
      </c>
    </row>
    <row r="3459" spans="2:8" x14ac:dyDescent="0.2">
      <c r="B3459" t="str">
        <f>VLOOKUP(G3459,PC!B:D,3,FALSE)</f>
        <v>CPV</v>
      </c>
      <c r="C3459" s="22">
        <v>2023</v>
      </c>
      <c r="D3459" t="s">
        <v>102</v>
      </c>
      <c r="E3459" t="s">
        <v>129</v>
      </c>
      <c r="F3459" t="str">
        <f>VLOOKUP(G3459,PC!B:D,2,FALSE)</f>
        <v>OUTROS</v>
      </c>
      <c r="G3459" s="4" t="s">
        <v>58</v>
      </c>
      <c r="H3459" s="1">
        <v>150</v>
      </c>
    </row>
    <row r="3460" spans="2:8" x14ac:dyDescent="0.2">
      <c r="B3460" t="str">
        <f>VLOOKUP(G3460,PC!B:D,3,FALSE)</f>
        <v>CPV</v>
      </c>
      <c r="C3460" s="22">
        <v>2023</v>
      </c>
      <c r="D3460" t="s">
        <v>102</v>
      </c>
      <c r="E3460" t="s">
        <v>129</v>
      </c>
      <c r="F3460" t="str">
        <f>VLOOKUP(G3460,PC!B:D,2,FALSE)</f>
        <v>BEBIDAS</v>
      </c>
      <c r="G3460" s="4" t="s">
        <v>25</v>
      </c>
      <c r="H3460" s="1">
        <v>193.8</v>
      </c>
    </row>
    <row r="3461" spans="2:8" x14ac:dyDescent="0.2">
      <c r="B3461" t="str">
        <f>VLOOKUP(G3461,PC!B:D,3,FALSE)</f>
        <v>CPV</v>
      </c>
      <c r="C3461" s="22">
        <v>2023</v>
      </c>
      <c r="D3461" t="s">
        <v>102</v>
      </c>
      <c r="E3461" t="s">
        <v>129</v>
      </c>
      <c r="F3461" t="str">
        <f>VLOOKUP(G3461,PC!B:D,2,FALSE)</f>
        <v>SOBREMESA</v>
      </c>
      <c r="G3461" s="4" t="s">
        <v>7</v>
      </c>
      <c r="H3461" s="1">
        <v>85</v>
      </c>
    </row>
    <row r="3462" spans="2:8" x14ac:dyDescent="0.2">
      <c r="B3462" t="str">
        <f>VLOOKUP(G3462,PC!B:D,3,FALSE)</f>
        <v>CPV</v>
      </c>
      <c r="C3462" s="22">
        <v>2023</v>
      </c>
      <c r="D3462" t="s">
        <v>102</v>
      </c>
      <c r="E3462" t="s">
        <v>129</v>
      </c>
      <c r="F3462" t="str">
        <f>VLOOKUP(G3462,PC!B:D,2,FALSE)</f>
        <v>BEBIDAS</v>
      </c>
      <c r="G3462" s="4" t="s">
        <v>25</v>
      </c>
      <c r="H3462" s="1">
        <v>220</v>
      </c>
    </row>
    <row r="3463" spans="2:8" x14ac:dyDescent="0.2">
      <c r="B3463" t="str">
        <f>VLOOKUP(G3463,PC!B:D,3,FALSE)</f>
        <v>CPV</v>
      </c>
      <c r="C3463" s="22">
        <v>2023</v>
      </c>
      <c r="D3463" t="s">
        <v>102</v>
      </c>
      <c r="E3463" t="s">
        <v>77</v>
      </c>
      <c r="F3463" t="str">
        <f>VLOOKUP(G3463,PC!B:D,2,FALSE)</f>
        <v>OUTROS</v>
      </c>
      <c r="G3463" s="4" t="s">
        <v>37</v>
      </c>
      <c r="H3463" s="1">
        <v>738.73</v>
      </c>
    </row>
    <row r="3464" spans="2:8" x14ac:dyDescent="0.2">
      <c r="B3464" t="str">
        <f>VLOOKUP(G3464,PC!B:D,3,FALSE)</f>
        <v>CPV</v>
      </c>
      <c r="C3464" s="22">
        <v>2023</v>
      </c>
      <c r="D3464" t="s">
        <v>102</v>
      </c>
      <c r="E3464" t="s">
        <v>89</v>
      </c>
      <c r="F3464" t="str">
        <f>VLOOKUP(G3464,PC!B:D,2,FALSE)</f>
        <v>OUTROS</v>
      </c>
      <c r="G3464" s="4" t="s">
        <v>37</v>
      </c>
      <c r="H3464" s="1">
        <v>411.45</v>
      </c>
    </row>
    <row r="3465" spans="2:8" x14ac:dyDescent="0.2">
      <c r="B3465" t="str">
        <f>VLOOKUP(G3465,PC!B:D,3,FALSE)</f>
        <v>CPV</v>
      </c>
      <c r="C3465" s="22">
        <v>2023</v>
      </c>
      <c r="D3465" t="s">
        <v>102</v>
      </c>
      <c r="E3465" t="s">
        <v>129</v>
      </c>
      <c r="F3465" t="str">
        <f>VLOOKUP(G3465,PC!B:D,2,FALSE)</f>
        <v>CIGARRO</v>
      </c>
      <c r="G3465" s="4" t="s">
        <v>57</v>
      </c>
      <c r="H3465" s="1">
        <v>1130</v>
      </c>
    </row>
    <row r="3466" spans="2:8" x14ac:dyDescent="0.2">
      <c r="B3466" t="str">
        <f>VLOOKUP(G3466,PC!B:D,3,FALSE)</f>
        <v>CPV</v>
      </c>
      <c r="C3466" s="22">
        <v>2023</v>
      </c>
      <c r="D3466" t="s">
        <v>102</v>
      </c>
      <c r="E3466" t="s">
        <v>129</v>
      </c>
      <c r="F3466" t="str">
        <f>VLOOKUP(G3466,PC!B:D,2,FALSE)</f>
        <v>LIMPEZA</v>
      </c>
      <c r="G3466" s="4" t="s">
        <v>43</v>
      </c>
      <c r="H3466" s="1">
        <v>362.8</v>
      </c>
    </row>
    <row r="3467" spans="2:8" x14ac:dyDescent="0.2">
      <c r="B3467" t="str">
        <f>VLOOKUP(G3467,PC!B:D,3,FALSE)</f>
        <v>CPV</v>
      </c>
      <c r="C3467" s="22">
        <v>2023</v>
      </c>
      <c r="D3467" t="s">
        <v>102</v>
      </c>
      <c r="E3467" t="s">
        <v>129</v>
      </c>
      <c r="F3467" t="str">
        <f>VLOOKUP(G3467,PC!B:D,2,FALSE)</f>
        <v>COMIDA</v>
      </c>
      <c r="G3467" s="4" t="s">
        <v>145</v>
      </c>
      <c r="H3467" s="1">
        <v>44.4</v>
      </c>
    </row>
    <row r="3468" spans="2:8" x14ac:dyDescent="0.2">
      <c r="B3468" t="str">
        <f>VLOOKUP(G3468,PC!B:D,3,FALSE)</f>
        <v>CPV</v>
      </c>
      <c r="C3468" s="22">
        <v>2023</v>
      </c>
      <c r="D3468" t="s">
        <v>102</v>
      </c>
      <c r="E3468" t="s">
        <v>129</v>
      </c>
      <c r="F3468" t="str">
        <f>VLOOKUP(G3468,PC!B:D,2,FALSE)</f>
        <v>OUTROS</v>
      </c>
      <c r="G3468" s="4" t="s">
        <v>149</v>
      </c>
      <c r="H3468" s="1">
        <v>113.9</v>
      </c>
    </row>
    <row r="3469" spans="2:8" x14ac:dyDescent="0.2">
      <c r="B3469" t="str">
        <f>VLOOKUP(G3469,PC!B:D,3,FALSE)</f>
        <v>CPV</v>
      </c>
      <c r="C3469" s="22">
        <v>2023</v>
      </c>
      <c r="D3469" t="s">
        <v>102</v>
      </c>
      <c r="E3469" t="s">
        <v>129</v>
      </c>
      <c r="F3469" t="str">
        <f>VLOOKUP(G3469,PC!B:D,2,FALSE)</f>
        <v>BEBIDAS</v>
      </c>
      <c r="G3469" s="4" t="s">
        <v>39</v>
      </c>
      <c r="H3469" s="1">
        <v>105</v>
      </c>
    </row>
    <row r="3470" spans="2:8" x14ac:dyDescent="0.2">
      <c r="B3470" t="str">
        <f>VLOOKUP(G3470,PC!B:D,3,FALSE)</f>
        <v>CPV</v>
      </c>
      <c r="C3470" s="22">
        <v>2023</v>
      </c>
      <c r="D3470" t="s">
        <v>102</v>
      </c>
      <c r="E3470" t="s">
        <v>129</v>
      </c>
      <c r="F3470" t="str">
        <f>VLOOKUP(G3470,PC!B:D,2,FALSE)</f>
        <v>SOBREMESA</v>
      </c>
      <c r="G3470" s="4" t="s">
        <v>7</v>
      </c>
      <c r="H3470" s="1">
        <v>130</v>
      </c>
    </row>
    <row r="3471" spans="2:8" x14ac:dyDescent="0.2">
      <c r="B3471" t="str">
        <f>VLOOKUP(G3471,PC!B:D,3,FALSE)</f>
        <v>CPV</v>
      </c>
      <c r="C3471" s="22">
        <v>2023</v>
      </c>
      <c r="D3471" t="s">
        <v>102</v>
      </c>
      <c r="E3471" t="s">
        <v>129</v>
      </c>
      <c r="F3471" t="str">
        <f>VLOOKUP(G3471,PC!B:D,2,FALSE)</f>
        <v>COMIDA</v>
      </c>
      <c r="G3471" s="4" t="s">
        <v>12</v>
      </c>
      <c r="H3471" s="1">
        <v>500</v>
      </c>
    </row>
    <row r="3472" spans="2:8" x14ac:dyDescent="0.2">
      <c r="B3472" t="str">
        <f>VLOOKUP(G3472,PC!B:D,3,FALSE)</f>
        <v>CPV</v>
      </c>
      <c r="C3472" s="22">
        <v>2023</v>
      </c>
      <c r="D3472" t="s">
        <v>102</v>
      </c>
      <c r="E3472" t="s">
        <v>129</v>
      </c>
      <c r="F3472" t="str">
        <f>VLOOKUP(G3472,PC!B:D,2,FALSE)</f>
        <v>CIGARRO</v>
      </c>
      <c r="G3472" s="4" t="s">
        <v>53</v>
      </c>
      <c r="H3472" s="1">
        <v>1100</v>
      </c>
    </row>
    <row r="3473" spans="2:9" x14ac:dyDescent="0.2">
      <c r="B3473" t="str">
        <f>VLOOKUP(G3473,PC!B:D,3,FALSE)</f>
        <v>CPV</v>
      </c>
      <c r="C3473" s="22">
        <v>2023</v>
      </c>
      <c r="D3473" t="s">
        <v>102</v>
      </c>
      <c r="E3473" t="s">
        <v>129</v>
      </c>
      <c r="F3473" t="str">
        <f>VLOOKUP(G3473,PC!B:D,2,FALSE)</f>
        <v>BEBIDAS</v>
      </c>
      <c r="G3473" s="4" t="s">
        <v>48</v>
      </c>
      <c r="H3473" s="1">
        <v>184.8</v>
      </c>
    </row>
    <row r="3474" spans="2:9" x14ac:dyDescent="0.2">
      <c r="B3474" t="str">
        <f>VLOOKUP(G3474,PC!B:D,3,FALSE)</f>
        <v>CPV</v>
      </c>
      <c r="C3474" s="22">
        <v>2023</v>
      </c>
      <c r="D3474" t="s">
        <v>102</v>
      </c>
      <c r="E3474" t="s">
        <v>129</v>
      </c>
      <c r="F3474" t="str">
        <f>VLOOKUP(G3474,PC!B:D,2,FALSE)</f>
        <v>COMIDA</v>
      </c>
      <c r="G3474" s="4" t="s">
        <v>155</v>
      </c>
      <c r="H3474" s="1">
        <v>350</v>
      </c>
    </row>
    <row r="3475" spans="2:9" x14ac:dyDescent="0.2">
      <c r="B3475" t="str">
        <f>VLOOKUP(G3475,PC!B:D,3,FALSE)</f>
        <v>CPV</v>
      </c>
      <c r="C3475" s="22">
        <v>2023</v>
      </c>
      <c r="D3475" t="s">
        <v>102</v>
      </c>
      <c r="E3475" t="s">
        <v>129</v>
      </c>
      <c r="F3475" t="str">
        <f>VLOOKUP(G3475,PC!B:D,2,FALSE)</f>
        <v>OUTROS</v>
      </c>
      <c r="G3475" s="4" t="s">
        <v>37</v>
      </c>
      <c r="H3475" s="1">
        <v>328.91</v>
      </c>
    </row>
    <row r="3476" spans="2:9" x14ac:dyDescent="0.2">
      <c r="B3476" t="str">
        <f>VLOOKUP(G3476,PC!B:D,3,FALSE)</f>
        <v>CPV</v>
      </c>
      <c r="C3476" s="22">
        <v>2023</v>
      </c>
      <c r="D3476" t="s">
        <v>102</v>
      </c>
      <c r="E3476" t="s">
        <v>129</v>
      </c>
      <c r="F3476" t="str">
        <f>VLOOKUP(G3476,PC!B:D,2,FALSE)</f>
        <v>OUTROS</v>
      </c>
      <c r="G3476" s="4" t="s">
        <v>37</v>
      </c>
      <c r="H3476" s="1">
        <v>623.33000000000004</v>
      </c>
    </row>
    <row r="3477" spans="2:9" x14ac:dyDescent="0.2">
      <c r="B3477" t="str">
        <f>VLOOKUP(G3477,PC!B:D,3,FALSE)</f>
        <v>CPV</v>
      </c>
      <c r="C3477" s="22">
        <v>2023</v>
      </c>
      <c r="D3477" t="s">
        <v>102</v>
      </c>
      <c r="E3477" t="s">
        <v>129</v>
      </c>
      <c r="F3477" t="str">
        <f>VLOOKUP(G3477,PC!B:D,2,FALSE)</f>
        <v>COMIDA</v>
      </c>
      <c r="G3477" s="4" t="s">
        <v>22</v>
      </c>
      <c r="H3477" s="1">
        <v>75</v>
      </c>
    </row>
    <row r="3478" spans="2:9" x14ac:dyDescent="0.2">
      <c r="B3478" t="str">
        <f>VLOOKUP(G3478,PC!B:D,3,FALSE)</f>
        <v>CPV</v>
      </c>
      <c r="C3478" s="22">
        <v>2023</v>
      </c>
      <c r="D3478" t="s">
        <v>102</v>
      </c>
      <c r="E3478" t="s">
        <v>129</v>
      </c>
      <c r="F3478" t="str">
        <f>VLOOKUP(G3478,PC!B:D,2,FALSE)</f>
        <v>BEBIDAS</v>
      </c>
      <c r="G3478" s="4" t="s">
        <v>48</v>
      </c>
      <c r="H3478" s="1">
        <v>282.2</v>
      </c>
    </row>
    <row r="3479" spans="2:9" x14ac:dyDescent="0.2">
      <c r="B3479" t="str">
        <f>VLOOKUP(G3479,PC!B:D,3,FALSE)</f>
        <v>CPV</v>
      </c>
      <c r="C3479" s="22">
        <v>2023</v>
      </c>
      <c r="D3479" t="s">
        <v>102</v>
      </c>
      <c r="E3479" t="s">
        <v>129</v>
      </c>
      <c r="F3479" t="str">
        <f>VLOOKUP(G3479,PC!B:D,2,FALSE)</f>
        <v>SOBREMESA</v>
      </c>
      <c r="G3479" s="4" t="s">
        <v>7</v>
      </c>
      <c r="H3479" s="1">
        <v>82</v>
      </c>
    </row>
    <row r="3480" spans="2:9" x14ac:dyDescent="0.2">
      <c r="B3480" t="str">
        <f>VLOOKUP(G3480,PC!B:D,3,FALSE)</f>
        <v>CPV</v>
      </c>
      <c r="C3480" s="22">
        <v>2023</v>
      </c>
      <c r="D3480" t="s">
        <v>102</v>
      </c>
      <c r="E3480" t="s">
        <v>129</v>
      </c>
      <c r="F3480" t="str">
        <f>VLOOKUP(G3480,PC!B:D,2,FALSE)</f>
        <v>CIGARRO</v>
      </c>
      <c r="G3480" s="4" t="s">
        <v>57</v>
      </c>
      <c r="H3480" s="1">
        <v>1068</v>
      </c>
    </row>
    <row r="3481" spans="2:9" x14ac:dyDescent="0.2">
      <c r="B3481" t="str">
        <f>VLOOKUP(G3481,PC!B:D,3,FALSE)</f>
        <v>CPV</v>
      </c>
      <c r="C3481" s="22">
        <v>2023</v>
      </c>
      <c r="D3481" t="s">
        <v>102</v>
      </c>
      <c r="E3481" t="s">
        <v>129</v>
      </c>
      <c r="F3481" t="str">
        <f>VLOOKUP(G3481,PC!B:D,2,FALSE)</f>
        <v>SOBREMESA</v>
      </c>
      <c r="G3481" s="4" t="s">
        <v>7</v>
      </c>
      <c r="H3481" s="1">
        <v>82</v>
      </c>
    </row>
    <row r="3482" spans="2:9" x14ac:dyDescent="0.2">
      <c r="B3482" t="str">
        <f>VLOOKUP(G3482,PC!B:D,3,FALSE)</f>
        <v>DESPESA OPERACIONAL</v>
      </c>
      <c r="C3482" s="22">
        <v>2023</v>
      </c>
      <c r="D3482" t="s">
        <v>102</v>
      </c>
      <c r="F3482" t="str">
        <f>VLOOKUP(G3482,PC!B:D,2,FALSE)</f>
        <v>DESPESA OPERACIONAL</v>
      </c>
      <c r="G3482" s="4" t="s">
        <v>73</v>
      </c>
      <c r="H3482" s="1">
        <f>711.16+732.67+845.08</f>
        <v>2288.91</v>
      </c>
    </row>
    <row r="3483" spans="2:9" x14ac:dyDescent="0.2">
      <c r="B3483" t="str">
        <f>VLOOKUP(G3483,PC!B:D,3,FALSE)</f>
        <v>RECEITA</v>
      </c>
      <c r="C3483" s="22">
        <v>2023</v>
      </c>
      <c r="D3483" t="s">
        <v>102</v>
      </c>
      <c r="F3483" t="str">
        <f>VLOOKUP(G3483,PC!B:D,2,FALSE)</f>
        <v>RECEITA</v>
      </c>
      <c r="G3483" s="4" t="s">
        <v>64</v>
      </c>
      <c r="H3483" s="1">
        <f>19.42+16.83+16.34</f>
        <v>52.59</v>
      </c>
    </row>
    <row r="3484" spans="2:9" x14ac:dyDescent="0.2">
      <c r="B3484" t="str">
        <f>VLOOKUP(G3484,PC!B:D,3,FALSE)</f>
        <v>DESPESA PESSOAL</v>
      </c>
      <c r="C3484" s="22">
        <v>2023</v>
      </c>
      <c r="D3484" t="s">
        <v>102</v>
      </c>
      <c r="F3484" t="str">
        <f>VLOOKUP(G3484,PC!B:D,2,FALSE)</f>
        <v>DESPESA PESSOAL</v>
      </c>
      <c r="G3484" s="4" t="s">
        <v>56</v>
      </c>
      <c r="H3484" s="1">
        <v>60</v>
      </c>
      <c r="I3484" s="7" t="s">
        <v>219</v>
      </c>
    </row>
    <row r="3485" spans="2:9" x14ac:dyDescent="0.2">
      <c r="B3485" t="str">
        <f>VLOOKUP(G3485,PC!B:D,3,FALSE)</f>
        <v>SERV.TERCEIROS</v>
      </c>
      <c r="C3485" s="22">
        <v>2023</v>
      </c>
      <c r="D3485" t="s">
        <v>102</v>
      </c>
      <c r="F3485" t="str">
        <f>VLOOKUP(G3485,PC!B:D,2,FALSE)</f>
        <v>SERV.TERCEIROS</v>
      </c>
      <c r="G3485" s="4" t="s">
        <v>123</v>
      </c>
      <c r="H3485" s="1">
        <v>190</v>
      </c>
    </row>
    <row r="3486" spans="2:9" x14ac:dyDescent="0.2">
      <c r="B3486" t="str">
        <f>VLOOKUP(G3486,PC!B:D,3,FALSE)</f>
        <v>INVESTIMENTO</v>
      </c>
      <c r="C3486" s="22">
        <v>2023</v>
      </c>
      <c r="D3486" t="s">
        <v>102</v>
      </c>
      <c r="F3486" t="str">
        <f>VLOOKUP(G3486,PC!B:D,2,FALSE)</f>
        <v>INVESTIMENTO</v>
      </c>
      <c r="G3486" s="4" t="s">
        <v>130</v>
      </c>
      <c r="H3486" s="1">
        <v>250</v>
      </c>
      <c r="I3486" s="7" t="s">
        <v>123</v>
      </c>
    </row>
    <row r="3487" spans="2:9" x14ac:dyDescent="0.2">
      <c r="B3487" t="str">
        <f>VLOOKUP(G3487,PC!B:D,3,FALSE)</f>
        <v>CPV</v>
      </c>
      <c r="C3487" s="22">
        <v>2023</v>
      </c>
      <c r="D3487" t="s">
        <v>102</v>
      </c>
      <c r="E3487" t="s">
        <v>28</v>
      </c>
      <c r="F3487" t="str">
        <f>VLOOKUP(G3487,PC!B:D,2,FALSE)</f>
        <v>BEBIDAS</v>
      </c>
      <c r="G3487" s="4" t="s">
        <v>26</v>
      </c>
      <c r="H3487" s="1">
        <v>257.06</v>
      </c>
    </row>
    <row r="3488" spans="2:9" x14ac:dyDescent="0.2">
      <c r="B3488" t="str">
        <f>VLOOKUP(G3488,PC!B:D,3,FALSE)</f>
        <v>CPV</v>
      </c>
      <c r="C3488" s="22">
        <v>2023</v>
      </c>
      <c r="D3488" t="s">
        <v>102</v>
      </c>
      <c r="E3488" t="s">
        <v>28</v>
      </c>
      <c r="F3488" t="str">
        <f>VLOOKUP(G3488,PC!B:D,2,FALSE)</f>
        <v>BEBIDAS</v>
      </c>
      <c r="G3488" s="4" t="s">
        <v>26</v>
      </c>
      <c r="H3488" s="1">
        <v>419</v>
      </c>
    </row>
    <row r="3489" spans="2:8" x14ac:dyDescent="0.2">
      <c r="B3489" t="str">
        <f>VLOOKUP(G3489,PC!B:D,3,FALSE)</f>
        <v>CPV</v>
      </c>
      <c r="C3489" s="22">
        <v>2023</v>
      </c>
      <c r="D3489" t="s">
        <v>102</v>
      </c>
      <c r="E3489" t="s">
        <v>28</v>
      </c>
      <c r="F3489" t="str">
        <f>VLOOKUP(G3489,PC!B:D,2,FALSE)</f>
        <v>BEBIDAS</v>
      </c>
      <c r="G3489" s="4" t="s">
        <v>26</v>
      </c>
      <c r="H3489" s="1">
        <v>227.71</v>
      </c>
    </row>
    <row r="3490" spans="2:8" x14ac:dyDescent="0.2">
      <c r="B3490" t="str">
        <f>VLOOKUP(G3490,PC!B:D,3,FALSE)</f>
        <v>CPV</v>
      </c>
      <c r="C3490" s="22">
        <v>2023</v>
      </c>
      <c r="D3490" t="s">
        <v>102</v>
      </c>
      <c r="E3490" t="s">
        <v>28</v>
      </c>
      <c r="F3490" t="str">
        <f>VLOOKUP(G3490,PC!B:D,2,FALSE)</f>
        <v>BEBIDAS</v>
      </c>
      <c r="G3490" s="4" t="s">
        <v>26</v>
      </c>
      <c r="H3490" s="1">
        <f>33.62+2560.88+1529.16+33.62</f>
        <v>4157.28</v>
      </c>
    </row>
    <row r="3491" spans="2:8" x14ac:dyDescent="0.2">
      <c r="B3491" t="str">
        <f>VLOOKUP(G3491,PC!B:D,3,FALSE)</f>
        <v>CPV</v>
      </c>
      <c r="C3491" s="22">
        <v>2023</v>
      </c>
      <c r="D3491" t="s">
        <v>102</v>
      </c>
      <c r="E3491" t="s">
        <v>14</v>
      </c>
      <c r="F3491" t="str">
        <f>VLOOKUP(G3491,PC!B:D,2,FALSE)</f>
        <v>BEBIDAS</v>
      </c>
      <c r="G3491" s="4" t="s">
        <v>46</v>
      </c>
      <c r="H3491" s="1">
        <v>964.19</v>
      </c>
    </row>
    <row r="3492" spans="2:8" x14ac:dyDescent="0.2">
      <c r="B3492" t="str">
        <f>VLOOKUP(G3492,PC!B:D,3,FALSE)</f>
        <v>CPV</v>
      </c>
      <c r="C3492" s="22">
        <v>2023</v>
      </c>
      <c r="D3492" t="s">
        <v>102</v>
      </c>
      <c r="E3492" t="s">
        <v>156</v>
      </c>
      <c r="F3492" t="str">
        <f>VLOOKUP(G3492,PC!B:D,2,FALSE)</f>
        <v>BEBIDAS</v>
      </c>
      <c r="G3492" s="4" t="s">
        <v>39</v>
      </c>
      <c r="H3492" s="1">
        <v>131.88</v>
      </c>
    </row>
    <row r="3493" spans="2:8" x14ac:dyDescent="0.2">
      <c r="B3493" t="str">
        <f>VLOOKUP(G3493,PC!B:D,3,FALSE)</f>
        <v>CPV</v>
      </c>
      <c r="C3493" s="22">
        <v>2023</v>
      </c>
      <c r="D3493" t="s">
        <v>102</v>
      </c>
      <c r="E3493" t="s">
        <v>208</v>
      </c>
      <c r="F3493" t="str">
        <f>VLOOKUP(G3493,PC!B:D,2,FALSE)</f>
        <v>SOBREMESA</v>
      </c>
      <c r="G3493" s="4" t="s">
        <v>8</v>
      </c>
      <c r="H3493" s="1">
        <v>207.69</v>
      </c>
    </row>
    <row r="3494" spans="2:8" x14ac:dyDescent="0.2">
      <c r="B3494" t="str">
        <f>VLOOKUP(G3494,PC!B:D,3,FALSE)</f>
        <v>CPV</v>
      </c>
      <c r="C3494" s="22">
        <v>2023</v>
      </c>
      <c r="D3494" t="s">
        <v>102</v>
      </c>
      <c r="E3494" t="s">
        <v>35</v>
      </c>
      <c r="F3494" t="str">
        <f>VLOOKUP(G3494,PC!B:D,2,FALSE)</f>
        <v>OUTROS</v>
      </c>
      <c r="G3494" s="4" t="s">
        <v>37</v>
      </c>
      <c r="H3494" s="1">
        <v>522.41</v>
      </c>
    </row>
    <row r="3495" spans="2:8" x14ac:dyDescent="0.2">
      <c r="B3495" t="str">
        <f>VLOOKUP(G3495,PC!B:D,3,FALSE)</f>
        <v>CPV</v>
      </c>
      <c r="C3495" s="22">
        <v>2023</v>
      </c>
      <c r="D3495" t="s">
        <v>102</v>
      </c>
      <c r="E3495" t="s">
        <v>28</v>
      </c>
      <c r="F3495" t="str">
        <f>VLOOKUP(G3495,PC!B:D,2,FALSE)</f>
        <v>BEBIDAS</v>
      </c>
      <c r="G3495" s="4" t="s">
        <v>26</v>
      </c>
      <c r="H3495" s="1">
        <f>349.02+2394.1</f>
        <v>2743.12</v>
      </c>
    </row>
    <row r="3496" spans="2:8" x14ac:dyDescent="0.2">
      <c r="B3496" t="str">
        <f>VLOOKUP(G3496,PC!B:D,3,FALSE)</f>
        <v>CPV</v>
      </c>
      <c r="C3496" s="22">
        <v>2023</v>
      </c>
      <c r="D3496" t="s">
        <v>102</v>
      </c>
      <c r="E3496" t="s">
        <v>14</v>
      </c>
      <c r="F3496" t="str">
        <f>VLOOKUP(G3496,PC!B:D,2,FALSE)</f>
        <v>BEBIDAS</v>
      </c>
      <c r="G3496" s="4" t="s">
        <v>25</v>
      </c>
      <c r="H3496" s="1">
        <v>476.09</v>
      </c>
    </row>
    <row r="3497" spans="2:8" x14ac:dyDescent="0.2">
      <c r="B3497" t="str">
        <f>VLOOKUP(G3497,PC!B:D,3,FALSE)</f>
        <v>CPV</v>
      </c>
      <c r="C3497" s="22">
        <v>2023</v>
      </c>
      <c r="D3497" t="s">
        <v>102</v>
      </c>
      <c r="E3497" t="s">
        <v>27</v>
      </c>
      <c r="F3497" t="str">
        <f>VLOOKUP(G3497,PC!B:D,2,FALSE)</f>
        <v>COMIDA</v>
      </c>
      <c r="G3497" s="4" t="s">
        <v>12</v>
      </c>
      <c r="H3497" s="1">
        <v>214.94</v>
      </c>
    </row>
    <row r="3498" spans="2:8" x14ac:dyDescent="0.2">
      <c r="B3498" t="str">
        <f>VLOOKUP(G3498,PC!B:D,3,FALSE)</f>
        <v>CPV</v>
      </c>
      <c r="C3498" s="22">
        <v>2023</v>
      </c>
      <c r="D3498" t="s">
        <v>102</v>
      </c>
      <c r="E3498" t="s">
        <v>16</v>
      </c>
      <c r="F3498" t="str">
        <f>VLOOKUP(G3498,PC!B:D,2,FALSE)</f>
        <v>COMIDA</v>
      </c>
      <c r="G3498" s="4" t="s">
        <v>12</v>
      </c>
      <c r="H3498" s="1">
        <v>152.15</v>
      </c>
    </row>
    <row r="3499" spans="2:8" x14ac:dyDescent="0.2">
      <c r="B3499" t="str">
        <f>VLOOKUP(G3499,PC!B:D,3,FALSE)</f>
        <v>CPV</v>
      </c>
      <c r="C3499" s="22">
        <v>2023</v>
      </c>
      <c r="D3499" t="s">
        <v>102</v>
      </c>
      <c r="E3499" t="s">
        <v>5</v>
      </c>
      <c r="F3499" t="str">
        <f>VLOOKUP(G3499,PC!B:D,2,FALSE)</f>
        <v>COMIDA</v>
      </c>
      <c r="G3499" s="4" t="s">
        <v>18</v>
      </c>
      <c r="H3499" s="1">
        <v>278.05</v>
      </c>
    </row>
    <row r="3500" spans="2:8" x14ac:dyDescent="0.2">
      <c r="B3500" t="str">
        <f>VLOOKUP(G3500,PC!B:D,3,FALSE)</f>
        <v>CPV</v>
      </c>
      <c r="C3500" s="22">
        <v>2023</v>
      </c>
      <c r="D3500" t="s">
        <v>102</v>
      </c>
      <c r="E3500" t="s">
        <v>24</v>
      </c>
      <c r="F3500" t="str">
        <f>VLOOKUP(G3500,PC!B:D,2,FALSE)</f>
        <v>COMIDA</v>
      </c>
      <c r="G3500" s="4" t="s">
        <v>33</v>
      </c>
      <c r="H3500" s="1">
        <v>167.25</v>
      </c>
    </row>
    <row r="3501" spans="2:8" x14ac:dyDescent="0.2">
      <c r="B3501" t="str">
        <f>VLOOKUP(G3501,PC!B:D,3,FALSE)</f>
        <v>CPV</v>
      </c>
      <c r="C3501" s="22">
        <v>2023</v>
      </c>
      <c r="D3501" t="s">
        <v>102</v>
      </c>
      <c r="E3501" t="s">
        <v>19</v>
      </c>
      <c r="F3501" t="str">
        <f>VLOOKUP(G3501,PC!B:D,2,FALSE)</f>
        <v>COMIDA</v>
      </c>
      <c r="G3501" s="4" t="s">
        <v>145</v>
      </c>
      <c r="H3501" s="1">
        <v>169.55</v>
      </c>
    </row>
    <row r="3502" spans="2:8" x14ac:dyDescent="0.2">
      <c r="B3502" t="str">
        <f>VLOOKUP(G3502,PC!B:D,3,FALSE)</f>
        <v>CPV</v>
      </c>
      <c r="C3502" s="22">
        <v>2023</v>
      </c>
      <c r="D3502" t="s">
        <v>102</v>
      </c>
      <c r="E3502" t="s">
        <v>6</v>
      </c>
      <c r="F3502" t="str">
        <f>VLOOKUP(G3502,PC!B:D,2,FALSE)</f>
        <v>COMIDA</v>
      </c>
      <c r="G3502" s="4" t="s">
        <v>145</v>
      </c>
      <c r="H3502" s="1">
        <v>49.2</v>
      </c>
    </row>
    <row r="3503" spans="2:8" x14ac:dyDescent="0.2">
      <c r="B3503" t="str">
        <f>VLOOKUP(G3503,PC!B:D,3,FALSE)</f>
        <v>CPV</v>
      </c>
      <c r="C3503" s="22">
        <v>2023</v>
      </c>
      <c r="D3503" t="s">
        <v>102</v>
      </c>
      <c r="E3503" t="s">
        <v>24</v>
      </c>
      <c r="F3503" t="str">
        <f>VLOOKUP(G3503,PC!B:D,2,FALSE)</f>
        <v>COMIDA</v>
      </c>
      <c r="G3503" s="4" t="s">
        <v>33</v>
      </c>
      <c r="H3503" s="1">
        <v>125.5</v>
      </c>
    </row>
    <row r="3504" spans="2:8" x14ac:dyDescent="0.2">
      <c r="B3504" t="str">
        <f>VLOOKUP(G3504,PC!B:D,3,FALSE)</f>
        <v>CPV</v>
      </c>
      <c r="C3504" s="22">
        <v>2023</v>
      </c>
      <c r="D3504" t="s">
        <v>102</v>
      </c>
      <c r="E3504" t="s">
        <v>206</v>
      </c>
      <c r="F3504" t="str">
        <f>VLOOKUP(G3504,PC!B:D,2,FALSE)</f>
        <v>OUTROS</v>
      </c>
      <c r="G3504" s="4" t="s">
        <v>37</v>
      </c>
      <c r="H3504" s="1">
        <v>446.48</v>
      </c>
    </row>
    <row r="3505" spans="2:9" x14ac:dyDescent="0.2">
      <c r="B3505" t="str">
        <f>VLOOKUP(G3505,PC!B:D,3,FALSE)</f>
        <v>CPV</v>
      </c>
      <c r="C3505" s="22">
        <v>2023</v>
      </c>
      <c r="D3505" t="s">
        <v>102</v>
      </c>
      <c r="E3505" t="s">
        <v>211</v>
      </c>
      <c r="F3505" t="str">
        <f>VLOOKUP(G3505,PC!B:D,2,FALSE)</f>
        <v>BEBIDAS</v>
      </c>
      <c r="G3505" s="4" t="s">
        <v>26</v>
      </c>
      <c r="H3505" s="1">
        <v>257</v>
      </c>
    </row>
    <row r="3506" spans="2:9" x14ac:dyDescent="0.2">
      <c r="B3506" t="str">
        <f>VLOOKUP(G3506,PC!B:D,3,FALSE)</f>
        <v>CPV</v>
      </c>
      <c r="C3506" s="22">
        <v>2023</v>
      </c>
      <c r="D3506" t="s">
        <v>102</v>
      </c>
      <c r="E3506" t="s">
        <v>28</v>
      </c>
      <c r="F3506" t="str">
        <f>VLOOKUP(G3506,PC!B:D,2,FALSE)</f>
        <v>BEBIDAS</v>
      </c>
      <c r="G3506" s="4" t="s">
        <v>26</v>
      </c>
      <c r="H3506" s="1">
        <v>2525.85</v>
      </c>
    </row>
    <row r="3507" spans="2:9" x14ac:dyDescent="0.2">
      <c r="B3507" t="str">
        <f>VLOOKUP(G3507,PC!B:D,3,FALSE)</f>
        <v>CPV</v>
      </c>
      <c r="C3507" s="22">
        <v>2023</v>
      </c>
      <c r="D3507" t="s">
        <v>102</v>
      </c>
      <c r="E3507" t="s">
        <v>35</v>
      </c>
      <c r="F3507" t="str">
        <f>VLOOKUP(G3507,PC!B:D,2,FALSE)</f>
        <v>BEBIDAS</v>
      </c>
      <c r="G3507" s="4" t="s">
        <v>39</v>
      </c>
      <c r="H3507" s="1">
        <v>304.06</v>
      </c>
    </row>
    <row r="3508" spans="2:9" x14ac:dyDescent="0.2">
      <c r="B3508" t="str">
        <f>VLOOKUP(G3508,PC!B:D,3,FALSE)</f>
        <v>CPV</v>
      </c>
      <c r="C3508" s="22">
        <v>2023</v>
      </c>
      <c r="D3508" t="s">
        <v>102</v>
      </c>
      <c r="E3508" t="s">
        <v>14</v>
      </c>
      <c r="F3508" t="str">
        <f>VLOOKUP(G3508,PC!B:D,2,FALSE)</f>
        <v>BEBIDAS</v>
      </c>
      <c r="G3508" s="4" t="s">
        <v>25</v>
      </c>
      <c r="H3508" s="1">
        <v>500.67</v>
      </c>
    </row>
    <row r="3509" spans="2:9" x14ac:dyDescent="0.2">
      <c r="B3509" t="str">
        <f>VLOOKUP(G3509,PC!B:D,3,FALSE)</f>
        <v>CPV</v>
      </c>
      <c r="C3509" s="22">
        <v>2023</v>
      </c>
      <c r="D3509" t="s">
        <v>102</v>
      </c>
      <c r="E3509" t="s">
        <v>24</v>
      </c>
      <c r="F3509" t="str">
        <f>VLOOKUP(G3509,PC!B:D,2,FALSE)</f>
        <v>COMIDA</v>
      </c>
      <c r="G3509" s="4" t="s">
        <v>33</v>
      </c>
      <c r="H3509" s="1">
        <v>167.31</v>
      </c>
    </row>
    <row r="3510" spans="2:9" x14ac:dyDescent="0.2">
      <c r="B3510" t="str">
        <f>VLOOKUP(G3510,PC!B:D,3,FALSE)</f>
        <v>CPV</v>
      </c>
      <c r="C3510" s="22">
        <v>2023</v>
      </c>
      <c r="D3510" t="s">
        <v>102</v>
      </c>
      <c r="E3510" t="s">
        <v>156</v>
      </c>
      <c r="F3510" t="str">
        <f>VLOOKUP(G3510,PC!B:D,2,FALSE)</f>
        <v>BEBIDAS</v>
      </c>
      <c r="G3510" s="4" t="s">
        <v>48</v>
      </c>
      <c r="H3510" s="1">
        <v>130.80000000000001</v>
      </c>
    </row>
    <row r="3511" spans="2:9" x14ac:dyDescent="0.2">
      <c r="B3511" t="str">
        <f>VLOOKUP(G3511,PC!B:D,3,FALSE)</f>
        <v>CPV</v>
      </c>
      <c r="C3511" s="22">
        <v>2023</v>
      </c>
      <c r="D3511" t="s">
        <v>102</v>
      </c>
      <c r="E3511" t="s">
        <v>165</v>
      </c>
      <c r="F3511" t="str">
        <f>VLOOKUP(G3511,PC!B:D,2,FALSE)</f>
        <v>SOBREMESA</v>
      </c>
      <c r="G3511" s="4" t="s">
        <v>75</v>
      </c>
      <c r="H3511" s="1">
        <v>102.72</v>
      </c>
    </row>
    <row r="3512" spans="2:9" x14ac:dyDescent="0.2">
      <c r="B3512" t="str">
        <f>VLOOKUP(G3512,PC!B:D,3,FALSE)</f>
        <v>CPV</v>
      </c>
      <c r="C3512" s="22">
        <v>2023</v>
      </c>
      <c r="D3512" t="s">
        <v>102</v>
      </c>
      <c r="E3512" t="s">
        <v>20</v>
      </c>
      <c r="F3512" t="str">
        <f>VLOOKUP(G3512,PC!B:D,2,FALSE)</f>
        <v>COMIDA</v>
      </c>
      <c r="G3512" s="4" t="s">
        <v>29</v>
      </c>
      <c r="H3512" s="1">
        <v>216.9</v>
      </c>
    </row>
    <row r="3513" spans="2:9" x14ac:dyDescent="0.2">
      <c r="B3513" t="str">
        <f>VLOOKUP(G3513,PC!B:D,3,FALSE)</f>
        <v>INVESTIMENTO</v>
      </c>
      <c r="C3513" s="22">
        <v>2023</v>
      </c>
      <c r="D3513" t="s">
        <v>102</v>
      </c>
      <c r="F3513" t="str">
        <f>VLOOKUP(G3513,PC!B:D,2,FALSE)</f>
        <v>INVESTIMENTO</v>
      </c>
      <c r="G3513" s="4" t="s">
        <v>130</v>
      </c>
      <c r="H3513" s="1">
        <v>338</v>
      </c>
      <c r="I3513" s="7" t="s">
        <v>220</v>
      </c>
    </row>
    <row r="3514" spans="2:9" x14ac:dyDescent="0.2">
      <c r="B3514" t="str">
        <f>VLOOKUP(G3514,PC!B:D,3,FALSE)</f>
        <v>CPV</v>
      </c>
      <c r="C3514" s="22">
        <v>2023</v>
      </c>
      <c r="D3514" t="s">
        <v>106</v>
      </c>
      <c r="E3514" t="s">
        <v>14</v>
      </c>
      <c r="F3514" t="str">
        <f>VLOOKUP(G3514,PC!B:D,2,FALSE)</f>
        <v>BEBIDAS</v>
      </c>
      <c r="G3514" s="4" t="s">
        <v>25</v>
      </c>
      <c r="H3514" s="1">
        <v>641.94000000000005</v>
      </c>
    </row>
    <row r="3515" spans="2:9" x14ac:dyDescent="0.2">
      <c r="B3515" t="str">
        <f>VLOOKUP(G3515,PC!B:D,3,FALSE)</f>
        <v>CPV</v>
      </c>
      <c r="C3515" s="22">
        <v>2023</v>
      </c>
      <c r="D3515" t="s">
        <v>106</v>
      </c>
      <c r="E3515" t="s">
        <v>16</v>
      </c>
      <c r="F3515" t="str">
        <f>VLOOKUP(G3515,PC!B:D,2,FALSE)</f>
        <v>COMIDA</v>
      </c>
      <c r="G3515" s="4" t="s">
        <v>12</v>
      </c>
      <c r="H3515" s="1">
        <v>343.27</v>
      </c>
    </row>
    <row r="3516" spans="2:9" x14ac:dyDescent="0.2">
      <c r="B3516" t="str">
        <f>VLOOKUP(G3516,PC!B:D,3,FALSE)</f>
        <v>CPV</v>
      </c>
      <c r="C3516" s="22">
        <v>2023</v>
      </c>
      <c r="D3516" t="s">
        <v>106</v>
      </c>
      <c r="E3516" t="s">
        <v>28</v>
      </c>
      <c r="F3516" t="str">
        <f>VLOOKUP(G3516,PC!B:D,2,FALSE)</f>
        <v>BEBIDAS</v>
      </c>
      <c r="G3516" s="4" t="s">
        <v>26</v>
      </c>
      <c r="H3516" s="1">
        <v>2252.44</v>
      </c>
    </row>
    <row r="3517" spans="2:9" x14ac:dyDescent="0.2">
      <c r="B3517" t="str">
        <f>VLOOKUP(G3517,PC!B:D,3,FALSE)</f>
        <v>CPV</v>
      </c>
      <c r="C3517" s="22">
        <v>2023</v>
      </c>
      <c r="D3517" t="s">
        <v>102</v>
      </c>
      <c r="E3517" t="s">
        <v>45</v>
      </c>
      <c r="F3517" t="str">
        <f>VLOOKUP(G3517,PC!B:D,2,FALSE)</f>
        <v>OUTROS</v>
      </c>
      <c r="G3517" s="4" t="s">
        <v>37</v>
      </c>
      <c r="H3517" s="1">
        <v>677.12</v>
      </c>
    </row>
    <row r="3518" spans="2:9" x14ac:dyDescent="0.2">
      <c r="B3518" t="str">
        <f>VLOOKUP(G3518,PC!B:D,3,FALSE)</f>
        <v>CPV</v>
      </c>
      <c r="C3518" s="22">
        <v>2023</v>
      </c>
      <c r="D3518" t="s">
        <v>106</v>
      </c>
      <c r="E3518" t="s">
        <v>19</v>
      </c>
      <c r="F3518" t="str">
        <f>VLOOKUP(G3518,PC!B:D,2,FALSE)</f>
        <v>COMIDA</v>
      </c>
      <c r="G3518" s="4" t="s">
        <v>145</v>
      </c>
      <c r="H3518" s="1">
        <v>369.84</v>
      </c>
    </row>
    <row r="3519" spans="2:9" x14ac:dyDescent="0.2">
      <c r="B3519" t="str">
        <f>VLOOKUP(G3519,PC!B:D,3,FALSE)</f>
        <v>CPV</v>
      </c>
      <c r="C3519" s="22">
        <v>2023</v>
      </c>
      <c r="D3519" t="s">
        <v>102</v>
      </c>
      <c r="F3519" t="str">
        <f>VLOOKUP(G3519,PC!B:D,2,FALSE)</f>
        <v>BEBIDAS</v>
      </c>
      <c r="G3519" s="4" t="s">
        <v>48</v>
      </c>
      <c r="H3519" s="1">
        <v>236.7</v>
      </c>
    </row>
    <row r="3520" spans="2:9" x14ac:dyDescent="0.2">
      <c r="B3520" t="str">
        <f>VLOOKUP(G3520,PC!B:D,3,FALSE)</f>
        <v>RECEITA</v>
      </c>
      <c r="C3520" s="22">
        <v>2023</v>
      </c>
      <c r="D3520" t="s">
        <v>102</v>
      </c>
      <c r="F3520" t="str">
        <f>VLOOKUP(G3520,PC!B:D,2,FALSE)</f>
        <v>RECEITA</v>
      </c>
      <c r="G3520" s="4" t="s">
        <v>137</v>
      </c>
      <c r="H3520" s="1">
        <v>9792.2000000000007</v>
      </c>
    </row>
    <row r="3521" spans="2:8" x14ac:dyDescent="0.2">
      <c r="B3521" t="str">
        <f>VLOOKUP(G3521,PC!B:D,3,FALSE)</f>
        <v>RECEITA</v>
      </c>
      <c r="C3521" s="22">
        <v>2023</v>
      </c>
      <c r="D3521" t="s">
        <v>102</v>
      </c>
      <c r="F3521" t="str">
        <f>VLOOKUP(G3521,PC!B:D,2,FALSE)</f>
        <v>RECEITA</v>
      </c>
      <c r="G3521" s="4" t="s">
        <v>136</v>
      </c>
      <c r="H3521" s="1">
        <v>24127</v>
      </c>
    </row>
    <row r="3522" spans="2:8" x14ac:dyDescent="0.2">
      <c r="B3522" t="str">
        <f>VLOOKUP(G3522,PC!B:D,3,FALSE)</f>
        <v>DESCONTO DE FATURAMENTO</v>
      </c>
      <c r="C3522" s="22">
        <v>2023</v>
      </c>
      <c r="D3522" t="s">
        <v>102</v>
      </c>
      <c r="F3522" t="str">
        <f>VLOOKUP(G3522,PC!B:D,2,FALSE)</f>
        <v>OUTROS DESCONTOS</v>
      </c>
      <c r="G3522" s="4" t="s">
        <v>63</v>
      </c>
      <c r="H3522" s="1">
        <f>(0.01*H3521)+(0.02*H3520)</f>
        <v>437.11400000000003</v>
      </c>
    </row>
    <row r="3523" spans="2:8" x14ac:dyDescent="0.2">
      <c r="B3523" t="str">
        <f>VLOOKUP(G3523,PC!B:D,3,FALSE)</f>
        <v>DESPESA PESSOAL</v>
      </c>
      <c r="C3523" s="22">
        <v>2023</v>
      </c>
      <c r="D3523" t="s">
        <v>102</v>
      </c>
      <c r="F3523" t="str">
        <f>VLOOKUP(G3523,PC!B:D,2,FALSE)</f>
        <v>DESPESA PESSOAL</v>
      </c>
      <c r="G3523" s="4" t="s">
        <v>56</v>
      </c>
      <c r="H3523" s="1">
        <f>610+200</f>
        <v>810</v>
      </c>
    </row>
    <row r="3524" spans="2:8" x14ac:dyDescent="0.2">
      <c r="B3524" t="str">
        <f>VLOOKUP(G3524,PC!B:D,3,FALSE)</f>
        <v>SERV.TERCEIROS</v>
      </c>
      <c r="C3524" s="22">
        <v>2023</v>
      </c>
      <c r="D3524" t="s">
        <v>102</v>
      </c>
      <c r="F3524" t="str">
        <f>VLOOKUP(G3524,PC!B:D,2,FALSE)</f>
        <v>SERV.TERCEIROS</v>
      </c>
      <c r="G3524" s="4" t="s">
        <v>123</v>
      </c>
      <c r="H3524" s="1">
        <f>195</f>
        <v>195</v>
      </c>
    </row>
    <row r="3525" spans="2:8" x14ac:dyDescent="0.2">
      <c r="B3525" t="str">
        <f>VLOOKUP(G3525,PC!B:D,3,FALSE)</f>
        <v>INVESTIMENTO</v>
      </c>
      <c r="C3525" s="22">
        <v>2023</v>
      </c>
      <c r="D3525" t="s">
        <v>102</v>
      </c>
      <c r="F3525" t="str">
        <f>VLOOKUP(G3525,PC!B:D,2,FALSE)</f>
        <v>INVESTIMENTO</v>
      </c>
      <c r="G3525" s="4" t="s">
        <v>130</v>
      </c>
      <c r="H3525" s="1">
        <v>250</v>
      </c>
    </row>
    <row r="3526" spans="2:8" x14ac:dyDescent="0.2">
      <c r="B3526" t="str">
        <f>VLOOKUP(G3526,PC!B:D,3,FALSE)</f>
        <v>RECEITA</v>
      </c>
      <c r="C3526" s="22">
        <v>2023</v>
      </c>
      <c r="D3526" t="s">
        <v>102</v>
      </c>
      <c r="F3526" t="str">
        <f>VLOOKUP(G3526,PC!B:D,2,FALSE)</f>
        <v>RECEITA</v>
      </c>
      <c r="G3526" s="4" t="s">
        <v>54</v>
      </c>
      <c r="H3526" s="1">
        <v>1050</v>
      </c>
    </row>
    <row r="3527" spans="2:8" x14ac:dyDescent="0.2">
      <c r="B3527" t="str">
        <f>VLOOKUP(G3527,PC!B:D,3,FALSE)</f>
        <v>RECEITA</v>
      </c>
      <c r="C3527" s="22">
        <v>2023</v>
      </c>
      <c r="D3527" t="s">
        <v>102</v>
      </c>
      <c r="F3527" t="str">
        <f>VLOOKUP(G3527,PC!B:D,2,FALSE)</f>
        <v>RECEITA</v>
      </c>
      <c r="G3527" s="4" t="s">
        <v>54</v>
      </c>
      <c r="H3527" s="1">
        <v>200</v>
      </c>
    </row>
    <row r="3528" spans="2:8" x14ac:dyDescent="0.2">
      <c r="B3528" t="str">
        <f>VLOOKUP(G3528,PC!B:D,3,FALSE)</f>
        <v>RECEITAS NÃO OPERACIONAIS</v>
      </c>
      <c r="C3528" s="22">
        <v>2023</v>
      </c>
      <c r="D3528" t="s">
        <v>102</v>
      </c>
      <c r="F3528" t="str">
        <f>VLOOKUP(G3528,PC!B:D,2,FALSE)</f>
        <v>EMPRESTIMO</v>
      </c>
      <c r="G3528" s="4" t="s">
        <v>71</v>
      </c>
      <c r="H3528" s="1">
        <v>200</v>
      </c>
    </row>
    <row r="3529" spans="2:8" x14ac:dyDescent="0.2">
      <c r="B3529" t="str">
        <f>VLOOKUP(G3529,PC!B:D,3,FALSE)</f>
        <v>RECEITA</v>
      </c>
      <c r="C3529" s="22">
        <v>2023</v>
      </c>
      <c r="D3529" t="s">
        <v>102</v>
      </c>
      <c r="F3529" t="str">
        <f>VLOOKUP(G3529,PC!B:D,2,FALSE)</f>
        <v>RECEITA</v>
      </c>
      <c r="G3529" s="4" t="s">
        <v>54</v>
      </c>
      <c r="H3529" s="1">
        <v>1780</v>
      </c>
    </row>
    <row r="3530" spans="2:8" x14ac:dyDescent="0.2">
      <c r="B3530" t="str">
        <f>VLOOKUP(G3530,PC!B:D,3,FALSE)</f>
        <v>RECEITA</v>
      </c>
      <c r="C3530" s="22">
        <v>2023</v>
      </c>
      <c r="D3530" t="s">
        <v>102</v>
      </c>
      <c r="F3530" t="str">
        <f>VLOOKUP(G3530,PC!B:D,2,FALSE)</f>
        <v>RECEITA</v>
      </c>
      <c r="G3530" s="4" t="s">
        <v>54</v>
      </c>
      <c r="H3530" s="1">
        <v>1900</v>
      </c>
    </row>
    <row r="3531" spans="2:8" x14ac:dyDescent="0.2">
      <c r="B3531" t="str">
        <f>VLOOKUP(G3531,PC!B:D,3,FALSE)</f>
        <v>RECEITA</v>
      </c>
      <c r="C3531" s="22">
        <v>2023</v>
      </c>
      <c r="D3531" t="s">
        <v>102</v>
      </c>
      <c r="F3531" t="str">
        <f>VLOOKUP(G3531,PC!B:D,2,FALSE)</f>
        <v>RECEITA</v>
      </c>
      <c r="G3531" s="4" t="s">
        <v>54</v>
      </c>
      <c r="H3531" s="1">
        <f>300+46+120</f>
        <v>466</v>
      </c>
    </row>
    <row r="3532" spans="2:8" x14ac:dyDescent="0.2">
      <c r="B3532" t="str">
        <f>VLOOKUP(G3532,PC!B:D,3,FALSE)</f>
        <v>RECEITA</v>
      </c>
      <c r="C3532" s="22">
        <v>2023</v>
      </c>
      <c r="D3532" t="s">
        <v>102</v>
      </c>
      <c r="F3532" t="str">
        <f>VLOOKUP(G3532,PC!B:D,2,FALSE)</f>
        <v>RECEITA</v>
      </c>
      <c r="G3532" s="4" t="s">
        <v>54</v>
      </c>
      <c r="H3532" s="1">
        <f>850+1000+550</f>
        <v>2400</v>
      </c>
    </row>
    <row r="3533" spans="2:8" x14ac:dyDescent="0.2">
      <c r="B3533" t="str">
        <f>VLOOKUP(G3533,PC!B:D,3,FALSE)</f>
        <v>DESPESA PESSOAL</v>
      </c>
      <c r="C3533" s="22">
        <v>2023</v>
      </c>
      <c r="D3533" t="s">
        <v>102</v>
      </c>
      <c r="F3533" t="str">
        <f>VLOOKUP(G3533,PC!B:D,2,FALSE)</f>
        <v>DESPESA PESSOAL</v>
      </c>
      <c r="G3533" s="4" t="s">
        <v>68</v>
      </c>
      <c r="H3533" s="1">
        <v>120</v>
      </c>
    </row>
    <row r="3534" spans="2:8" x14ac:dyDescent="0.2">
      <c r="B3534" t="str">
        <f>VLOOKUP(G3534,PC!B:D,3,FALSE)</f>
        <v>CPV</v>
      </c>
      <c r="C3534" s="22">
        <v>2023</v>
      </c>
      <c r="D3534" t="s">
        <v>102</v>
      </c>
      <c r="E3534" t="s">
        <v>129</v>
      </c>
      <c r="F3534" t="str">
        <f>VLOOKUP(G3534,PC!B:D,2,FALSE)</f>
        <v>COMIDA</v>
      </c>
      <c r="G3534" s="4" t="s">
        <v>12</v>
      </c>
      <c r="H3534" s="1">
        <v>300</v>
      </c>
    </row>
    <row r="3535" spans="2:8" x14ac:dyDescent="0.2">
      <c r="B3535" t="str">
        <f>VLOOKUP(G3535,PC!B:D,3,FALSE)</f>
        <v>RECEITA</v>
      </c>
      <c r="C3535" s="22">
        <v>2023</v>
      </c>
      <c r="D3535" t="s">
        <v>102</v>
      </c>
      <c r="F3535" t="str">
        <f>VLOOKUP(G3535,PC!B:D,2,FALSE)</f>
        <v>RECEITA</v>
      </c>
      <c r="G3535" s="4" t="s">
        <v>54</v>
      </c>
      <c r="H3535" s="1">
        <f>23+20+26.8+15+330+87+75+1270+15</f>
        <v>1861.8</v>
      </c>
    </row>
    <row r="3536" spans="2:8" x14ac:dyDescent="0.2">
      <c r="B3536" t="str">
        <f>VLOOKUP(G3536,PC!B:D,3,FALSE)</f>
        <v>RECEITA</v>
      </c>
      <c r="C3536" s="22">
        <v>2023</v>
      </c>
      <c r="D3536" t="s">
        <v>102</v>
      </c>
      <c r="F3536" t="str">
        <f>VLOOKUP(G3536,PC!B:D,2,FALSE)</f>
        <v>RECEITA</v>
      </c>
      <c r="G3536" s="4" t="s">
        <v>54</v>
      </c>
      <c r="H3536" s="1">
        <f>2800+1400</f>
        <v>4200</v>
      </c>
    </row>
    <row r="3537" spans="2:8" x14ac:dyDescent="0.2">
      <c r="B3537" t="str">
        <f>VLOOKUP(G3537,PC!B:D,3,FALSE)</f>
        <v>DESPESA PESSOAL</v>
      </c>
      <c r="C3537" s="22">
        <v>2023</v>
      </c>
      <c r="D3537" t="s">
        <v>102</v>
      </c>
      <c r="F3537" t="str">
        <f>VLOOKUP(G3537,PC!B:D,2,FALSE)</f>
        <v>DESPESA PESSOAL</v>
      </c>
      <c r="G3537" s="4" t="s">
        <v>68</v>
      </c>
      <c r="H3537" s="1">
        <v>20</v>
      </c>
    </row>
    <row r="3538" spans="2:8" x14ac:dyDescent="0.2">
      <c r="B3538" t="str">
        <f>VLOOKUP(G3538,PC!B:D,3,FALSE)</f>
        <v>RECEITAS NÃO OPERACIONAIS</v>
      </c>
      <c r="C3538" s="22">
        <v>2023</v>
      </c>
      <c r="D3538" t="s">
        <v>102</v>
      </c>
      <c r="F3538" t="str">
        <f>VLOOKUP(G3538,PC!B:D,2,FALSE)</f>
        <v>EMPRESTIMO</v>
      </c>
      <c r="G3538" s="4" t="s">
        <v>71</v>
      </c>
      <c r="H3538" s="1">
        <v>15</v>
      </c>
    </row>
    <row r="3539" spans="2:8" x14ac:dyDescent="0.2">
      <c r="B3539" t="str">
        <f>VLOOKUP(G3539,PC!B:D,3,FALSE)</f>
        <v>CPV</v>
      </c>
      <c r="C3539" s="22">
        <v>2023</v>
      </c>
      <c r="D3539" t="s">
        <v>102</v>
      </c>
      <c r="E3539" t="s">
        <v>129</v>
      </c>
      <c r="F3539" t="str">
        <f>VLOOKUP(G3539,PC!B:D,2,FALSE)</f>
        <v>COMIDA</v>
      </c>
      <c r="G3539" s="4" t="s">
        <v>12</v>
      </c>
      <c r="H3539" s="1">
        <v>15</v>
      </c>
    </row>
    <row r="3540" spans="2:8" x14ac:dyDescent="0.2">
      <c r="B3540" t="str">
        <f>VLOOKUP(G3540,PC!B:D,3,FALSE)</f>
        <v>RECEITA</v>
      </c>
      <c r="C3540" s="22">
        <v>2023</v>
      </c>
      <c r="D3540" t="s">
        <v>102</v>
      </c>
      <c r="F3540" t="str">
        <f>VLOOKUP(G3540,PC!B:D,2,FALSE)</f>
        <v>RECEITA</v>
      </c>
      <c r="G3540" s="4" t="s">
        <v>54</v>
      </c>
      <c r="H3540" s="1">
        <f>18+216+680+120+28.2+430.6+1300+1450</f>
        <v>4242.8</v>
      </c>
    </row>
    <row r="3541" spans="2:8" x14ac:dyDescent="0.2">
      <c r="B3541" t="str">
        <f>VLOOKUP(G3541,PC!B:D,3,FALSE)</f>
        <v>CPV</v>
      </c>
      <c r="C3541" s="22">
        <v>2023</v>
      </c>
      <c r="D3541" t="s">
        <v>102</v>
      </c>
      <c r="E3541" t="s">
        <v>129</v>
      </c>
      <c r="F3541" t="str">
        <f>VLOOKUP(G3541,PC!B:D,2,FALSE)</f>
        <v>COMIDA</v>
      </c>
      <c r="G3541" s="4" t="s">
        <v>12</v>
      </c>
      <c r="H3541" s="1">
        <v>216</v>
      </c>
    </row>
    <row r="3542" spans="2:8" x14ac:dyDescent="0.2">
      <c r="B3542" t="str">
        <f>VLOOKUP(G3542,PC!B:D,3,FALSE)</f>
        <v>RECEITA</v>
      </c>
      <c r="C3542" s="22">
        <v>2023</v>
      </c>
      <c r="D3542" t="s">
        <v>102</v>
      </c>
      <c r="F3542" t="str">
        <f>VLOOKUP(G3542,PC!B:D,2,FALSE)</f>
        <v>RECEITA</v>
      </c>
      <c r="G3542" s="4" t="s">
        <v>54</v>
      </c>
      <c r="H3542" s="1">
        <f>26.9+217+1150+90+300+1700</f>
        <v>3483.9</v>
      </c>
    </row>
    <row r="3543" spans="2:8" x14ac:dyDescent="0.2">
      <c r="B3543" t="str">
        <f>VLOOKUP(G3543,PC!B:D,3,FALSE)</f>
        <v>CPV</v>
      </c>
      <c r="C3543" s="22">
        <v>2023</v>
      </c>
      <c r="D3543" t="s">
        <v>102</v>
      </c>
      <c r="E3543" t="s">
        <v>129</v>
      </c>
      <c r="F3543" t="str">
        <f>VLOOKUP(G3543,PC!B:D,2,FALSE)</f>
        <v>COMIDA</v>
      </c>
      <c r="G3543" s="4" t="s">
        <v>152</v>
      </c>
      <c r="H3543" s="1">
        <v>90</v>
      </c>
    </row>
    <row r="3544" spans="2:8" x14ac:dyDescent="0.2">
      <c r="B3544" t="str">
        <f>VLOOKUP(G3544,PC!B:D,3,FALSE)</f>
        <v>DESPESA PESSOAL</v>
      </c>
      <c r="C3544" s="22">
        <v>2023</v>
      </c>
      <c r="D3544" t="s">
        <v>102</v>
      </c>
      <c r="F3544" t="str">
        <f>VLOOKUP(G3544,PC!B:D,2,FALSE)</f>
        <v>DESPESA PESSOAL</v>
      </c>
      <c r="G3544" s="4" t="s">
        <v>56</v>
      </c>
      <c r="H3544" s="1">
        <v>300</v>
      </c>
    </row>
    <row r="3545" spans="2:8" x14ac:dyDescent="0.2">
      <c r="B3545" t="str">
        <f>VLOOKUP(G3545,PC!B:D,3,FALSE)</f>
        <v>RECEITA</v>
      </c>
      <c r="C3545" s="22">
        <v>2023</v>
      </c>
      <c r="D3545" t="s">
        <v>102</v>
      </c>
      <c r="F3545" t="str">
        <f>VLOOKUP(G3545,PC!B:D,2,FALSE)</f>
        <v>RECEITA</v>
      </c>
      <c r="G3545" s="4" t="s">
        <v>54</v>
      </c>
      <c r="H3545" s="1">
        <f>312+52</f>
        <v>364</v>
      </c>
    </row>
    <row r="3546" spans="2:8" x14ac:dyDescent="0.2">
      <c r="B3546" t="str">
        <f>VLOOKUP(G3546,PC!B:D,3,FALSE)</f>
        <v>RECEITA</v>
      </c>
      <c r="C3546" s="22">
        <v>2023</v>
      </c>
      <c r="D3546" t="s">
        <v>102</v>
      </c>
      <c r="F3546" t="str">
        <f>VLOOKUP(G3546,PC!B:D,2,FALSE)</f>
        <v>RECEITA</v>
      </c>
      <c r="G3546" s="4" t="s">
        <v>54</v>
      </c>
      <c r="H3546" s="1">
        <f>350+710+1050</f>
        <v>2110</v>
      </c>
    </row>
    <row r="3547" spans="2:8" x14ac:dyDescent="0.2">
      <c r="B3547" t="str">
        <f>VLOOKUP(G3547,PC!B:D,3,FALSE)</f>
        <v>DESPESA PESSOAL</v>
      </c>
      <c r="C3547" s="22">
        <v>2023</v>
      </c>
      <c r="D3547" t="s">
        <v>102</v>
      </c>
      <c r="F3547" t="str">
        <f>VLOOKUP(G3547,PC!B:D,2,FALSE)</f>
        <v>DESPESA PESSOAL</v>
      </c>
      <c r="G3547" s="4" t="s">
        <v>56</v>
      </c>
      <c r="H3547" s="1">
        <v>710</v>
      </c>
    </row>
    <row r="3548" spans="2:8" x14ac:dyDescent="0.2">
      <c r="B3548" t="str">
        <f>VLOOKUP(G3548,PC!B:D,3,FALSE)</f>
        <v>RECEITA</v>
      </c>
      <c r="C3548" s="22">
        <v>2023</v>
      </c>
      <c r="D3548" t="s">
        <v>102</v>
      </c>
      <c r="F3548" t="str">
        <f>VLOOKUP(G3548,PC!B:D,2,FALSE)</f>
        <v>RECEITA</v>
      </c>
      <c r="G3548" s="4" t="s">
        <v>54</v>
      </c>
      <c r="H3548" s="1">
        <f>75+1300+400+470+1250+400</f>
        <v>3895</v>
      </c>
    </row>
    <row r="3549" spans="2:8" x14ac:dyDescent="0.2">
      <c r="B3549" t="str">
        <f>VLOOKUP(G3549,PC!B:D,3,FALSE)</f>
        <v>CPV</v>
      </c>
      <c r="C3549" s="22">
        <v>2023</v>
      </c>
      <c r="D3549" t="s">
        <v>102</v>
      </c>
      <c r="E3549" t="s">
        <v>129</v>
      </c>
      <c r="F3549" t="str">
        <f>VLOOKUP(G3549,PC!B:D,2,FALSE)</f>
        <v>COMIDA</v>
      </c>
      <c r="G3549" s="4" t="s">
        <v>146</v>
      </c>
      <c r="H3549" s="1">
        <v>75</v>
      </c>
    </row>
    <row r="3550" spans="2:8" x14ac:dyDescent="0.2">
      <c r="B3550" t="str">
        <f>VLOOKUP(G3550,PC!B:D,3,FALSE)</f>
        <v>RECEITA</v>
      </c>
      <c r="C3550" s="22">
        <v>2023</v>
      </c>
      <c r="D3550" t="s">
        <v>102</v>
      </c>
      <c r="F3550" t="str">
        <f>VLOOKUP(G3550,PC!B:D,2,FALSE)</f>
        <v>RECEITA</v>
      </c>
      <c r="G3550" s="4" t="s">
        <v>54</v>
      </c>
      <c r="H3550" s="1">
        <f>190+950+80+2400</f>
        <v>3620</v>
      </c>
    </row>
    <row r="3551" spans="2:8" x14ac:dyDescent="0.2">
      <c r="B3551" t="str">
        <f>VLOOKUP(G3551,PC!B:D,3,FALSE)</f>
        <v>DESPESA PESSOAL</v>
      </c>
      <c r="C3551" s="22">
        <v>2023</v>
      </c>
      <c r="D3551" t="s">
        <v>102</v>
      </c>
      <c r="F3551" t="str">
        <f>VLOOKUP(G3551,PC!B:D,2,FALSE)</f>
        <v>DESPESA PESSOAL</v>
      </c>
      <c r="G3551" s="4" t="s">
        <v>68</v>
      </c>
      <c r="H3551" s="1">
        <v>190</v>
      </c>
    </row>
    <row r="3552" spans="2:8" x14ac:dyDescent="0.2">
      <c r="B3552" t="str">
        <f>VLOOKUP(G3552,PC!B:D,3,FALSE)</f>
        <v>RECEITA</v>
      </c>
      <c r="C3552" s="22">
        <v>2023</v>
      </c>
      <c r="D3552" t="s">
        <v>102</v>
      </c>
      <c r="F3552" t="str">
        <f>VLOOKUP(G3552,PC!B:D,2,FALSE)</f>
        <v>RECEITA</v>
      </c>
      <c r="G3552" s="4" t="s">
        <v>54</v>
      </c>
      <c r="H3552" s="1">
        <f>60+192+150+85+140+750+650</f>
        <v>2027</v>
      </c>
    </row>
    <row r="3553" spans="2:8" x14ac:dyDescent="0.2">
      <c r="B3553" t="str">
        <f>VLOOKUP(G3553,PC!B:D,3,FALSE)</f>
        <v>CPV</v>
      </c>
      <c r="C3553" s="22">
        <v>2023</v>
      </c>
      <c r="D3553" t="s">
        <v>102</v>
      </c>
      <c r="E3553" t="s">
        <v>129</v>
      </c>
      <c r="F3553" t="str">
        <f>VLOOKUP(G3553,PC!B:D,2,FALSE)</f>
        <v>COMIDA</v>
      </c>
      <c r="G3553" s="4" t="s">
        <v>12</v>
      </c>
      <c r="H3553" s="1">
        <v>60</v>
      </c>
    </row>
    <row r="3554" spans="2:8" x14ac:dyDescent="0.2">
      <c r="B3554" t="str">
        <f>VLOOKUP(G3554,PC!B:D,3,FALSE)</f>
        <v>RECEITA</v>
      </c>
      <c r="C3554" s="22">
        <v>2023</v>
      </c>
      <c r="D3554" t="s">
        <v>102</v>
      </c>
      <c r="F3554" t="str">
        <f>VLOOKUP(G3554,PC!B:D,2,FALSE)</f>
        <v>RECEITA</v>
      </c>
      <c r="G3554" s="4" t="s">
        <v>54</v>
      </c>
      <c r="H3554" s="1">
        <f>20+26+400+60+140+120+1400</f>
        <v>2166</v>
      </c>
    </row>
    <row r="3555" spans="2:8" x14ac:dyDescent="0.2">
      <c r="B3555" t="str">
        <f>VLOOKUP(G3555,PC!B:D,3,FALSE)</f>
        <v>DESPESA PESSOAL</v>
      </c>
      <c r="C3555" s="22">
        <v>2023</v>
      </c>
      <c r="D3555" t="s">
        <v>102</v>
      </c>
      <c r="F3555" t="str">
        <f>VLOOKUP(G3555,PC!B:D,2,FALSE)</f>
        <v>DESPESA PESSOAL</v>
      </c>
      <c r="G3555" s="4" t="s">
        <v>68</v>
      </c>
      <c r="H3555" s="1">
        <v>20</v>
      </c>
    </row>
    <row r="3556" spans="2:8" x14ac:dyDescent="0.2">
      <c r="B3556" t="str">
        <f>VLOOKUP(G3556,PC!B:D,3,FALSE)</f>
        <v>CPV</v>
      </c>
      <c r="C3556" s="22">
        <v>2023</v>
      </c>
      <c r="D3556" t="s">
        <v>102</v>
      </c>
      <c r="E3556" t="s">
        <v>129</v>
      </c>
      <c r="F3556" t="str">
        <f>VLOOKUP(G3556,PC!B:D,2,FALSE)</f>
        <v>COMIDA</v>
      </c>
      <c r="G3556" s="4" t="s">
        <v>12</v>
      </c>
      <c r="H3556" s="1">
        <v>26</v>
      </c>
    </row>
    <row r="3557" spans="2:8" x14ac:dyDescent="0.2">
      <c r="B3557" t="str">
        <f>VLOOKUP(G3557,PC!B:D,3,FALSE)</f>
        <v>RECEITAS NÃO OPERACIONAIS</v>
      </c>
      <c r="C3557" s="22">
        <v>2023</v>
      </c>
      <c r="D3557" t="s">
        <v>102</v>
      </c>
      <c r="F3557" t="str">
        <f>VLOOKUP(G3557,PC!B:D,2,FALSE)</f>
        <v>EMPRESTIMO</v>
      </c>
      <c r="G3557" s="4" t="s">
        <v>71</v>
      </c>
      <c r="H3557" s="1">
        <v>120</v>
      </c>
    </row>
    <row r="3558" spans="2:8" x14ac:dyDescent="0.2">
      <c r="B3558" t="str">
        <f>VLOOKUP(G3558,PC!B:D,3,FALSE)</f>
        <v>RECEITA</v>
      </c>
      <c r="C3558" s="22">
        <v>2023</v>
      </c>
      <c r="D3558" t="s">
        <v>102</v>
      </c>
      <c r="F3558" t="str">
        <f>VLOOKUP(G3558,PC!B:D,2,FALSE)</f>
        <v>RECEITA</v>
      </c>
      <c r="G3558" s="4" t="s">
        <v>54</v>
      </c>
      <c r="H3558" s="1">
        <f>162+400+56.4+57.8+113.9+184.8+44.4+90+1000+800+400</f>
        <v>3309.2999999999997</v>
      </c>
    </row>
    <row r="3559" spans="2:8" x14ac:dyDescent="0.2">
      <c r="B3559" t="str">
        <f>VLOOKUP(G3559,PC!B:D,3,FALSE)</f>
        <v>CPV</v>
      </c>
      <c r="C3559" s="22">
        <v>2023</v>
      </c>
      <c r="D3559" t="s">
        <v>102</v>
      </c>
      <c r="E3559" t="s">
        <v>129</v>
      </c>
      <c r="F3559" t="str">
        <f>VLOOKUP(G3559,PC!B:D,2,FALSE)</f>
        <v>COMIDA</v>
      </c>
      <c r="G3559" s="4" t="s">
        <v>33</v>
      </c>
      <c r="H3559" s="1">
        <v>90</v>
      </c>
    </row>
    <row r="3560" spans="2:8" x14ac:dyDescent="0.2">
      <c r="B3560" t="str">
        <f>VLOOKUP(G3560,PC!B:D,3,FALSE)</f>
        <v>CPV</v>
      </c>
      <c r="C3560" s="22">
        <v>2023</v>
      </c>
      <c r="D3560" t="s">
        <v>102</v>
      </c>
      <c r="E3560" t="s">
        <v>129</v>
      </c>
      <c r="F3560" t="str">
        <f>VLOOKUP(G3560,PC!B:D,2,FALSE)</f>
        <v>COMIDA</v>
      </c>
      <c r="G3560" s="4" t="s">
        <v>18</v>
      </c>
      <c r="H3560" s="1">
        <v>56</v>
      </c>
    </row>
    <row r="3561" spans="2:8" x14ac:dyDescent="0.2">
      <c r="B3561" t="str">
        <f>VLOOKUP(G3561,PC!B:D,3,FALSE)</f>
        <v>RECEITA</v>
      </c>
      <c r="C3561" s="22">
        <v>2023</v>
      </c>
      <c r="D3561" t="s">
        <v>102</v>
      </c>
      <c r="F3561" t="str">
        <f>VLOOKUP(G3561,PC!B:D,2,FALSE)</f>
        <v>RECEITA</v>
      </c>
      <c r="G3561" s="4" t="s">
        <v>54</v>
      </c>
      <c r="H3561" s="1">
        <f>105+1300+150+300+58.4+1100+750</f>
        <v>3763.4</v>
      </c>
    </row>
    <row r="3562" spans="2:8" x14ac:dyDescent="0.2">
      <c r="B3562" t="str">
        <f>VLOOKUP(G3562,PC!B:D,3,FALSE)</f>
        <v>DESPESA PESSOAL</v>
      </c>
      <c r="C3562" s="22">
        <v>2023</v>
      </c>
      <c r="D3562" t="s">
        <v>102</v>
      </c>
      <c r="F3562" t="str">
        <f>VLOOKUP(G3562,PC!B:D,2,FALSE)</f>
        <v>DESPESA PESSOAL</v>
      </c>
      <c r="G3562" s="4" t="s">
        <v>56</v>
      </c>
      <c r="H3562" s="1">
        <v>300</v>
      </c>
    </row>
    <row r="3563" spans="2:8" x14ac:dyDescent="0.2">
      <c r="B3563" t="str">
        <f>VLOOKUP(G3563,PC!B:D,3,FALSE)</f>
        <v>RECEITA</v>
      </c>
      <c r="C3563" s="22">
        <v>2023</v>
      </c>
      <c r="D3563" t="s">
        <v>102</v>
      </c>
      <c r="F3563" t="str">
        <f>VLOOKUP(G3563,PC!B:D,2,FALSE)</f>
        <v>RECEITA</v>
      </c>
      <c r="G3563" s="4" t="s">
        <v>54</v>
      </c>
      <c r="H3563" s="1">
        <f>60+2200+350+200+312+800+1700+400</f>
        <v>6022</v>
      </c>
    </row>
    <row r="3564" spans="2:8" x14ac:dyDescent="0.2">
      <c r="B3564" t="str">
        <f>VLOOKUP(G3564,PC!B:D,3,FALSE)</f>
        <v>DESPESA PESSOAL</v>
      </c>
      <c r="C3564" s="22">
        <v>2023</v>
      </c>
      <c r="D3564" t="s">
        <v>102</v>
      </c>
      <c r="F3564" t="str">
        <f>VLOOKUP(G3564,PC!B:D,2,FALSE)</f>
        <v>DESPESA PESSOAL</v>
      </c>
      <c r="G3564" s="4" t="s">
        <v>56</v>
      </c>
      <c r="H3564" s="1">
        <v>350</v>
      </c>
    </row>
    <row r="3565" spans="2:8" x14ac:dyDescent="0.2">
      <c r="B3565" t="str">
        <f>VLOOKUP(G3565,PC!B:D,3,FALSE)</f>
        <v>DESPESA PESSOAL</v>
      </c>
      <c r="C3565" s="22">
        <v>2023</v>
      </c>
      <c r="D3565" t="s">
        <v>102</v>
      </c>
      <c r="F3565" t="str">
        <f>VLOOKUP(G3565,PC!B:D,2,FALSE)</f>
        <v>DESPESA PESSOAL</v>
      </c>
      <c r="G3565" s="4" t="s">
        <v>56</v>
      </c>
      <c r="H3565" s="1">
        <v>350</v>
      </c>
    </row>
    <row r="3566" spans="2:8" x14ac:dyDescent="0.2">
      <c r="B3566" t="str">
        <f>VLOOKUP(G3566,PC!B:D,3,FALSE)</f>
        <v>RECEITA</v>
      </c>
      <c r="C3566" s="22">
        <v>2023</v>
      </c>
      <c r="D3566" t="s">
        <v>102</v>
      </c>
      <c r="F3566" t="str">
        <f>VLOOKUP(G3566,PC!B:D,2,FALSE)</f>
        <v>RECEITA</v>
      </c>
      <c r="G3566" s="4" t="s">
        <v>54</v>
      </c>
      <c r="H3566" s="1">
        <f>312+800+1700+400</f>
        <v>3212</v>
      </c>
    </row>
    <row r="3567" spans="2:8" x14ac:dyDescent="0.2">
      <c r="B3567" t="str">
        <f>VLOOKUP(G3567,PC!B:D,3,FALSE)</f>
        <v>RECEITA</v>
      </c>
      <c r="C3567" s="22">
        <v>2023</v>
      </c>
      <c r="D3567" t="s">
        <v>102</v>
      </c>
      <c r="F3567" t="str">
        <f>VLOOKUP(G3567,PC!B:D,2,FALSE)</f>
        <v>RECEITA</v>
      </c>
      <c r="G3567" s="4" t="s">
        <v>54</v>
      </c>
      <c r="H3567" s="1">
        <f>130+800+44+1800+100</f>
        <v>2874</v>
      </c>
    </row>
    <row r="3568" spans="2:8" x14ac:dyDescent="0.2">
      <c r="B3568" t="str">
        <f>VLOOKUP(G3568,PC!B:D,3,FALSE)</f>
        <v>DESPESA PESSOAL</v>
      </c>
      <c r="C3568" s="22">
        <v>2023</v>
      </c>
      <c r="D3568" t="s">
        <v>102</v>
      </c>
      <c r="F3568" t="str">
        <f>VLOOKUP(G3568,PC!B:D,2,FALSE)</f>
        <v>DESPESA PESSOAL</v>
      </c>
      <c r="G3568" s="4" t="s">
        <v>68</v>
      </c>
      <c r="H3568" s="1">
        <v>130</v>
      </c>
    </row>
    <row r="3569" spans="2:9" x14ac:dyDescent="0.2">
      <c r="B3569" t="str">
        <f>VLOOKUP(G3569,PC!B:D,3,FALSE)</f>
        <v>RECEITA</v>
      </c>
      <c r="C3569" s="22">
        <v>2023</v>
      </c>
      <c r="D3569" t="s">
        <v>102</v>
      </c>
      <c r="F3569" t="str">
        <f>VLOOKUP(G3569,PC!B:D,2,FALSE)</f>
        <v>RECEITA</v>
      </c>
      <c r="G3569" s="4" t="s">
        <v>54</v>
      </c>
      <c r="H3569" s="1">
        <f>30+350+58+150+95+80+650+82+700+500</f>
        <v>2695</v>
      </c>
    </row>
    <row r="3570" spans="2:9" x14ac:dyDescent="0.2">
      <c r="B3570" t="str">
        <f>VLOOKUP(G3570,PC!B:D,3,FALSE)</f>
        <v>DESPESA OPERACIONAL</v>
      </c>
      <c r="C3570" s="22">
        <v>2023</v>
      </c>
      <c r="D3570" t="s">
        <v>102</v>
      </c>
      <c r="F3570" t="str">
        <f>VLOOKUP(G3570,PC!B:D,2,FALSE)</f>
        <v>DESPESA OPERACIONAL</v>
      </c>
      <c r="G3570" s="4" t="s">
        <v>70</v>
      </c>
      <c r="H3570" s="1">
        <v>95</v>
      </c>
    </row>
    <row r="3571" spans="2:9" x14ac:dyDescent="0.2">
      <c r="B3571" t="str">
        <f>VLOOKUP(G3571,PC!B:D,3,FALSE)</f>
        <v>CPV</v>
      </c>
      <c r="C3571" s="22">
        <v>2023</v>
      </c>
      <c r="D3571" t="s">
        <v>102</v>
      </c>
      <c r="E3571" t="s">
        <v>129</v>
      </c>
      <c r="F3571" t="str">
        <f>VLOOKUP(G3571,PC!B:D,2,FALSE)</f>
        <v>COMIDA</v>
      </c>
      <c r="G3571" s="4" t="s">
        <v>12</v>
      </c>
      <c r="H3571" s="1">
        <v>58</v>
      </c>
    </row>
    <row r="3572" spans="2:9" x14ac:dyDescent="0.2">
      <c r="B3572" t="str">
        <f>VLOOKUP(G3572,PC!B:D,3,FALSE)</f>
        <v>RECEITA</v>
      </c>
      <c r="C3572" s="22">
        <v>2023</v>
      </c>
      <c r="D3572" t="s">
        <v>102</v>
      </c>
      <c r="F3572" t="str">
        <f>VLOOKUP(G3572,PC!B:D,2,FALSE)</f>
        <v>RECEITA</v>
      </c>
      <c r="G3572" s="4" t="s">
        <v>54</v>
      </c>
      <c r="H3572" s="1">
        <f>36+40+45+197+77+400+100+150+24+1400+26</f>
        <v>2495</v>
      </c>
    </row>
    <row r="3573" spans="2:9" x14ac:dyDescent="0.2">
      <c r="B3573" t="str">
        <f>VLOOKUP(G3573,PC!B:D,3,FALSE)</f>
        <v>DESPESA PESSOAL</v>
      </c>
      <c r="C3573" s="22">
        <v>2023</v>
      </c>
      <c r="D3573" t="s">
        <v>102</v>
      </c>
      <c r="F3573" t="str">
        <f>VLOOKUP(G3573,PC!B:D,2,FALSE)</f>
        <v>DESPESA PESSOAL</v>
      </c>
      <c r="G3573" s="4" t="s">
        <v>68</v>
      </c>
      <c r="H3573" s="1">
        <f>26+400+150</f>
        <v>576</v>
      </c>
    </row>
    <row r="3574" spans="2:9" x14ac:dyDescent="0.2">
      <c r="B3574" t="str">
        <f>VLOOKUP(G3574,PC!B:D,3,FALSE)</f>
        <v>CPV</v>
      </c>
      <c r="C3574" s="22">
        <v>2023</v>
      </c>
      <c r="D3574" t="s">
        <v>102</v>
      </c>
      <c r="E3574" t="s">
        <v>129</v>
      </c>
      <c r="F3574" t="str">
        <f>VLOOKUP(G3574,PC!B:D,2,FALSE)</f>
        <v>COMIDA</v>
      </c>
      <c r="G3574" s="4" t="s">
        <v>12</v>
      </c>
      <c r="H3574" s="1">
        <v>197</v>
      </c>
    </row>
    <row r="3575" spans="2:9" x14ac:dyDescent="0.2">
      <c r="B3575" t="str">
        <f>VLOOKUP(G3575,PC!B:D,3,FALSE)</f>
        <v>RECEITA</v>
      </c>
      <c r="C3575" s="22">
        <v>2023</v>
      </c>
      <c r="D3575" t="s">
        <v>102</v>
      </c>
      <c r="F3575" t="str">
        <f>VLOOKUP(G3575,PC!B:D,2,FALSE)</f>
        <v>RECEITA</v>
      </c>
      <c r="G3575" s="4" t="s">
        <v>54</v>
      </c>
      <c r="H3575" s="1">
        <f>71.2+450+34+75+60+1000+300+1000</f>
        <v>2990.2</v>
      </c>
    </row>
    <row r="3576" spans="2:9" x14ac:dyDescent="0.2">
      <c r="B3576" t="str">
        <f>VLOOKUP(G3576,PC!B:D,3,FALSE)</f>
        <v>INVESTIMENTO</v>
      </c>
      <c r="C3576" s="22">
        <v>2023</v>
      </c>
      <c r="D3576" t="s">
        <v>102</v>
      </c>
      <c r="F3576" t="str">
        <f>VLOOKUP(G3576,PC!B:D,2,FALSE)</f>
        <v>INVESTIMENTO</v>
      </c>
      <c r="G3576" s="4" t="s">
        <v>130</v>
      </c>
      <c r="H3576" s="1">
        <v>60</v>
      </c>
    </row>
    <row r="3577" spans="2:9" x14ac:dyDescent="0.2">
      <c r="B3577" t="str">
        <f>VLOOKUP(G3577,PC!B:D,3,FALSE)</f>
        <v>RECEITA</v>
      </c>
      <c r="C3577" s="22">
        <v>2023</v>
      </c>
      <c r="D3577" t="s">
        <v>102</v>
      </c>
      <c r="F3577" t="str">
        <f>VLOOKUP(G3577,PC!B:D,2,FALSE)</f>
        <v>RECEITA</v>
      </c>
      <c r="G3577" s="4" t="s">
        <v>54</v>
      </c>
      <c r="H3577" s="1">
        <f>1250+1500+131+1400+300+850</f>
        <v>5431</v>
      </c>
    </row>
    <row r="3578" spans="2:9" x14ac:dyDescent="0.2">
      <c r="B3578" t="str">
        <f>VLOOKUP(G3578,PC!B:D,3,FALSE)</f>
        <v>DESPESA PESSOAL</v>
      </c>
      <c r="C3578" s="22">
        <v>2023</v>
      </c>
      <c r="D3578" t="s">
        <v>102</v>
      </c>
      <c r="F3578" t="str">
        <f>VLOOKUP(G3578,PC!B:D,2,FALSE)</f>
        <v>DESPESA PESSOAL</v>
      </c>
      <c r="G3578" s="4" t="s">
        <v>56</v>
      </c>
      <c r="H3578" s="1">
        <v>300</v>
      </c>
      <c r="I3578" s="20"/>
    </row>
    <row r="3579" spans="2:9" x14ac:dyDescent="0.2">
      <c r="B3579" t="str">
        <f>VLOOKUP(G3579,PC!B:D,3,FALSE)</f>
        <v>RECEITA</v>
      </c>
      <c r="C3579" s="22">
        <v>2023</v>
      </c>
      <c r="D3579" t="s">
        <v>102</v>
      </c>
      <c r="F3579" t="str">
        <f>VLOOKUP(G3579,PC!B:D,2,FALSE)</f>
        <v>RECEITA</v>
      </c>
      <c r="G3579" s="4" t="s">
        <v>54</v>
      </c>
      <c r="H3579" s="1">
        <f>78+71+1150+350</f>
        <v>1649</v>
      </c>
    </row>
    <row r="3580" spans="2:9" x14ac:dyDescent="0.2">
      <c r="B3580" t="str">
        <f>VLOOKUP(G3580,PC!B:D,3,FALSE)</f>
        <v>DESPESA PESSOAL</v>
      </c>
      <c r="C3580" s="22">
        <v>2023</v>
      </c>
      <c r="D3580" t="s">
        <v>102</v>
      </c>
      <c r="F3580" t="str">
        <f>VLOOKUP(G3580,PC!B:D,2,FALSE)</f>
        <v>DESPESA PESSOAL</v>
      </c>
      <c r="G3580" s="4" t="s">
        <v>56</v>
      </c>
      <c r="H3580" s="1">
        <v>350</v>
      </c>
    </row>
    <row r="3581" spans="2:9" x14ac:dyDescent="0.2">
      <c r="B3581" t="str">
        <f>VLOOKUP(G3581,PC!B:D,3,FALSE)</f>
        <v>RECEITA</v>
      </c>
      <c r="C3581" s="22">
        <v>2023</v>
      </c>
      <c r="D3581" t="s">
        <v>102</v>
      </c>
      <c r="F3581" t="str">
        <f>VLOOKUP(G3581,PC!B:D,2,FALSE)</f>
        <v>RECEITA</v>
      </c>
      <c r="G3581" s="4" t="s">
        <v>54</v>
      </c>
      <c r="H3581" s="1">
        <f>800+330+900+300+45+35+450+1900</f>
        <v>4760</v>
      </c>
    </row>
    <row r="3582" spans="2:9" x14ac:dyDescent="0.2">
      <c r="B3582" t="str">
        <f>VLOOKUP(G3582,PC!B:D,3,FALSE)</f>
        <v>RECEITA</v>
      </c>
      <c r="C3582" s="22">
        <v>2023</v>
      </c>
      <c r="D3582" t="s">
        <v>102</v>
      </c>
      <c r="F3582" t="str">
        <f>VLOOKUP(G3582,PC!B:D,2,FALSE)</f>
        <v>RECEITA</v>
      </c>
      <c r="G3582" s="4" t="s">
        <v>54</v>
      </c>
      <c r="H3582" s="47">
        <f>150+147+60+72+400+32+1000+400+350</f>
        <v>2611</v>
      </c>
    </row>
    <row r="3583" spans="2:9" x14ac:dyDescent="0.2">
      <c r="B3583" t="str">
        <f>VLOOKUP(G3583,PC!B:D,3,FALSE)</f>
        <v>DESPESA OPERACIONAL</v>
      </c>
      <c r="C3583" s="22">
        <v>2023</v>
      </c>
      <c r="D3583" t="s">
        <v>102</v>
      </c>
      <c r="F3583" t="str">
        <f>VLOOKUP(G3583,PC!B:D,2,FALSE)</f>
        <v>DESPESA OPERACIONAL</v>
      </c>
      <c r="G3583" s="4" t="s">
        <v>70</v>
      </c>
      <c r="H3583" s="1">
        <v>60</v>
      </c>
    </row>
    <row r="3584" spans="2:9" x14ac:dyDescent="0.2">
      <c r="B3584" t="str">
        <f>VLOOKUP(G3584,PC!B:D,3,FALSE)</f>
        <v>CPV</v>
      </c>
      <c r="C3584" s="22">
        <v>2023</v>
      </c>
      <c r="D3584" t="s">
        <v>102</v>
      </c>
      <c r="F3584" t="str">
        <f>VLOOKUP(G3584,PC!B:D,2,FALSE)</f>
        <v>COMIDA</v>
      </c>
      <c r="G3584" s="4" t="s">
        <v>12</v>
      </c>
      <c r="H3584" s="1">
        <v>150</v>
      </c>
    </row>
    <row r="3585" spans="2:8" x14ac:dyDescent="0.2">
      <c r="B3585" t="str">
        <f>VLOOKUP(G3585,PC!B:D,3,FALSE)</f>
        <v>RECEITA</v>
      </c>
      <c r="C3585" s="22">
        <v>2023</v>
      </c>
      <c r="D3585" t="s">
        <v>102</v>
      </c>
      <c r="F3585" t="str">
        <f>VLOOKUP(G3585,PC!B:D,2,FALSE)</f>
        <v>RECEITA</v>
      </c>
      <c r="G3585" s="4" t="s">
        <v>54</v>
      </c>
      <c r="H3585" s="1">
        <f>228+20+24+20+128+93+16+20+40+40+500+2000</f>
        <v>3129</v>
      </c>
    </row>
    <row r="3586" spans="2:8" x14ac:dyDescent="0.2">
      <c r="B3586" t="str">
        <f>VLOOKUP(G3586,PC!B:D,3,FALSE)</f>
        <v>RECEITAS NÃO OPERACIONAIS</v>
      </c>
      <c r="C3586" s="22">
        <v>2023</v>
      </c>
      <c r="D3586" t="s">
        <v>102</v>
      </c>
      <c r="F3586" t="str">
        <f>VLOOKUP(G3586,PC!B:D,2,FALSE)</f>
        <v>EMPRESTIMO</v>
      </c>
      <c r="G3586" s="4" t="s">
        <v>71</v>
      </c>
      <c r="H3586" s="1">
        <v>16</v>
      </c>
    </row>
    <row r="3587" spans="2:8" x14ac:dyDescent="0.2">
      <c r="B3587" t="str">
        <f>VLOOKUP(G3587,PC!B:D,3,FALSE)</f>
        <v>DESPESA PESSOAL</v>
      </c>
      <c r="C3587" s="22">
        <v>2023</v>
      </c>
      <c r="D3587" t="s">
        <v>102</v>
      </c>
      <c r="F3587" t="str">
        <f>VLOOKUP(G3587,PC!B:D,2,FALSE)</f>
        <v>DESPESA PESSOAL</v>
      </c>
      <c r="G3587" s="4" t="s">
        <v>68</v>
      </c>
      <c r="H3587" s="1">
        <f>20+20+20</f>
        <v>60</v>
      </c>
    </row>
    <row r="3588" spans="2:8" x14ac:dyDescent="0.2">
      <c r="B3588" t="str">
        <f>VLOOKUP(G3588,PC!B:D,3,FALSE)</f>
        <v>RECEITA</v>
      </c>
      <c r="C3588" s="22">
        <v>2023</v>
      </c>
      <c r="D3588" t="s">
        <v>102</v>
      </c>
      <c r="F3588" t="str">
        <f>VLOOKUP(G3588,PC!B:D,2,FALSE)</f>
        <v>RECEITA</v>
      </c>
      <c r="G3588" s="4" t="s">
        <v>54</v>
      </c>
      <c r="H3588" s="1">
        <f>30+178+600+36+200</f>
        <v>1044</v>
      </c>
    </row>
    <row r="3589" spans="2:8" x14ac:dyDescent="0.2">
      <c r="B3589" t="str">
        <f>VLOOKUP(G3589,PC!B:D,3,FALSE)</f>
        <v>CPV</v>
      </c>
      <c r="C3589" s="22">
        <v>2023</v>
      </c>
      <c r="D3589" t="s">
        <v>102</v>
      </c>
      <c r="E3589" t="s">
        <v>129</v>
      </c>
      <c r="F3589" t="str">
        <f>VLOOKUP(G3589,PC!B:D,2,FALSE)</f>
        <v>COMIDA</v>
      </c>
      <c r="G3589" s="4" t="s">
        <v>12</v>
      </c>
      <c r="H3589" s="1">
        <v>30</v>
      </c>
    </row>
    <row r="3590" spans="2:8" x14ac:dyDescent="0.2">
      <c r="B3590" t="str">
        <f>VLOOKUP(G3590,PC!B:D,3,FALSE)</f>
        <v>RECEITA</v>
      </c>
      <c r="C3590" s="22">
        <v>2023</v>
      </c>
      <c r="D3590" t="s">
        <v>102</v>
      </c>
      <c r="F3590" t="str">
        <f>VLOOKUP(G3590,PC!B:D,2,FALSE)</f>
        <v>RECEITA</v>
      </c>
      <c r="G3590" s="4" t="s">
        <v>54</v>
      </c>
      <c r="H3590" s="1">
        <f>60+61.5+47+184.8+1700+500+500</f>
        <v>3053.3</v>
      </c>
    </row>
    <row r="3591" spans="2:8" x14ac:dyDescent="0.2">
      <c r="B3591" t="str">
        <f>VLOOKUP(G3591,PC!B:D,3,FALSE)</f>
        <v>INVESTIMENTO</v>
      </c>
      <c r="C3591" s="22">
        <v>2023</v>
      </c>
      <c r="D3591" t="s">
        <v>102</v>
      </c>
      <c r="F3591" t="str">
        <f>VLOOKUP(G3591,PC!B:D,2,FALSE)</f>
        <v>INVESTIMENTO</v>
      </c>
      <c r="G3591" s="4" t="s">
        <v>130</v>
      </c>
      <c r="H3591" s="1">
        <f>121.5</f>
        <v>121.5</v>
      </c>
    </row>
    <row r="3592" spans="2:8" x14ac:dyDescent="0.2">
      <c r="B3592" t="str">
        <f>VLOOKUP(G3592,PC!B:D,3,FALSE)</f>
        <v>CPV</v>
      </c>
      <c r="C3592" s="22">
        <v>2023</v>
      </c>
      <c r="D3592" t="s">
        <v>102</v>
      </c>
      <c r="E3592" t="s">
        <v>129</v>
      </c>
      <c r="F3592" t="str">
        <f>VLOOKUP(G3592,PC!B:D,2,FALSE)</f>
        <v>COMIDA</v>
      </c>
      <c r="G3592" s="4" t="s">
        <v>18</v>
      </c>
      <c r="H3592" s="1">
        <v>47</v>
      </c>
    </row>
    <row r="3593" spans="2:8" x14ac:dyDescent="0.2">
      <c r="B3593" t="str">
        <f>VLOOKUP(G3593,PC!B:D,3,FALSE)</f>
        <v>INVESTIMENTO</v>
      </c>
      <c r="C3593" s="22">
        <v>2023</v>
      </c>
      <c r="D3593" t="s">
        <v>102</v>
      </c>
      <c r="E3593" t="s">
        <v>129</v>
      </c>
      <c r="F3593" t="str">
        <f>VLOOKUP(G3593,PC!B:D,2,FALSE)</f>
        <v>INVESTIMENTO</v>
      </c>
      <c r="G3593" s="4" t="s">
        <v>130</v>
      </c>
      <c r="H3593" s="1">
        <v>20</v>
      </c>
    </row>
    <row r="3594" spans="2:8" x14ac:dyDescent="0.2">
      <c r="B3594" t="str">
        <f>VLOOKUP(G3594,PC!B:D,3,FALSE)</f>
        <v>RECEITA</v>
      </c>
      <c r="C3594" s="22">
        <v>2023</v>
      </c>
      <c r="D3594" t="s">
        <v>102</v>
      </c>
      <c r="E3594" t="s">
        <v>129</v>
      </c>
      <c r="F3594" t="str">
        <f>VLOOKUP(G3594,PC!B:D,2,FALSE)</f>
        <v>RECEITA</v>
      </c>
      <c r="G3594" s="4" t="s">
        <v>54</v>
      </c>
      <c r="H3594" s="1">
        <f>20+1300+150+130+300+1400+650</f>
        <v>3950</v>
      </c>
    </row>
    <row r="3595" spans="2:8" x14ac:dyDescent="0.2">
      <c r="B3595" t="str">
        <f>VLOOKUP(G3595,PC!B:D,3,FALSE)</f>
        <v>DESPESA PESSOAL</v>
      </c>
      <c r="C3595" s="22">
        <v>2023</v>
      </c>
      <c r="D3595" t="s">
        <v>102</v>
      </c>
      <c r="E3595" t="s">
        <v>129</v>
      </c>
      <c r="F3595" t="str">
        <f>VLOOKUP(G3595,PC!B:D,2,FALSE)</f>
        <v>DESPESA PESSOAL</v>
      </c>
      <c r="G3595" s="4" t="s">
        <v>56</v>
      </c>
      <c r="H3595" s="1">
        <v>300</v>
      </c>
    </row>
    <row r="3596" spans="2:8" x14ac:dyDescent="0.2">
      <c r="B3596" t="str">
        <f>VLOOKUP(G3596,PC!B:D,3,FALSE)</f>
        <v>RECEITA</v>
      </c>
      <c r="C3596" s="22">
        <v>2023</v>
      </c>
      <c r="D3596" t="s">
        <v>102</v>
      </c>
      <c r="E3596" t="s">
        <v>129</v>
      </c>
      <c r="F3596" t="str">
        <f>VLOOKUP(G3596,PC!B:D,2,FALSE)</f>
        <v>RECEITA</v>
      </c>
      <c r="G3596" s="4" t="s">
        <v>54</v>
      </c>
      <c r="H3596" s="1">
        <f>1900+350+500</f>
        <v>2750</v>
      </c>
    </row>
    <row r="3597" spans="2:8" x14ac:dyDescent="0.2">
      <c r="B3597" t="str">
        <f>VLOOKUP(G3597,PC!B:D,3,FALSE)</f>
        <v>DESPESA PESSOAL</v>
      </c>
      <c r="C3597" s="22">
        <v>2023</v>
      </c>
      <c r="D3597" t="s">
        <v>102</v>
      </c>
      <c r="E3597" t="s">
        <v>129</v>
      </c>
      <c r="F3597" t="str">
        <f>VLOOKUP(G3597,PC!B:D,2,FALSE)</f>
        <v>DESPESA PESSOAL</v>
      </c>
      <c r="G3597" s="4" t="s">
        <v>56</v>
      </c>
      <c r="H3597" s="1">
        <v>350</v>
      </c>
    </row>
    <row r="3598" spans="2:8" x14ac:dyDescent="0.2">
      <c r="B3598" t="str">
        <f>VLOOKUP(G3598,PC!B:D,3,FALSE)</f>
        <v>RECEITA</v>
      </c>
      <c r="C3598" s="22">
        <v>2023</v>
      </c>
      <c r="D3598" t="s">
        <v>102</v>
      </c>
      <c r="E3598" t="s">
        <v>129</v>
      </c>
      <c r="F3598" t="str">
        <f>VLOOKUP(G3598,PC!B:D,2,FALSE)</f>
        <v>RECEITA</v>
      </c>
      <c r="G3598" s="4" t="s">
        <v>54</v>
      </c>
      <c r="H3598" s="1">
        <f>950+300+400+1150</f>
        <v>2800</v>
      </c>
    </row>
    <row r="3599" spans="2:8" x14ac:dyDescent="0.2">
      <c r="B3599" t="str">
        <f>VLOOKUP(G3599,PC!B:D,3,FALSE)</f>
        <v>RECEITA</v>
      </c>
      <c r="C3599" s="22">
        <v>2023</v>
      </c>
      <c r="D3599" t="s">
        <v>102</v>
      </c>
      <c r="E3599" t="s">
        <v>129</v>
      </c>
      <c r="F3599" t="str">
        <f>VLOOKUP(G3599,PC!B:D,2,FALSE)</f>
        <v>RECEITA</v>
      </c>
      <c r="G3599" s="4" t="s">
        <v>54</v>
      </c>
      <c r="H3599" s="1">
        <f>350+510+300+2500</f>
        <v>3660</v>
      </c>
    </row>
    <row r="3600" spans="2:8" x14ac:dyDescent="0.2">
      <c r="B3600" t="str">
        <f>VLOOKUP(G3600,PC!B:D,3,FALSE)</f>
        <v>CPV</v>
      </c>
      <c r="C3600" s="22">
        <v>2023</v>
      </c>
      <c r="D3600" t="s">
        <v>102</v>
      </c>
      <c r="E3600" t="s">
        <v>129</v>
      </c>
      <c r="F3600" t="str">
        <f>VLOOKUP(G3600,PC!B:D,2,FALSE)</f>
        <v>OUTROS</v>
      </c>
      <c r="G3600" s="4" t="s">
        <v>37</v>
      </c>
      <c r="H3600" s="1">
        <v>510</v>
      </c>
    </row>
    <row r="3601" spans="2:8" x14ac:dyDescent="0.2">
      <c r="B3601" t="str">
        <f>VLOOKUP(G3601,PC!B:D,3,FALSE)</f>
        <v>CPV</v>
      </c>
      <c r="C3601" s="22">
        <v>2023</v>
      </c>
      <c r="D3601" t="s">
        <v>102</v>
      </c>
      <c r="E3601" t="s">
        <v>129</v>
      </c>
      <c r="F3601" t="str">
        <f>VLOOKUP(G3601,PC!B:D,2,FALSE)</f>
        <v>COMIDA</v>
      </c>
      <c r="G3601" s="4" t="s">
        <v>33</v>
      </c>
      <c r="H3601" s="1">
        <v>45</v>
      </c>
    </row>
    <row r="3602" spans="2:8" x14ac:dyDescent="0.2">
      <c r="B3602" t="str">
        <f>VLOOKUP(G3602,PC!B:D,3,FALSE)</f>
        <v>CPV</v>
      </c>
      <c r="C3602" s="22">
        <v>2023</v>
      </c>
      <c r="D3602" t="s">
        <v>102</v>
      </c>
      <c r="E3602" t="s">
        <v>129</v>
      </c>
      <c r="F3602" t="str">
        <f>VLOOKUP(G3602,PC!B:D,2,FALSE)</f>
        <v>SOBREMESA</v>
      </c>
      <c r="G3602" s="4" t="s">
        <v>7</v>
      </c>
      <c r="H3602" s="1">
        <v>32</v>
      </c>
    </row>
    <row r="3603" spans="2:8" x14ac:dyDescent="0.2">
      <c r="B3603" t="str">
        <f>VLOOKUP(G3603,PC!B:D,3,FALSE)</f>
        <v>CPV</v>
      </c>
      <c r="C3603" s="22">
        <v>2023</v>
      </c>
      <c r="D3603" t="s">
        <v>102</v>
      </c>
      <c r="E3603" t="s">
        <v>129</v>
      </c>
      <c r="F3603" t="str">
        <f>VLOOKUP(G3603,PC!B:D,2,FALSE)</f>
        <v>OUTROS</v>
      </c>
      <c r="G3603" s="4" t="s">
        <v>37</v>
      </c>
      <c r="H3603" s="1">
        <v>228</v>
      </c>
    </row>
    <row r="3604" spans="2:8" x14ac:dyDescent="0.2">
      <c r="B3604" t="str">
        <f>VLOOKUP(G3604,PC!B:D,3,FALSE)</f>
        <v>CPV</v>
      </c>
      <c r="C3604" s="22">
        <v>2023</v>
      </c>
      <c r="D3604" t="s">
        <v>102</v>
      </c>
      <c r="E3604" t="s">
        <v>129</v>
      </c>
      <c r="F3604" t="str">
        <f>VLOOKUP(G3604,PC!B:D,2,FALSE)</f>
        <v>COMIDA</v>
      </c>
      <c r="G3604" s="4" t="s">
        <v>155</v>
      </c>
      <c r="H3604" s="1">
        <v>350</v>
      </c>
    </row>
    <row r="3605" spans="2:8" x14ac:dyDescent="0.2">
      <c r="B3605" t="str">
        <f>VLOOKUP(G3605,PC!B:D,3,FALSE)</f>
        <v>CPV</v>
      </c>
      <c r="C3605" s="22">
        <v>2023</v>
      </c>
      <c r="D3605" t="s">
        <v>102</v>
      </c>
      <c r="E3605" t="s">
        <v>77</v>
      </c>
      <c r="F3605" t="str">
        <f>VLOOKUP(G3605,PC!B:D,2,FALSE)</f>
        <v>OUTROS</v>
      </c>
      <c r="G3605" s="4" t="s">
        <v>37</v>
      </c>
      <c r="H3605" s="1">
        <v>768.44</v>
      </c>
    </row>
    <row r="3606" spans="2:8" x14ac:dyDescent="0.2">
      <c r="B3606" t="str">
        <f>VLOOKUP(G3606,PC!B:D,3,FALSE)</f>
        <v>CPV</v>
      </c>
      <c r="C3606" s="22">
        <v>2023</v>
      </c>
      <c r="D3606" t="s">
        <v>102</v>
      </c>
      <c r="E3606" t="s">
        <v>89</v>
      </c>
      <c r="F3606" t="str">
        <f>VLOOKUP(G3606,PC!B:D,2,FALSE)</f>
        <v>OUTROS</v>
      </c>
      <c r="G3606" s="4" t="s">
        <v>37</v>
      </c>
      <c r="H3606" s="1">
        <v>1029.55</v>
      </c>
    </row>
    <row r="3607" spans="2:8" x14ac:dyDescent="0.2">
      <c r="B3607" t="str">
        <f>VLOOKUP(G3607,PC!B:D,3,FALSE)</f>
        <v>CPV</v>
      </c>
      <c r="C3607" s="22">
        <v>2023</v>
      </c>
      <c r="D3607" t="s">
        <v>102</v>
      </c>
      <c r="E3607" t="s">
        <v>129</v>
      </c>
      <c r="F3607" t="str">
        <f>VLOOKUP(G3607,PC!B:D,2,FALSE)</f>
        <v>CIGARRO</v>
      </c>
      <c r="G3607" s="4" t="s">
        <v>131</v>
      </c>
      <c r="H3607" s="1">
        <v>778</v>
      </c>
    </row>
    <row r="3608" spans="2:8" x14ac:dyDescent="0.2">
      <c r="B3608" t="str">
        <f>VLOOKUP(G3608,PC!B:D,3,FALSE)</f>
        <v>CPV</v>
      </c>
      <c r="C3608" s="22">
        <v>2023</v>
      </c>
      <c r="D3608" t="s">
        <v>102</v>
      </c>
      <c r="E3608" t="s">
        <v>129</v>
      </c>
      <c r="F3608" t="str">
        <f>VLOOKUP(G3608,PC!B:D,2,FALSE)</f>
        <v>SOBREMESA</v>
      </c>
      <c r="G3608" s="4" t="s">
        <v>7</v>
      </c>
      <c r="H3608" s="1">
        <v>192</v>
      </c>
    </row>
    <row r="3609" spans="2:8" x14ac:dyDescent="0.2">
      <c r="B3609" t="str">
        <f>VLOOKUP(G3609,PC!B:D,3,FALSE)</f>
        <v>CPV</v>
      </c>
      <c r="C3609" s="22">
        <v>2023</v>
      </c>
      <c r="D3609" t="s">
        <v>102</v>
      </c>
      <c r="E3609" t="s">
        <v>129</v>
      </c>
      <c r="F3609" t="str">
        <f>VLOOKUP(G3609,PC!B:D,2,FALSE)</f>
        <v>COMIDA</v>
      </c>
      <c r="G3609" s="4" t="s">
        <v>12</v>
      </c>
      <c r="H3609" s="1">
        <v>500</v>
      </c>
    </row>
    <row r="3610" spans="2:8" x14ac:dyDescent="0.2">
      <c r="B3610" t="str">
        <f>VLOOKUP(G3610,PC!B:D,3,FALSE)</f>
        <v>DESCONTO DE FATURAMENTO</v>
      </c>
      <c r="C3610" s="22">
        <v>2023</v>
      </c>
      <c r="D3610" t="s">
        <v>98</v>
      </c>
      <c r="E3610" t="s">
        <v>129</v>
      </c>
      <c r="F3610" t="str">
        <f>VLOOKUP(G3610,PC!B:D,2,FALSE)</f>
        <v>IMPOSTO</v>
      </c>
      <c r="G3610" s="4" t="s">
        <v>88</v>
      </c>
      <c r="H3610" s="1">
        <v>5265.85</v>
      </c>
    </row>
    <row r="3611" spans="2:8" x14ac:dyDescent="0.2">
      <c r="B3611" t="str">
        <f>VLOOKUP(G3611,PC!B:D,3,FALSE)</f>
        <v>DESPESA FINANCEIRA</v>
      </c>
      <c r="C3611" s="22">
        <v>2023</v>
      </c>
      <c r="D3611" t="s">
        <v>98</v>
      </c>
      <c r="E3611" t="s">
        <v>129</v>
      </c>
      <c r="F3611" t="str">
        <f>VLOOKUP(G3611,PC!B:D,2,FALSE)</f>
        <v>DESPESA FINANCEIRA</v>
      </c>
      <c r="G3611" s="4" t="s">
        <v>90</v>
      </c>
      <c r="H3611" s="1">
        <v>637.78</v>
      </c>
    </row>
    <row r="3612" spans="2:8" x14ac:dyDescent="0.2">
      <c r="B3612" t="str">
        <f>VLOOKUP(G3612,PC!B:D,3,FALSE)</f>
        <v>SERV.TERCEIROS</v>
      </c>
      <c r="C3612" s="22">
        <v>2023</v>
      </c>
      <c r="D3612" t="s">
        <v>98</v>
      </c>
      <c r="E3612" t="s">
        <v>129</v>
      </c>
      <c r="F3612" t="str">
        <f>VLOOKUP(G3612,PC!B:D,2,FALSE)</f>
        <v>SERV.TERCEIROS</v>
      </c>
      <c r="G3612" s="4" t="s">
        <v>60</v>
      </c>
      <c r="H3612" s="1">
        <v>380</v>
      </c>
    </row>
    <row r="3613" spans="2:8" x14ac:dyDescent="0.2">
      <c r="B3613" t="str">
        <f>VLOOKUP(G3613,PC!B:D,3,FALSE)</f>
        <v>CPV</v>
      </c>
      <c r="C3613" s="22">
        <v>2023</v>
      </c>
      <c r="D3613" t="s">
        <v>102</v>
      </c>
      <c r="E3613" t="s">
        <v>129</v>
      </c>
      <c r="F3613" t="str">
        <f>VLOOKUP(G3613,PC!B:D,2,FALSE)</f>
        <v>COMIDA</v>
      </c>
      <c r="G3613" s="4" t="s">
        <v>12</v>
      </c>
      <c r="H3613" s="1">
        <v>147</v>
      </c>
    </row>
    <row r="3614" spans="2:8" x14ac:dyDescent="0.2">
      <c r="B3614" t="str">
        <f>VLOOKUP(G3614,PC!B:D,3,FALSE)</f>
        <v>CPV</v>
      </c>
      <c r="C3614" s="22">
        <v>2023</v>
      </c>
      <c r="D3614" t="s">
        <v>102</v>
      </c>
      <c r="E3614" t="s">
        <v>129</v>
      </c>
      <c r="F3614" t="str">
        <f>VLOOKUP(G3614,PC!B:D,2,FALSE)</f>
        <v>OUTROS</v>
      </c>
      <c r="G3614" s="4" t="s">
        <v>149</v>
      </c>
      <c r="H3614" s="1">
        <v>178.15</v>
      </c>
    </row>
    <row r="3615" spans="2:8" x14ac:dyDescent="0.2">
      <c r="B3615" t="str">
        <f>VLOOKUP(G3615,PC!B:D,3,FALSE)</f>
        <v>CPV</v>
      </c>
      <c r="C3615" s="22">
        <v>2023</v>
      </c>
      <c r="D3615" t="s">
        <v>102</v>
      </c>
      <c r="E3615" t="s">
        <v>129</v>
      </c>
      <c r="F3615" t="str">
        <f>VLOOKUP(G3615,PC!B:D,2,FALSE)</f>
        <v>COMIDA</v>
      </c>
      <c r="G3615" s="4" t="s">
        <v>145</v>
      </c>
      <c r="H3615" s="1">
        <v>36</v>
      </c>
    </row>
    <row r="3616" spans="2:8" x14ac:dyDescent="0.2">
      <c r="B3616" t="str">
        <f>VLOOKUP(G3616,PC!B:D,3,FALSE)</f>
        <v>CPV</v>
      </c>
      <c r="C3616" s="22">
        <v>2023</v>
      </c>
      <c r="D3616" t="s">
        <v>102</v>
      </c>
      <c r="E3616" t="s">
        <v>129</v>
      </c>
      <c r="F3616" t="str">
        <f>VLOOKUP(G3616,PC!B:D,2,FALSE)</f>
        <v>COMIDA</v>
      </c>
      <c r="G3616" s="4" t="s">
        <v>155</v>
      </c>
      <c r="H3616" s="1">
        <v>350</v>
      </c>
    </row>
    <row r="3617" spans="2:8" x14ac:dyDescent="0.2">
      <c r="B3617" t="str">
        <f>VLOOKUP(G3617,PC!B:D,3,FALSE)</f>
        <v>CPV</v>
      </c>
      <c r="C3617" s="22">
        <v>2023</v>
      </c>
      <c r="D3617" t="s">
        <v>102</v>
      </c>
      <c r="E3617" t="s">
        <v>77</v>
      </c>
      <c r="F3617" t="str">
        <f>VLOOKUP(G3617,PC!B:D,2,FALSE)</f>
        <v>OUTROS</v>
      </c>
      <c r="G3617" s="4" t="s">
        <v>37</v>
      </c>
      <c r="H3617" s="1">
        <v>498.69</v>
      </c>
    </row>
    <row r="3618" spans="2:8" x14ac:dyDescent="0.2">
      <c r="B3618" t="str">
        <f>VLOOKUP(G3618,PC!B:D,3,FALSE)</f>
        <v>CPV</v>
      </c>
      <c r="C3618" s="22">
        <v>2023</v>
      </c>
      <c r="D3618" t="s">
        <v>102</v>
      </c>
      <c r="E3618" t="s">
        <v>89</v>
      </c>
      <c r="F3618" t="str">
        <f>VLOOKUP(G3618,PC!B:D,2,FALSE)</f>
        <v>OUTROS</v>
      </c>
      <c r="G3618" s="4" t="s">
        <v>37</v>
      </c>
      <c r="H3618" s="1">
        <v>531.87</v>
      </c>
    </row>
    <row r="3619" spans="2:8" x14ac:dyDescent="0.2">
      <c r="B3619" t="str">
        <f>VLOOKUP(G3619,PC!B:D,3,FALSE)</f>
        <v>CPV</v>
      </c>
      <c r="C3619" s="22">
        <v>2023</v>
      </c>
      <c r="D3619" t="s">
        <v>102</v>
      </c>
      <c r="E3619" t="s">
        <v>129</v>
      </c>
      <c r="F3619" t="str">
        <f>VLOOKUP(G3619,PC!B:D,2,FALSE)</f>
        <v>COMIDA</v>
      </c>
      <c r="G3619" s="4" t="s">
        <v>12</v>
      </c>
      <c r="H3619" s="1">
        <v>400</v>
      </c>
    </row>
    <row r="3620" spans="2:8" x14ac:dyDescent="0.2">
      <c r="B3620" t="str">
        <f>VLOOKUP(G3620,PC!B:D,3,FALSE)</f>
        <v>CPV</v>
      </c>
      <c r="C3620" s="22">
        <v>2023</v>
      </c>
      <c r="D3620" t="s">
        <v>102</v>
      </c>
      <c r="E3620" t="s">
        <v>129</v>
      </c>
      <c r="F3620" t="str">
        <f>VLOOKUP(G3620,PC!B:D,2,FALSE)</f>
        <v>SOBREMESA</v>
      </c>
      <c r="G3620" s="4" t="s">
        <v>7</v>
      </c>
      <c r="H3620" s="1">
        <v>200</v>
      </c>
    </row>
    <row r="3621" spans="2:8" x14ac:dyDescent="0.2">
      <c r="B3621" t="str">
        <f>VLOOKUP(G3621,PC!B:D,3,FALSE)</f>
        <v>CPV</v>
      </c>
      <c r="C3621" s="22">
        <v>2023</v>
      </c>
      <c r="D3621" t="s">
        <v>102</v>
      </c>
      <c r="E3621" t="s">
        <v>129</v>
      </c>
      <c r="F3621" t="str">
        <f>VLOOKUP(G3621,PC!B:D,2,FALSE)</f>
        <v>OUTROS</v>
      </c>
      <c r="G3621" s="4" t="s">
        <v>58</v>
      </c>
      <c r="H3621" s="1">
        <v>150</v>
      </c>
    </row>
    <row r="3622" spans="2:8" x14ac:dyDescent="0.2">
      <c r="B3622" t="str">
        <f>VLOOKUP(G3622,PC!B:D,3,FALSE)</f>
        <v>CPV</v>
      </c>
      <c r="C3622" s="22">
        <v>2023</v>
      </c>
      <c r="D3622" t="s">
        <v>102</v>
      </c>
      <c r="E3622" t="s">
        <v>129</v>
      </c>
      <c r="F3622" t="str">
        <f>VLOOKUP(G3622,PC!B:D,2,FALSE)</f>
        <v>BEBIDAS</v>
      </c>
      <c r="G3622" s="4" t="s">
        <v>39</v>
      </c>
      <c r="H3622" s="1">
        <v>109</v>
      </c>
    </row>
    <row r="3623" spans="2:8" x14ac:dyDescent="0.2">
      <c r="B3623" t="str">
        <f>VLOOKUP(G3623,PC!B:D,3,FALSE)</f>
        <v>CPV</v>
      </c>
      <c r="C3623" s="22">
        <v>2023</v>
      </c>
      <c r="D3623" t="s">
        <v>102</v>
      </c>
      <c r="E3623" t="s">
        <v>129</v>
      </c>
      <c r="F3623" t="str">
        <f>VLOOKUP(G3623,PC!B:D,2,FALSE)</f>
        <v>COMIDA</v>
      </c>
      <c r="G3623" s="4" t="s">
        <v>145</v>
      </c>
      <c r="H3623" s="1">
        <v>119.8</v>
      </c>
    </row>
    <row r="3624" spans="2:8" x14ac:dyDescent="0.2">
      <c r="B3624" t="str">
        <f>VLOOKUP(G3624,PC!B:D,3,FALSE)</f>
        <v>CPV</v>
      </c>
      <c r="C3624" s="22">
        <v>2023</v>
      </c>
      <c r="D3624" t="s">
        <v>102</v>
      </c>
      <c r="E3624" t="s">
        <v>129</v>
      </c>
      <c r="F3624" t="str">
        <f>VLOOKUP(G3624,PC!B:D,2,FALSE)</f>
        <v>CIGARRO</v>
      </c>
      <c r="G3624" s="4" t="s">
        <v>57</v>
      </c>
      <c r="H3624" s="1">
        <v>1312</v>
      </c>
    </row>
    <row r="3625" spans="2:8" x14ac:dyDescent="0.2">
      <c r="B3625" t="str">
        <f>VLOOKUP(G3625,PC!B:D,3,FALSE)</f>
        <v>CPV</v>
      </c>
      <c r="C3625" s="22">
        <v>2023</v>
      </c>
      <c r="D3625" t="s">
        <v>102</v>
      </c>
      <c r="E3625" t="s">
        <v>129</v>
      </c>
      <c r="F3625" t="str">
        <f>VLOOKUP(G3625,PC!B:D,2,FALSE)</f>
        <v>BEBIDAS</v>
      </c>
      <c r="G3625" s="4" t="s">
        <v>46</v>
      </c>
      <c r="H3625" s="1">
        <v>104</v>
      </c>
    </row>
    <row r="3626" spans="2:8" x14ac:dyDescent="0.2">
      <c r="B3626" t="str">
        <f>VLOOKUP(G3626,PC!B:D,3,FALSE)</f>
        <v>CPV</v>
      </c>
      <c r="C3626" s="22">
        <v>2023</v>
      </c>
      <c r="D3626" t="s">
        <v>102</v>
      </c>
      <c r="E3626" t="s">
        <v>129</v>
      </c>
      <c r="F3626" t="str">
        <f>VLOOKUP(G3626,PC!B:D,2,FALSE)</f>
        <v>SOBREMESA</v>
      </c>
      <c r="G3626" s="4" t="s">
        <v>7</v>
      </c>
      <c r="H3626" s="1">
        <v>56</v>
      </c>
    </row>
    <row r="3627" spans="2:8" x14ac:dyDescent="0.2">
      <c r="B3627" t="str">
        <f>VLOOKUP(G3627,PC!B:D,3,FALSE)</f>
        <v>CPV</v>
      </c>
      <c r="C3627" s="22">
        <v>2023</v>
      </c>
      <c r="D3627" t="s">
        <v>102</v>
      </c>
      <c r="E3627" t="s">
        <v>129</v>
      </c>
      <c r="F3627" t="str">
        <f>VLOOKUP(G3627,PC!B:D,2,FALSE)</f>
        <v>COMIDA</v>
      </c>
      <c r="G3627" s="4" t="s">
        <v>33</v>
      </c>
      <c r="H3627" s="1">
        <v>42</v>
      </c>
    </row>
    <row r="3628" spans="2:8" x14ac:dyDescent="0.2">
      <c r="B3628" t="str">
        <f>VLOOKUP(G3628,PC!B:D,3,FALSE)</f>
        <v>CPV</v>
      </c>
      <c r="C3628" s="22">
        <v>2023</v>
      </c>
      <c r="D3628" t="s">
        <v>102</v>
      </c>
      <c r="E3628" t="s">
        <v>129</v>
      </c>
      <c r="F3628" t="str">
        <f>VLOOKUP(G3628,PC!B:D,2,FALSE)</f>
        <v>OUTROS</v>
      </c>
      <c r="G3628" s="4" t="s">
        <v>37</v>
      </c>
      <c r="H3628" s="1">
        <v>138.80000000000001</v>
      </c>
    </row>
    <row r="3629" spans="2:8" x14ac:dyDescent="0.2">
      <c r="B3629" t="str">
        <f>VLOOKUP(G3629,PC!B:D,3,FALSE)</f>
        <v>CPV</v>
      </c>
      <c r="C3629" s="22">
        <v>2023</v>
      </c>
      <c r="D3629" t="s">
        <v>102</v>
      </c>
      <c r="E3629" t="s">
        <v>129</v>
      </c>
      <c r="F3629" t="str">
        <f>VLOOKUP(G3629,PC!B:D,2,FALSE)</f>
        <v>OUTROS</v>
      </c>
      <c r="G3629" s="4" t="s">
        <v>58</v>
      </c>
      <c r="H3629" s="1">
        <v>150</v>
      </c>
    </row>
    <row r="3630" spans="2:8" x14ac:dyDescent="0.2">
      <c r="B3630" t="str">
        <f>VLOOKUP(G3630,PC!B:D,3,FALSE)</f>
        <v>CPV</v>
      </c>
      <c r="C3630" s="22">
        <v>2023</v>
      </c>
      <c r="D3630" t="s">
        <v>102</v>
      </c>
      <c r="E3630" t="s">
        <v>129</v>
      </c>
      <c r="F3630" t="str">
        <f>VLOOKUP(G3630,PC!B:D,2,FALSE)</f>
        <v>BEBIDAS</v>
      </c>
      <c r="G3630" s="4" t="s">
        <v>48</v>
      </c>
      <c r="H3630" s="1">
        <v>184.8</v>
      </c>
    </row>
    <row r="3631" spans="2:8" x14ac:dyDescent="0.2">
      <c r="B3631" t="str">
        <f>VLOOKUP(G3631,PC!B:D,3,FALSE)</f>
        <v>CPV</v>
      </c>
      <c r="C3631" s="22">
        <v>2023</v>
      </c>
      <c r="D3631" t="s">
        <v>102</v>
      </c>
      <c r="E3631" t="s">
        <v>129</v>
      </c>
      <c r="F3631" t="str">
        <f>VLOOKUP(G3631,PC!B:D,2,FALSE)</f>
        <v>BEBIDAS</v>
      </c>
      <c r="G3631" s="4" t="s">
        <v>48</v>
      </c>
      <c r="H3631" s="1">
        <f>285+184.9</f>
        <v>469.9</v>
      </c>
    </row>
    <row r="3632" spans="2:8" x14ac:dyDescent="0.2">
      <c r="B3632" t="str">
        <f>VLOOKUP(G3632,PC!B:D,3,FALSE)</f>
        <v>CPV</v>
      </c>
      <c r="C3632" s="22">
        <v>2023</v>
      </c>
      <c r="D3632" t="s">
        <v>102</v>
      </c>
      <c r="E3632" t="s">
        <v>129</v>
      </c>
      <c r="F3632" t="str">
        <f>VLOOKUP(G3632,PC!B:D,2,FALSE)</f>
        <v>OUTROS</v>
      </c>
      <c r="G3632" s="4" t="s">
        <v>37</v>
      </c>
      <c r="H3632" s="1">
        <v>516</v>
      </c>
    </row>
    <row r="3633" spans="2:9" x14ac:dyDescent="0.2">
      <c r="B3633" t="str">
        <f>VLOOKUP(G3633,PC!B:D,3,FALSE)</f>
        <v>CPV</v>
      </c>
      <c r="C3633" s="22">
        <v>2023</v>
      </c>
      <c r="D3633" t="s">
        <v>102</v>
      </c>
      <c r="E3633" t="s">
        <v>129</v>
      </c>
      <c r="F3633" t="str">
        <f>VLOOKUP(G3633,PC!B:D,2,FALSE)</f>
        <v>SOBREMESA</v>
      </c>
      <c r="G3633" s="4" t="s">
        <v>75</v>
      </c>
      <c r="H3633" s="1">
        <v>1039.94</v>
      </c>
    </row>
    <row r="3634" spans="2:9" x14ac:dyDescent="0.2">
      <c r="B3634" t="str">
        <f>VLOOKUP(G3634,PC!B:D,3,FALSE)</f>
        <v>DESPESA OPERACIONAL</v>
      </c>
      <c r="C3634" s="22">
        <v>2023</v>
      </c>
      <c r="D3634" t="s">
        <v>102</v>
      </c>
      <c r="F3634" t="str">
        <f>VLOOKUP(G3634,PC!B:D,2,FALSE)</f>
        <v>DESPESA OPERACIONAL</v>
      </c>
      <c r="G3634" s="4" t="s">
        <v>73</v>
      </c>
      <c r="H3634" s="1">
        <f>711.16+507.84+993.18</f>
        <v>2212.1799999999998</v>
      </c>
    </row>
    <row r="3635" spans="2:9" x14ac:dyDescent="0.2">
      <c r="B3635" t="str">
        <f>VLOOKUP(G3635,PC!B:D,3,FALSE)</f>
        <v>RECEITA</v>
      </c>
      <c r="C3635" s="22">
        <v>2023</v>
      </c>
      <c r="D3635" t="s">
        <v>102</v>
      </c>
      <c r="F3635" t="str">
        <f>VLOOKUP(G3635,PC!B:D,2,FALSE)</f>
        <v>RECEITA</v>
      </c>
      <c r="G3635" s="4" t="s">
        <v>64</v>
      </c>
      <c r="H3635" s="1">
        <f>11.66+16.34+21.22</f>
        <v>49.22</v>
      </c>
    </row>
    <row r="3636" spans="2:9" x14ac:dyDescent="0.2">
      <c r="B3636" t="str">
        <f>VLOOKUP(G3636,PC!B:D,3,FALSE)</f>
        <v>CPV</v>
      </c>
      <c r="C3636" s="22">
        <v>2023</v>
      </c>
      <c r="D3636" t="s">
        <v>102</v>
      </c>
      <c r="E3636" t="s">
        <v>10</v>
      </c>
      <c r="F3636" t="str">
        <f>VLOOKUP(G3636,PC!B:D,2,FALSE)</f>
        <v>COMIDA</v>
      </c>
      <c r="G3636" s="4" t="s">
        <v>33</v>
      </c>
      <c r="H3636" s="1">
        <v>286.60000000000002</v>
      </c>
    </row>
    <row r="3637" spans="2:9" x14ac:dyDescent="0.2">
      <c r="B3637" t="str">
        <f>VLOOKUP(G3637,PC!B:D,3,FALSE)</f>
        <v>CPV</v>
      </c>
      <c r="C3637" s="22">
        <v>2023</v>
      </c>
      <c r="D3637" t="s">
        <v>102</v>
      </c>
      <c r="E3637" t="s">
        <v>21</v>
      </c>
      <c r="F3637" t="str">
        <f>VLOOKUP(G3637,PC!B:D,2,FALSE)</f>
        <v>COMIDA</v>
      </c>
      <c r="G3637" s="4" t="s">
        <v>33</v>
      </c>
      <c r="H3637" s="1">
        <v>70.23</v>
      </c>
    </row>
    <row r="3638" spans="2:9" x14ac:dyDescent="0.2">
      <c r="B3638" t="str">
        <f>VLOOKUP(G3638,PC!B:D,3,FALSE)</f>
        <v>CPV</v>
      </c>
      <c r="C3638" s="22">
        <v>2023</v>
      </c>
      <c r="D3638" t="s">
        <v>102</v>
      </c>
      <c r="E3638" t="s">
        <v>78</v>
      </c>
      <c r="F3638" t="str">
        <f>VLOOKUP(G3638,PC!B:D,2,FALSE)</f>
        <v>CIGARRO</v>
      </c>
      <c r="G3638" s="4" t="s">
        <v>82</v>
      </c>
      <c r="H3638" s="1">
        <v>576.49</v>
      </c>
    </row>
    <row r="3639" spans="2:9" x14ac:dyDescent="0.2">
      <c r="B3639" t="str">
        <f>VLOOKUP(G3639,PC!B:D,3,FALSE)</f>
        <v>CPV</v>
      </c>
      <c r="C3639" s="22">
        <v>2023</v>
      </c>
      <c r="D3639" t="s">
        <v>102</v>
      </c>
      <c r="E3639" t="s">
        <v>28</v>
      </c>
      <c r="F3639" t="str">
        <f>VLOOKUP(G3639,PC!B:D,2,FALSE)</f>
        <v>BEBIDAS</v>
      </c>
      <c r="G3639" s="4" t="s">
        <v>26</v>
      </c>
      <c r="H3639" s="1">
        <v>2901.39</v>
      </c>
    </row>
    <row r="3640" spans="2:9" x14ac:dyDescent="0.2">
      <c r="B3640" t="str">
        <f>VLOOKUP(G3640,PC!B:D,3,FALSE)</f>
        <v>RECEITA</v>
      </c>
      <c r="C3640" s="22">
        <v>2023</v>
      </c>
      <c r="D3640" t="s">
        <v>102</v>
      </c>
      <c r="F3640" t="str">
        <f>VLOOKUP(G3640,PC!B:D,2,FALSE)</f>
        <v>RECEITA</v>
      </c>
      <c r="G3640" s="4" t="s">
        <v>83</v>
      </c>
      <c r="H3640" s="1">
        <v>248.71</v>
      </c>
    </row>
    <row r="3641" spans="2:9" x14ac:dyDescent="0.2">
      <c r="B3641" t="str">
        <f>VLOOKUP(G3641,PC!B:D,3,FALSE)</f>
        <v>CPV</v>
      </c>
      <c r="C3641" s="22">
        <v>2023</v>
      </c>
      <c r="D3641" t="s">
        <v>102</v>
      </c>
      <c r="E3641" t="s">
        <v>100</v>
      </c>
      <c r="F3641" t="str">
        <f>VLOOKUP(G3641,PC!B:D,2,FALSE)</f>
        <v>SOBREMESA</v>
      </c>
      <c r="G3641" s="4" t="s">
        <v>23</v>
      </c>
      <c r="H3641" s="1">
        <v>97</v>
      </c>
    </row>
    <row r="3642" spans="2:9" x14ac:dyDescent="0.2">
      <c r="B3642" t="str">
        <f>VLOOKUP(G3642,PC!B:D,3,FALSE)</f>
        <v>CPV</v>
      </c>
      <c r="C3642" s="22">
        <v>2023</v>
      </c>
      <c r="D3642" t="s">
        <v>102</v>
      </c>
      <c r="E3642" t="s">
        <v>49</v>
      </c>
      <c r="F3642" t="str">
        <f>VLOOKUP(G3642,PC!B:D,2,FALSE)</f>
        <v>CIGARRO</v>
      </c>
      <c r="G3642" s="4" t="s">
        <v>52</v>
      </c>
      <c r="H3642" s="1">
        <v>12656.37</v>
      </c>
    </row>
    <row r="3643" spans="2:9" x14ac:dyDescent="0.2">
      <c r="B3643" t="str">
        <f>VLOOKUP(G3643,PC!B:D,3,FALSE)</f>
        <v>CPV</v>
      </c>
      <c r="C3643" s="22">
        <v>2023</v>
      </c>
      <c r="D3643" t="s">
        <v>106</v>
      </c>
      <c r="E3643" t="s">
        <v>40</v>
      </c>
      <c r="F3643" t="str">
        <f>VLOOKUP(G3643,PC!B:D,2,FALSE)</f>
        <v>BEBIDAS</v>
      </c>
      <c r="G3643" s="4" t="s">
        <v>26</v>
      </c>
      <c r="H3643" s="1">
        <v>24</v>
      </c>
    </row>
    <row r="3644" spans="2:9" x14ac:dyDescent="0.2">
      <c r="B3644" t="str">
        <f>VLOOKUP(G3644,PC!B:D,3,FALSE)</f>
        <v>INVESTIMENTO</v>
      </c>
      <c r="C3644" s="22">
        <v>2023</v>
      </c>
      <c r="D3644" t="s">
        <v>106</v>
      </c>
      <c r="F3644" t="str">
        <f>VLOOKUP(G3644,PC!B:D,2,FALSE)</f>
        <v>INVESTIMENTO</v>
      </c>
      <c r="G3644" s="4" t="s">
        <v>130</v>
      </c>
      <c r="H3644" s="1">
        <v>180</v>
      </c>
      <c r="I3644" s="7" t="s">
        <v>221</v>
      </c>
    </row>
    <row r="3645" spans="2:9" x14ac:dyDescent="0.2">
      <c r="B3645" t="str">
        <f>VLOOKUP(G3645,PC!B:D,3,FALSE)</f>
        <v>CPV</v>
      </c>
      <c r="C3645" s="22">
        <v>2023</v>
      </c>
      <c r="D3645" t="s">
        <v>106</v>
      </c>
      <c r="E3645" t="s">
        <v>14</v>
      </c>
      <c r="F3645" t="str">
        <f>VLOOKUP(G3645,PC!B:D,2,FALSE)</f>
        <v>BEBIDAS</v>
      </c>
      <c r="G3645" s="4" t="s">
        <v>25</v>
      </c>
      <c r="H3645" s="1">
        <v>367.41</v>
      </c>
    </row>
    <row r="3646" spans="2:9" x14ac:dyDescent="0.2">
      <c r="B3646" t="str">
        <f>VLOOKUP(G3646,PC!B:D,3,FALSE)</f>
        <v>CPV</v>
      </c>
      <c r="C3646" s="22">
        <v>2023</v>
      </c>
      <c r="D3646" t="s">
        <v>106</v>
      </c>
      <c r="E3646" t="s">
        <v>14</v>
      </c>
      <c r="F3646" t="str">
        <f>VLOOKUP(G3646,PC!B:D,2,FALSE)</f>
        <v>BEBIDAS</v>
      </c>
      <c r="G3646" s="4" t="s">
        <v>25</v>
      </c>
      <c r="H3646" s="1">
        <v>259.36</v>
      </c>
    </row>
    <row r="3647" spans="2:9" x14ac:dyDescent="0.2">
      <c r="B3647" t="str">
        <f>VLOOKUP(G3647,PC!B:D,3,FALSE)</f>
        <v>CPV</v>
      </c>
      <c r="C3647" s="22">
        <v>2023</v>
      </c>
      <c r="D3647" t="s">
        <v>106</v>
      </c>
      <c r="E3647" t="s">
        <v>27</v>
      </c>
      <c r="F3647" t="str">
        <f>VLOOKUP(G3647,PC!B:D,2,FALSE)</f>
        <v>COMIDA</v>
      </c>
      <c r="G3647" s="4" t="s">
        <v>12</v>
      </c>
      <c r="H3647" s="1">
        <v>207.79</v>
      </c>
    </row>
    <row r="3648" spans="2:9" x14ac:dyDescent="0.2">
      <c r="B3648" t="str">
        <f>VLOOKUP(G3648,PC!B:D,3,FALSE)</f>
        <v>CPV</v>
      </c>
      <c r="C3648" s="22">
        <v>2023</v>
      </c>
      <c r="D3648" t="s">
        <v>106</v>
      </c>
      <c r="E3648" t="s">
        <v>35</v>
      </c>
      <c r="F3648" t="str">
        <f>VLOOKUP(G3648,PC!B:D,2,FALSE)</f>
        <v>OUTROS</v>
      </c>
      <c r="G3648" s="4" t="s">
        <v>37</v>
      </c>
      <c r="H3648" s="49">
        <v>964.7</v>
      </c>
    </row>
    <row r="3649" spans="2:8" x14ac:dyDescent="0.2">
      <c r="B3649" t="str">
        <f>VLOOKUP(G3649,PC!B:D,3,FALSE)</f>
        <v>CPV</v>
      </c>
      <c r="C3649" s="22">
        <v>2023</v>
      </c>
      <c r="D3649" t="s">
        <v>106</v>
      </c>
      <c r="E3649" t="s">
        <v>211</v>
      </c>
      <c r="F3649" t="str">
        <f>VLOOKUP(G3649,PC!B:D,2,FALSE)</f>
        <v>BEBIDAS</v>
      </c>
      <c r="G3649" s="4" t="s">
        <v>26</v>
      </c>
      <c r="H3649" s="1">
        <v>698.87</v>
      </c>
    </row>
    <row r="3650" spans="2:8" x14ac:dyDescent="0.2">
      <c r="B3650" t="str">
        <f>VLOOKUP(G3650,PC!B:D,3,FALSE)</f>
        <v>CPV</v>
      </c>
      <c r="C3650" s="22">
        <v>2023</v>
      </c>
      <c r="D3650" t="s">
        <v>106</v>
      </c>
      <c r="E3650" t="s">
        <v>24</v>
      </c>
      <c r="F3650" t="str">
        <f>VLOOKUP(G3650,PC!B:D,2,FALSE)</f>
        <v>COMIDA</v>
      </c>
      <c r="G3650" s="4" t="s">
        <v>33</v>
      </c>
      <c r="H3650" s="1">
        <v>261.57</v>
      </c>
    </row>
    <row r="3651" spans="2:8" x14ac:dyDescent="0.2">
      <c r="B3651" t="str">
        <f>VLOOKUP(G3651,PC!B:D,3,FALSE)</f>
        <v>CPV</v>
      </c>
      <c r="C3651" s="22">
        <v>2023</v>
      </c>
      <c r="D3651" t="s">
        <v>106</v>
      </c>
      <c r="E3651" t="s">
        <v>14</v>
      </c>
      <c r="F3651" t="str">
        <f>VLOOKUP(G3651,PC!B:D,2,FALSE)</f>
        <v>BEBIDAS</v>
      </c>
      <c r="G3651" s="4" t="s">
        <v>25</v>
      </c>
      <c r="H3651" s="1">
        <v>216.14</v>
      </c>
    </row>
    <row r="3652" spans="2:8" x14ac:dyDescent="0.2">
      <c r="B3652" t="str">
        <f>VLOOKUP(G3652,PC!B:D,3,FALSE)</f>
        <v>CPV</v>
      </c>
      <c r="C3652" s="22">
        <v>2023</v>
      </c>
      <c r="D3652" t="s">
        <v>106</v>
      </c>
      <c r="E3652" t="s">
        <v>156</v>
      </c>
      <c r="F3652" t="str">
        <f>VLOOKUP(G3652,PC!B:D,2,FALSE)</f>
        <v>BEBIDAS</v>
      </c>
      <c r="G3652" s="4" t="s">
        <v>26</v>
      </c>
      <c r="H3652" s="1">
        <v>223.13</v>
      </c>
    </row>
    <row r="3653" spans="2:8" x14ac:dyDescent="0.2">
      <c r="B3653" t="str">
        <f>VLOOKUP(G3653,PC!B:D,3,FALSE)</f>
        <v>SERV. PUBLICOS</v>
      </c>
      <c r="C3653" s="22">
        <v>2023</v>
      </c>
      <c r="D3653" t="s">
        <v>106</v>
      </c>
      <c r="F3653" t="str">
        <f>VLOOKUP(G3653,PC!B:D,2,FALSE)</f>
        <v>SERV. PUBLICOS</v>
      </c>
      <c r="G3653" s="4" t="s">
        <v>104</v>
      </c>
      <c r="H3653" s="1">
        <v>280.5</v>
      </c>
    </row>
    <row r="3654" spans="2:8" x14ac:dyDescent="0.2">
      <c r="B3654" t="str">
        <f>VLOOKUP(G3654,PC!B:D,3,FALSE)</f>
        <v>CPV</v>
      </c>
      <c r="C3654" s="22">
        <v>2023</v>
      </c>
      <c r="D3654" t="s">
        <v>106</v>
      </c>
      <c r="E3654" t="s">
        <v>14</v>
      </c>
      <c r="F3654" t="str">
        <f>VLOOKUP(G3654,PC!B:D,2,FALSE)</f>
        <v>BEBIDAS</v>
      </c>
      <c r="G3654" s="4" t="s">
        <v>25</v>
      </c>
      <c r="H3654" s="1">
        <v>604.38</v>
      </c>
    </row>
    <row r="3655" spans="2:8" x14ac:dyDescent="0.2">
      <c r="B3655" t="str">
        <f>VLOOKUP(G3655,PC!B:D,3,FALSE)</f>
        <v>CPV</v>
      </c>
      <c r="C3655" s="22">
        <v>2023</v>
      </c>
      <c r="D3655" t="s">
        <v>106</v>
      </c>
      <c r="E3655" t="s">
        <v>14</v>
      </c>
      <c r="F3655" t="str">
        <f>VLOOKUP(G3655,PC!B:D,2,FALSE)</f>
        <v>BEBIDAS</v>
      </c>
      <c r="G3655" s="4" t="s">
        <v>46</v>
      </c>
      <c r="H3655" s="1">
        <v>160.08000000000001</v>
      </c>
    </row>
    <row r="3656" spans="2:8" x14ac:dyDescent="0.2">
      <c r="B3656" t="str">
        <f>VLOOKUP(G3656,PC!B:D,3,FALSE)</f>
        <v>CPV</v>
      </c>
      <c r="C3656" s="22">
        <v>2023</v>
      </c>
      <c r="D3656" t="s">
        <v>106</v>
      </c>
      <c r="E3656" t="s">
        <v>19</v>
      </c>
      <c r="F3656" t="str">
        <f>VLOOKUP(G3656,PC!B:D,2,FALSE)</f>
        <v>COMIDA</v>
      </c>
      <c r="G3656" s="4" t="s">
        <v>145</v>
      </c>
      <c r="H3656" s="1">
        <v>369.84</v>
      </c>
    </row>
    <row r="3657" spans="2:8" x14ac:dyDescent="0.2">
      <c r="B3657" t="str">
        <f>VLOOKUP(G3657,PC!B:D,3,FALSE)</f>
        <v>CPV</v>
      </c>
      <c r="C3657" s="22">
        <v>2023</v>
      </c>
      <c r="D3657" t="s">
        <v>106</v>
      </c>
      <c r="E3657" t="s">
        <v>49</v>
      </c>
      <c r="F3657" t="str">
        <f>VLOOKUP(G3657,PC!B:D,2,FALSE)</f>
        <v>CIGARRO</v>
      </c>
      <c r="G3657" s="4" t="s">
        <v>52</v>
      </c>
      <c r="H3657" s="1">
        <v>5356.9</v>
      </c>
    </row>
    <row r="3658" spans="2:8" x14ac:dyDescent="0.2">
      <c r="B3658" t="str">
        <f>VLOOKUP(G3658,PC!B:D,3,FALSE)</f>
        <v>CPV</v>
      </c>
      <c r="C3658" s="22">
        <v>2023</v>
      </c>
      <c r="D3658" t="s">
        <v>106</v>
      </c>
      <c r="E3658" t="s">
        <v>30</v>
      </c>
      <c r="F3658" t="str">
        <f>VLOOKUP(G3658,PC!B:D,2,FALSE)</f>
        <v>SOBREMESA</v>
      </c>
      <c r="G3658" s="4" t="s">
        <v>23</v>
      </c>
      <c r="H3658" s="1">
        <v>290.87</v>
      </c>
    </row>
    <row r="3659" spans="2:8" x14ac:dyDescent="0.2">
      <c r="B3659" t="str">
        <f>VLOOKUP(G3659,PC!B:D,3,FALSE)</f>
        <v>CPV</v>
      </c>
      <c r="C3659" s="22">
        <v>2023</v>
      </c>
      <c r="D3659" t="s">
        <v>106</v>
      </c>
      <c r="E3659" t="s">
        <v>21</v>
      </c>
      <c r="F3659" t="str">
        <f>VLOOKUP(G3659,PC!B:D,2,FALSE)</f>
        <v>SOBREMESA</v>
      </c>
      <c r="G3659" s="4" t="s">
        <v>23</v>
      </c>
      <c r="H3659" s="1">
        <v>305.20999999999998</v>
      </c>
    </row>
    <row r="3660" spans="2:8" x14ac:dyDescent="0.2">
      <c r="B3660" t="str">
        <f>VLOOKUP(G3660,PC!B:D,3,FALSE)</f>
        <v>CPV</v>
      </c>
      <c r="C3660" s="22">
        <v>2023</v>
      </c>
      <c r="D3660" t="s">
        <v>106</v>
      </c>
      <c r="E3660" t="s">
        <v>19</v>
      </c>
      <c r="F3660" t="str">
        <f>VLOOKUP(G3660,PC!B:D,2,FALSE)</f>
        <v>COMIDA</v>
      </c>
      <c r="G3660" s="4" t="s">
        <v>34</v>
      </c>
      <c r="H3660" s="1">
        <v>343.61</v>
      </c>
    </row>
    <row r="3661" spans="2:8" x14ac:dyDescent="0.2">
      <c r="B3661" t="str">
        <f>VLOOKUP(G3661,PC!B:D,3,FALSE)</f>
        <v>CPV</v>
      </c>
      <c r="C3661" s="22">
        <v>2023</v>
      </c>
      <c r="D3661" t="s">
        <v>106</v>
      </c>
      <c r="E3661" t="s">
        <v>35</v>
      </c>
      <c r="F3661" t="str">
        <f>VLOOKUP(G3661,PC!B:D,2,FALSE)</f>
        <v>BEBIDAS</v>
      </c>
      <c r="G3661" s="4" t="s">
        <v>39</v>
      </c>
      <c r="H3661" s="1">
        <v>771.03</v>
      </c>
    </row>
    <row r="3662" spans="2:8" x14ac:dyDescent="0.2">
      <c r="B3662" t="str">
        <f>VLOOKUP(G3662,PC!B:D,3,FALSE)</f>
        <v>CPV</v>
      </c>
      <c r="C3662" s="22">
        <v>2023</v>
      </c>
      <c r="D3662" t="s">
        <v>106</v>
      </c>
      <c r="E3662" t="s">
        <v>21</v>
      </c>
      <c r="F3662" t="str">
        <f>VLOOKUP(G3662,PC!B:D,2,FALSE)</f>
        <v>SOBREMESA</v>
      </c>
      <c r="G3662" s="4" t="s">
        <v>23</v>
      </c>
      <c r="H3662" s="1">
        <v>122.53</v>
      </c>
    </row>
    <row r="3663" spans="2:8" x14ac:dyDescent="0.2">
      <c r="B3663" t="str">
        <f>VLOOKUP(G3663,PC!B:D,3,FALSE)</f>
        <v>CPV</v>
      </c>
      <c r="C3663" s="22">
        <v>2023</v>
      </c>
      <c r="D3663" t="s">
        <v>106</v>
      </c>
      <c r="E3663" t="s">
        <v>28</v>
      </c>
      <c r="F3663" t="str">
        <f>VLOOKUP(G3663,PC!B:D,2,FALSE)</f>
        <v>BEBIDAS</v>
      </c>
      <c r="G3663" s="4" t="s">
        <v>26</v>
      </c>
      <c r="H3663" s="1">
        <f>2118.84+110.33</f>
        <v>2229.17</v>
      </c>
    </row>
    <row r="3664" spans="2:8" x14ac:dyDescent="0.2">
      <c r="B3664" t="str">
        <f>VLOOKUP(G3664,PC!B:D,3,FALSE)</f>
        <v>CPV</v>
      </c>
      <c r="C3664" s="22">
        <v>2023</v>
      </c>
      <c r="D3664" t="s">
        <v>106</v>
      </c>
      <c r="E3664" t="s">
        <v>24</v>
      </c>
      <c r="F3664" t="str">
        <f>VLOOKUP(G3664,PC!B:D,2,FALSE)</f>
        <v>COMIDA</v>
      </c>
      <c r="G3664" s="4" t="s">
        <v>33</v>
      </c>
      <c r="H3664" s="1">
        <v>264.61</v>
      </c>
    </row>
    <row r="3665" spans="2:8" x14ac:dyDescent="0.2">
      <c r="B3665" t="str">
        <f>VLOOKUP(G3665,PC!B:D,3,FALSE)</f>
        <v>CPV</v>
      </c>
      <c r="C3665" s="22">
        <v>2023</v>
      </c>
      <c r="D3665" t="s">
        <v>106</v>
      </c>
      <c r="E3665" t="s">
        <v>209</v>
      </c>
      <c r="F3665" t="str">
        <f>VLOOKUP(G3665,PC!B:D,2,FALSE)</f>
        <v>COMIDA</v>
      </c>
      <c r="G3665" s="4" t="s">
        <v>18</v>
      </c>
      <c r="H3665" s="1">
        <v>129.78</v>
      </c>
    </row>
    <row r="3666" spans="2:8" x14ac:dyDescent="0.2">
      <c r="B3666" t="str">
        <f>VLOOKUP(G3666,PC!B:D,3,FALSE)</f>
        <v>CPV</v>
      </c>
      <c r="C3666" s="22">
        <v>2023</v>
      </c>
      <c r="D3666" t="s">
        <v>106</v>
      </c>
      <c r="E3666" t="s">
        <v>78</v>
      </c>
      <c r="F3666" t="str">
        <f>VLOOKUP(G3666,PC!B:D,2,FALSE)</f>
        <v>CIGARRO</v>
      </c>
      <c r="G3666" s="4" t="s">
        <v>82</v>
      </c>
      <c r="H3666" s="1">
        <v>826.83</v>
      </c>
    </row>
    <row r="3667" spans="2:8" x14ac:dyDescent="0.2">
      <c r="B3667" t="str">
        <f>VLOOKUP(G3667,PC!B:D,3,FALSE)</f>
        <v>CPV</v>
      </c>
      <c r="C3667" s="22">
        <v>2023</v>
      </c>
      <c r="D3667" t="s">
        <v>106</v>
      </c>
      <c r="E3667" t="s">
        <v>24</v>
      </c>
      <c r="F3667" t="str">
        <f>VLOOKUP(G3667,PC!B:D,2,FALSE)</f>
        <v>COMIDA</v>
      </c>
      <c r="G3667" s="4" t="s">
        <v>33</v>
      </c>
      <c r="H3667" s="1">
        <v>333.83</v>
      </c>
    </row>
    <row r="3668" spans="2:8" x14ac:dyDescent="0.2">
      <c r="B3668" t="str">
        <f>VLOOKUP(G3668,PC!B:D,3,FALSE)</f>
        <v>CPV</v>
      </c>
      <c r="C3668" s="22">
        <v>2023</v>
      </c>
      <c r="D3668" t="s">
        <v>106</v>
      </c>
      <c r="E3668" t="s">
        <v>100</v>
      </c>
      <c r="F3668" t="str">
        <f>VLOOKUP(G3668,PC!B:D,2,FALSE)</f>
        <v>SOBREMESA</v>
      </c>
      <c r="G3668" s="4" t="s">
        <v>23</v>
      </c>
      <c r="H3668" s="1">
        <v>176.7</v>
      </c>
    </row>
    <row r="3669" spans="2:8" x14ac:dyDescent="0.2">
      <c r="B3669" t="str">
        <f>VLOOKUP(G3669,PC!B:D,3,FALSE)</f>
        <v>CPV</v>
      </c>
      <c r="C3669" s="22">
        <v>2023</v>
      </c>
      <c r="D3669" t="s">
        <v>106</v>
      </c>
      <c r="E3669" t="s">
        <v>10</v>
      </c>
      <c r="F3669" t="str">
        <f>VLOOKUP(G3669,PC!B:D,2,FALSE)</f>
        <v>COMIDA</v>
      </c>
      <c r="G3669" s="4" t="s">
        <v>33</v>
      </c>
      <c r="H3669" s="1">
        <v>861.13</v>
      </c>
    </row>
    <row r="3670" spans="2:8" x14ac:dyDescent="0.2">
      <c r="B3670" t="str">
        <f>VLOOKUP(G3670,PC!B:D,3,FALSE)</f>
        <v>CPV</v>
      </c>
      <c r="C3670" s="22">
        <v>2023</v>
      </c>
      <c r="D3670" t="s">
        <v>106</v>
      </c>
      <c r="E3670" t="s">
        <v>212</v>
      </c>
      <c r="F3670" t="str">
        <f>VLOOKUP(G3670,PC!B:D,2,FALSE)</f>
        <v>COMIDA</v>
      </c>
      <c r="G3670" s="4" t="s">
        <v>33</v>
      </c>
      <c r="H3670" s="1">
        <v>163.15</v>
      </c>
    </row>
    <row r="3671" spans="2:8" x14ac:dyDescent="0.2">
      <c r="B3671" t="str">
        <f>VLOOKUP(G3671,PC!B:D,3,FALSE)</f>
        <v>CPV</v>
      </c>
      <c r="C3671" s="22">
        <v>2023</v>
      </c>
      <c r="D3671" t="s">
        <v>106</v>
      </c>
      <c r="E3671" t="s">
        <v>28</v>
      </c>
      <c r="F3671" t="str">
        <f>VLOOKUP(G3671,PC!B:D,2,FALSE)</f>
        <v>BEBIDAS</v>
      </c>
      <c r="G3671" s="4" t="s">
        <v>26</v>
      </c>
      <c r="H3671" s="1">
        <v>3000</v>
      </c>
    </row>
    <row r="3672" spans="2:8" x14ac:dyDescent="0.2">
      <c r="B3672" t="str">
        <f>VLOOKUP(G3672,PC!B:D,3,FALSE)</f>
        <v>CPV</v>
      </c>
      <c r="C3672" s="22">
        <v>2023</v>
      </c>
      <c r="D3672" t="s">
        <v>106</v>
      </c>
      <c r="E3672" t="s">
        <v>28</v>
      </c>
      <c r="F3672" t="str">
        <f>VLOOKUP(G3672,PC!B:D,2,FALSE)</f>
        <v>BEBIDAS</v>
      </c>
      <c r="G3672" s="4" t="s">
        <v>25</v>
      </c>
      <c r="H3672" s="1">
        <v>300</v>
      </c>
    </row>
    <row r="3673" spans="2:8" x14ac:dyDescent="0.2">
      <c r="B3673" t="str">
        <f>VLOOKUP(G3673,PC!B:D,3,FALSE)</f>
        <v>CPV</v>
      </c>
      <c r="C3673" s="22">
        <v>2023</v>
      </c>
      <c r="D3673" t="s">
        <v>106</v>
      </c>
      <c r="E3673" t="s">
        <v>28</v>
      </c>
      <c r="F3673" t="str">
        <f>VLOOKUP(G3673,PC!B:D,2,FALSE)</f>
        <v>BEBIDAS</v>
      </c>
      <c r="G3673" s="4" t="s">
        <v>41</v>
      </c>
      <c r="H3673" s="1">
        <f>3875.07-3300</f>
        <v>575.07000000000016</v>
      </c>
    </row>
    <row r="3674" spans="2:8" x14ac:dyDescent="0.2">
      <c r="B3674" t="str">
        <f>VLOOKUP(G3674,PC!B:D,3,FALSE)</f>
        <v>CPV</v>
      </c>
      <c r="C3674" s="22">
        <v>2023</v>
      </c>
      <c r="D3674" t="s">
        <v>106</v>
      </c>
      <c r="E3674" t="s">
        <v>14</v>
      </c>
      <c r="F3674" t="str">
        <f>VLOOKUP(G3674,PC!B:D,2,FALSE)</f>
        <v>BEBIDAS</v>
      </c>
      <c r="G3674" s="4" t="s">
        <v>25</v>
      </c>
      <c r="H3674" s="1">
        <v>1482.74</v>
      </c>
    </row>
    <row r="3675" spans="2:8" x14ac:dyDescent="0.2">
      <c r="B3675" t="str">
        <f>VLOOKUP(G3675,PC!B:D,3,FALSE)</f>
        <v>CPV</v>
      </c>
      <c r="C3675" s="22">
        <v>2023</v>
      </c>
      <c r="D3675" t="s">
        <v>106</v>
      </c>
      <c r="E3675" t="s">
        <v>211</v>
      </c>
      <c r="F3675" t="str">
        <f>VLOOKUP(G3675,PC!B:D,2,FALSE)</f>
        <v>BEBIDAS</v>
      </c>
      <c r="G3675" s="4" t="s">
        <v>26</v>
      </c>
      <c r="H3675" s="1">
        <v>459.92</v>
      </c>
    </row>
    <row r="3676" spans="2:8" x14ac:dyDescent="0.2">
      <c r="B3676" t="str">
        <f>VLOOKUP(G3676,PC!B:D,3,FALSE)</f>
        <v>CPV</v>
      </c>
      <c r="C3676" s="22">
        <v>2023</v>
      </c>
      <c r="D3676" t="s">
        <v>106</v>
      </c>
      <c r="E3676" t="s">
        <v>6</v>
      </c>
      <c r="F3676" t="str">
        <f>VLOOKUP(G3676,PC!B:D,2,FALSE)</f>
        <v>COMIDA</v>
      </c>
      <c r="G3676" s="4" t="s">
        <v>145</v>
      </c>
      <c r="H3676" s="1">
        <v>41.3</v>
      </c>
    </row>
    <row r="3677" spans="2:8" x14ac:dyDescent="0.2">
      <c r="B3677" t="str">
        <f>VLOOKUP(G3677,PC!B:D,3,FALSE)</f>
        <v>CPV</v>
      </c>
      <c r="C3677" s="22">
        <v>2023</v>
      </c>
      <c r="D3677" t="s">
        <v>106</v>
      </c>
      <c r="E3677" t="s">
        <v>20</v>
      </c>
      <c r="F3677" t="str">
        <f>VLOOKUP(G3677,PC!B:D,2,FALSE)</f>
        <v>COMIDA</v>
      </c>
      <c r="G3677" s="4" t="s">
        <v>29</v>
      </c>
      <c r="H3677" s="1">
        <v>107.7</v>
      </c>
    </row>
    <row r="3678" spans="2:8" x14ac:dyDescent="0.2">
      <c r="B3678" t="str">
        <f>VLOOKUP(G3678,PC!B:D,3,FALSE)</f>
        <v>CPV</v>
      </c>
      <c r="C3678" s="22">
        <v>2023</v>
      </c>
      <c r="D3678" t="s">
        <v>106</v>
      </c>
      <c r="E3678" t="s">
        <v>28</v>
      </c>
      <c r="F3678" t="str">
        <f>VLOOKUP(G3678,PC!B:D,2,FALSE)</f>
        <v>BEBIDAS</v>
      </c>
      <c r="G3678" s="4" t="s">
        <v>26</v>
      </c>
      <c r="H3678" s="1">
        <v>4571.24</v>
      </c>
    </row>
    <row r="3679" spans="2:8" x14ac:dyDescent="0.2">
      <c r="B3679" t="str">
        <f>VLOOKUP(G3679,PC!B:D,3,FALSE)</f>
        <v>CPV</v>
      </c>
      <c r="C3679" s="22">
        <v>2023</v>
      </c>
      <c r="D3679" t="s">
        <v>106</v>
      </c>
      <c r="E3679" t="s">
        <v>35</v>
      </c>
      <c r="F3679" t="str">
        <f>VLOOKUP(G3679,PC!B:D,2,FALSE)</f>
        <v>HIGIENE</v>
      </c>
      <c r="G3679" s="4" t="s">
        <v>36</v>
      </c>
      <c r="H3679" s="1">
        <v>764.82</v>
      </c>
    </row>
    <row r="3680" spans="2:8" x14ac:dyDescent="0.2">
      <c r="B3680" t="str">
        <f>VLOOKUP(G3680,PC!B:D,3,FALSE)</f>
        <v>CPV</v>
      </c>
      <c r="C3680" s="22">
        <v>2023</v>
      </c>
      <c r="D3680" t="s">
        <v>106</v>
      </c>
      <c r="E3680" t="s">
        <v>16</v>
      </c>
      <c r="F3680" t="str">
        <f>VLOOKUP(G3680,PC!B:D,2,FALSE)</f>
        <v>COMIDA</v>
      </c>
      <c r="G3680" s="4" t="s">
        <v>12</v>
      </c>
      <c r="H3680" s="1">
        <v>260.76</v>
      </c>
    </row>
    <row r="3681" spans="2:8" x14ac:dyDescent="0.2">
      <c r="B3681" t="str">
        <f>VLOOKUP(G3681,PC!B:D,3,FALSE)</f>
        <v>CPV</v>
      </c>
      <c r="C3681" s="22">
        <v>2023</v>
      </c>
      <c r="D3681" t="s">
        <v>106</v>
      </c>
      <c r="E3681" t="s">
        <v>14</v>
      </c>
      <c r="F3681" t="str">
        <f>VLOOKUP(G3681,PC!B:D,2,FALSE)</f>
        <v>BEBIDAS</v>
      </c>
      <c r="G3681" s="4" t="s">
        <v>26</v>
      </c>
      <c r="H3681" s="1">
        <v>92.02</v>
      </c>
    </row>
    <row r="3682" spans="2:8" x14ac:dyDescent="0.2">
      <c r="B3682" t="str">
        <f>VLOOKUP(G3682,PC!B:D,3,FALSE)</f>
        <v>CPV</v>
      </c>
      <c r="C3682" s="22">
        <v>2023</v>
      </c>
      <c r="D3682" t="s">
        <v>106</v>
      </c>
      <c r="E3682" t="s">
        <v>14</v>
      </c>
      <c r="F3682" t="str">
        <f>VLOOKUP(G3682,PC!B:D,2,FALSE)</f>
        <v>BEBIDAS</v>
      </c>
      <c r="G3682" s="4" t="s">
        <v>25</v>
      </c>
      <c r="H3682" s="1">
        <v>629.64</v>
      </c>
    </row>
    <row r="3683" spans="2:8" x14ac:dyDescent="0.2">
      <c r="B3683" t="str">
        <f>VLOOKUP(G3683,PC!B:D,3,FALSE)</f>
        <v>CPV</v>
      </c>
      <c r="C3683" s="22">
        <v>2023</v>
      </c>
      <c r="D3683" t="s">
        <v>106</v>
      </c>
      <c r="E3683" t="s">
        <v>45</v>
      </c>
      <c r="F3683" t="str">
        <f>VLOOKUP(G3683,PC!B:D,2,FALSE)</f>
        <v>LIMPEZA</v>
      </c>
      <c r="G3683" s="4" t="s">
        <v>43</v>
      </c>
      <c r="H3683" s="1">
        <v>568.36</v>
      </c>
    </row>
    <row r="3684" spans="2:8" x14ac:dyDescent="0.2">
      <c r="B3684" t="str">
        <f>VLOOKUP(G3684,PC!B:D,3,FALSE)</f>
        <v>CPV</v>
      </c>
      <c r="C3684" s="22">
        <v>2023</v>
      </c>
      <c r="D3684" t="s">
        <v>106</v>
      </c>
      <c r="E3684" t="s">
        <v>95</v>
      </c>
      <c r="F3684" t="str">
        <f>VLOOKUP(G3684,PC!B:D,2,FALSE)</f>
        <v>BEBIDAS</v>
      </c>
      <c r="G3684" s="4" t="s">
        <v>144</v>
      </c>
      <c r="H3684" s="1">
        <v>280</v>
      </c>
    </row>
    <row r="3685" spans="2:8" x14ac:dyDescent="0.2">
      <c r="B3685" t="str">
        <f>VLOOKUP(G3685,PC!B:D,3,FALSE)</f>
        <v>CPV</v>
      </c>
      <c r="C3685" s="22">
        <v>2023</v>
      </c>
      <c r="D3685" t="s">
        <v>106</v>
      </c>
      <c r="E3685" t="s">
        <v>217</v>
      </c>
      <c r="F3685" t="str">
        <f>VLOOKUP(G3685,PC!B:D,2,FALSE)</f>
        <v>BEBIDAS</v>
      </c>
      <c r="G3685" s="4" t="s">
        <v>51</v>
      </c>
      <c r="H3685" s="1">
        <v>416.57</v>
      </c>
    </row>
    <row r="3686" spans="2:8" x14ac:dyDescent="0.2">
      <c r="B3686" t="str">
        <f>VLOOKUP(G3686,PC!B:D,3,FALSE)</f>
        <v>CPV</v>
      </c>
      <c r="C3686" s="22">
        <v>2023</v>
      </c>
      <c r="D3686" t="s">
        <v>106</v>
      </c>
      <c r="E3686" t="s">
        <v>49</v>
      </c>
      <c r="F3686" t="str">
        <f>VLOOKUP(G3686,PC!B:D,2,FALSE)</f>
        <v>CIGARRO</v>
      </c>
      <c r="G3686" s="4" t="s">
        <v>52</v>
      </c>
      <c r="H3686" s="1">
        <v>5356.41</v>
      </c>
    </row>
    <row r="3687" spans="2:8" x14ac:dyDescent="0.2">
      <c r="B3687" t="str">
        <f>VLOOKUP(G3687,PC!B:D,3,FALSE)</f>
        <v>CPV</v>
      </c>
      <c r="C3687" s="22">
        <v>2023</v>
      </c>
      <c r="D3687" t="s">
        <v>106</v>
      </c>
      <c r="E3687" t="s">
        <v>28</v>
      </c>
      <c r="F3687" t="str">
        <f>VLOOKUP(G3687,PC!B:D,2,FALSE)</f>
        <v>BEBIDAS</v>
      </c>
      <c r="G3687" s="4" t="s">
        <v>26</v>
      </c>
      <c r="H3687" s="1">
        <v>2422.33</v>
      </c>
    </row>
    <row r="3688" spans="2:8" x14ac:dyDescent="0.2">
      <c r="B3688" t="str">
        <f>VLOOKUP(G3688,PC!B:D,3,FALSE)</f>
        <v>CPV</v>
      </c>
      <c r="C3688" s="22">
        <v>2023</v>
      </c>
      <c r="D3688" t="s">
        <v>106</v>
      </c>
      <c r="E3688" t="s">
        <v>27</v>
      </c>
      <c r="F3688" t="str">
        <f>VLOOKUP(G3688,PC!B:D,2,FALSE)</f>
        <v>COMIDA</v>
      </c>
      <c r="G3688" s="4" t="s">
        <v>12</v>
      </c>
      <c r="H3688" s="1">
        <v>190.59</v>
      </c>
    </row>
    <row r="3689" spans="2:8" x14ac:dyDescent="0.2">
      <c r="B3689" t="str">
        <f>VLOOKUP(G3689,PC!B:D,3,FALSE)</f>
        <v>CPV</v>
      </c>
      <c r="C3689" s="22">
        <v>2023</v>
      </c>
      <c r="D3689" t="s">
        <v>106</v>
      </c>
      <c r="E3689" t="s">
        <v>24</v>
      </c>
      <c r="F3689" t="str">
        <f>VLOOKUP(G3689,PC!B:D,2,FALSE)</f>
        <v>COMIDA</v>
      </c>
      <c r="G3689" s="4" t="s">
        <v>33</v>
      </c>
      <c r="H3689" s="1">
        <v>367.43</v>
      </c>
    </row>
    <row r="3690" spans="2:8" x14ac:dyDescent="0.2">
      <c r="B3690" t="str">
        <f>VLOOKUP(G3690,PC!B:D,3,FALSE)</f>
        <v>CPV</v>
      </c>
      <c r="C3690" s="22">
        <v>2023</v>
      </c>
      <c r="D3690" t="s">
        <v>106</v>
      </c>
      <c r="E3690" t="s">
        <v>21</v>
      </c>
      <c r="F3690" t="str">
        <f>VLOOKUP(G3690,PC!B:D,2,FALSE)</f>
        <v>SOBREMESA</v>
      </c>
      <c r="G3690" s="4" t="s">
        <v>23</v>
      </c>
      <c r="H3690" s="1">
        <v>283.16000000000003</v>
      </c>
    </row>
    <row r="3691" spans="2:8" x14ac:dyDescent="0.2">
      <c r="B3691" t="str">
        <f>VLOOKUP(G3691,PC!B:D,3,FALSE)</f>
        <v>CPV</v>
      </c>
      <c r="C3691" s="22">
        <v>2023</v>
      </c>
      <c r="D3691" t="s">
        <v>106</v>
      </c>
      <c r="E3691" t="s">
        <v>208</v>
      </c>
      <c r="F3691" t="str">
        <f>VLOOKUP(G3691,PC!B:D,2,FALSE)</f>
        <v>SOBREMESA</v>
      </c>
      <c r="G3691" s="4" t="s">
        <v>8</v>
      </c>
      <c r="H3691" s="1">
        <v>329.82</v>
      </c>
    </row>
    <row r="3692" spans="2:8" x14ac:dyDescent="0.2">
      <c r="B3692" t="str">
        <f>VLOOKUP(G3692,PC!B:D,3,FALSE)</f>
        <v>CPV</v>
      </c>
      <c r="C3692" s="22">
        <v>2023</v>
      </c>
      <c r="D3692" t="s">
        <v>106</v>
      </c>
      <c r="E3692" t="s">
        <v>14</v>
      </c>
      <c r="F3692" t="str">
        <f>VLOOKUP(G3692,PC!B:D,2,FALSE)</f>
        <v>BEBIDAS</v>
      </c>
      <c r="G3692" s="4" t="s">
        <v>46</v>
      </c>
      <c r="H3692" s="1">
        <f>979.61-H3693</f>
        <v>547.34</v>
      </c>
    </row>
    <row r="3693" spans="2:8" x14ac:dyDescent="0.2">
      <c r="B3693" t="str">
        <f>VLOOKUP(G3693,PC!B:D,3,FALSE)</f>
        <v>CPV</v>
      </c>
      <c r="C3693" s="22">
        <v>2023</v>
      </c>
      <c r="D3693" t="s">
        <v>106</v>
      </c>
      <c r="E3693" t="s">
        <v>14</v>
      </c>
      <c r="F3693" t="str">
        <f>VLOOKUP(G3693,PC!B:D,2,FALSE)</f>
        <v>BEBIDAS</v>
      </c>
      <c r="G3693" s="4" t="s">
        <v>25</v>
      </c>
      <c r="H3693" s="1">
        <v>432.27</v>
      </c>
    </row>
    <row r="3694" spans="2:8" x14ac:dyDescent="0.2">
      <c r="B3694" t="str">
        <f>VLOOKUP(G3694,PC!B:D,3,FALSE)</f>
        <v>CPV</v>
      </c>
      <c r="C3694" s="22">
        <v>2023</v>
      </c>
      <c r="D3694" t="s">
        <v>106</v>
      </c>
      <c r="E3694" t="s">
        <v>13</v>
      </c>
      <c r="F3694" t="str">
        <f>VLOOKUP(G3694,PC!B:D,2,FALSE)</f>
        <v>COMIDA</v>
      </c>
      <c r="G3694" s="4" t="s">
        <v>33</v>
      </c>
      <c r="H3694" s="1">
        <v>373.24</v>
      </c>
    </row>
    <row r="3695" spans="2:8" x14ac:dyDescent="0.2">
      <c r="B3695" t="str">
        <f>VLOOKUP(G3695,PC!B:D,3,FALSE)</f>
        <v>CPV</v>
      </c>
      <c r="C3695" s="22">
        <v>2023</v>
      </c>
      <c r="D3695" t="s">
        <v>106</v>
      </c>
      <c r="E3695" t="s">
        <v>165</v>
      </c>
      <c r="F3695" t="str">
        <f>VLOOKUP(G3695,PC!B:D,2,FALSE)</f>
        <v>COMIDA</v>
      </c>
      <c r="G3695" s="4" t="s">
        <v>33</v>
      </c>
      <c r="H3695" s="1">
        <v>1808.96</v>
      </c>
    </row>
    <row r="3696" spans="2:8" x14ac:dyDescent="0.2">
      <c r="B3696" t="str">
        <f>VLOOKUP(G3696,PC!B:D,3,FALSE)</f>
        <v>CPV</v>
      </c>
      <c r="C3696" s="22">
        <v>2023</v>
      </c>
      <c r="D3696" t="s">
        <v>106</v>
      </c>
      <c r="E3696" t="s">
        <v>211</v>
      </c>
      <c r="F3696" t="str">
        <f>VLOOKUP(G3696,PC!B:D,2,FALSE)</f>
        <v>BEBIDAS</v>
      </c>
      <c r="G3696" s="4" t="s">
        <v>26</v>
      </c>
      <c r="H3696" s="1">
        <v>1393.13</v>
      </c>
    </row>
    <row r="3697" spans="2:8" x14ac:dyDescent="0.2">
      <c r="B3697" t="str">
        <f>VLOOKUP(G3697,PC!B:D,3,FALSE)</f>
        <v>CPV</v>
      </c>
      <c r="C3697" s="22">
        <v>2023</v>
      </c>
      <c r="D3697" t="s">
        <v>106</v>
      </c>
      <c r="E3697" t="s">
        <v>28</v>
      </c>
      <c r="F3697" t="str">
        <f>VLOOKUP(G3697,PC!B:D,2,FALSE)</f>
        <v>BEBIDAS</v>
      </c>
      <c r="G3697" s="4" t="s">
        <v>26</v>
      </c>
      <c r="H3697" s="1">
        <v>593.51</v>
      </c>
    </row>
    <row r="3698" spans="2:8" x14ac:dyDescent="0.2">
      <c r="B3698" t="str">
        <f>VLOOKUP(G3698,PC!B:D,3,FALSE)</f>
        <v>CPV</v>
      </c>
      <c r="C3698" s="22">
        <v>2023</v>
      </c>
      <c r="D3698" t="s">
        <v>106</v>
      </c>
      <c r="E3698" t="s">
        <v>20</v>
      </c>
      <c r="F3698" t="str">
        <f>VLOOKUP(G3698,PC!B:D,2,FALSE)</f>
        <v>COMIDA</v>
      </c>
      <c r="G3698" s="4" t="s">
        <v>29</v>
      </c>
      <c r="H3698" s="1">
        <v>235.7</v>
      </c>
    </row>
    <row r="3699" spans="2:8" x14ac:dyDescent="0.2">
      <c r="B3699" t="str">
        <f>VLOOKUP(G3699,PC!B:D,3,FALSE)</f>
        <v>CPV</v>
      </c>
      <c r="C3699" s="22">
        <v>2023</v>
      </c>
      <c r="D3699" t="s">
        <v>106</v>
      </c>
      <c r="E3699" t="s">
        <v>97</v>
      </c>
      <c r="F3699" t="str">
        <f>VLOOKUP(G3699,PC!B:D,2,FALSE)</f>
        <v>SOBREMESA</v>
      </c>
      <c r="G3699" s="4" t="s">
        <v>23</v>
      </c>
      <c r="H3699" s="1">
        <v>443.51</v>
      </c>
    </row>
    <row r="3700" spans="2:8" x14ac:dyDescent="0.2">
      <c r="B3700" t="str">
        <f>VLOOKUP(G3700,PC!B:D,3,FALSE)</f>
        <v>CPV</v>
      </c>
      <c r="C3700" s="22">
        <v>2023</v>
      </c>
      <c r="D3700" t="s">
        <v>106</v>
      </c>
      <c r="E3700" t="s">
        <v>191</v>
      </c>
      <c r="F3700" t="str">
        <f>VLOOKUP(G3700,PC!B:D,2,FALSE)</f>
        <v>COMIDA</v>
      </c>
      <c r="G3700" s="4" t="s">
        <v>33</v>
      </c>
      <c r="H3700" s="1">
        <v>111</v>
      </c>
    </row>
    <row r="3701" spans="2:8" x14ac:dyDescent="0.2">
      <c r="B3701" t="str">
        <f>VLOOKUP(G3701,PC!B:D,3,FALSE)</f>
        <v>CPV</v>
      </c>
      <c r="C3701" s="22">
        <v>2023</v>
      </c>
      <c r="D3701" t="s">
        <v>106</v>
      </c>
      <c r="E3701" t="s">
        <v>6</v>
      </c>
      <c r="F3701" t="str">
        <f>VLOOKUP(G3701,PC!B:D,2,FALSE)</f>
        <v>COMIDA</v>
      </c>
      <c r="G3701" s="4" t="s">
        <v>145</v>
      </c>
      <c r="H3701" s="1">
        <v>41.3</v>
      </c>
    </row>
    <row r="3702" spans="2:8" x14ac:dyDescent="0.2">
      <c r="B3702" t="str">
        <f>VLOOKUP(G3702,PC!B:D,3,FALSE)</f>
        <v>CPV</v>
      </c>
      <c r="C3702" s="22">
        <v>2023</v>
      </c>
      <c r="D3702" t="s">
        <v>106</v>
      </c>
      <c r="E3702" t="s">
        <v>19</v>
      </c>
      <c r="F3702" t="str">
        <f>VLOOKUP(G3702,PC!B:D,2,FALSE)</f>
        <v>COMIDA</v>
      </c>
      <c r="G3702" s="4" t="s">
        <v>22</v>
      </c>
      <c r="H3702" s="1">
        <v>467.8</v>
      </c>
    </row>
    <row r="3703" spans="2:8" x14ac:dyDescent="0.2">
      <c r="B3703" t="str">
        <f>VLOOKUP(G3703,PC!B:D,3,FALSE)</f>
        <v>CPV</v>
      </c>
      <c r="C3703" s="22">
        <v>2023</v>
      </c>
      <c r="D3703" t="s">
        <v>106</v>
      </c>
      <c r="E3703" t="s">
        <v>5</v>
      </c>
      <c r="F3703" t="str">
        <f>VLOOKUP(G3703,PC!B:D,2,FALSE)</f>
        <v>COMIDA</v>
      </c>
      <c r="G3703" s="4" t="s">
        <v>18</v>
      </c>
      <c r="H3703" s="1">
        <v>343.84</v>
      </c>
    </row>
    <row r="3704" spans="2:8" x14ac:dyDescent="0.2">
      <c r="B3704" t="str">
        <f>VLOOKUP(G3704,PC!B:D,3,FALSE)</f>
        <v>CPV</v>
      </c>
      <c r="C3704" s="22">
        <v>2023</v>
      </c>
      <c r="D3704" t="s">
        <v>106</v>
      </c>
      <c r="E3704" t="s">
        <v>166</v>
      </c>
      <c r="F3704" t="str">
        <f>VLOOKUP(G3704,PC!B:D,2,FALSE)</f>
        <v>OUTROS</v>
      </c>
      <c r="G3704" s="4" t="s">
        <v>37</v>
      </c>
      <c r="H3704" s="1">
        <v>81.41</v>
      </c>
    </row>
    <row r="3705" spans="2:8" x14ac:dyDescent="0.2">
      <c r="B3705" t="str">
        <f>VLOOKUP(G3705,PC!B:D,3,FALSE)</f>
        <v>CPV</v>
      </c>
      <c r="C3705" s="22">
        <v>2023</v>
      </c>
      <c r="D3705" t="s">
        <v>106</v>
      </c>
      <c r="E3705" t="s">
        <v>14</v>
      </c>
      <c r="F3705" t="str">
        <f>VLOOKUP(G3705,PC!B:D,2,FALSE)</f>
        <v>BEBIDAS</v>
      </c>
      <c r="G3705" s="4" t="s">
        <v>25</v>
      </c>
      <c r="H3705" s="1">
        <v>683.74</v>
      </c>
    </row>
    <row r="3706" spans="2:8" x14ac:dyDescent="0.2">
      <c r="B3706" t="str">
        <f>VLOOKUP(G3706,PC!B:D,3,FALSE)</f>
        <v>CPV</v>
      </c>
      <c r="C3706" s="22">
        <v>2023</v>
      </c>
      <c r="D3706" t="s">
        <v>106</v>
      </c>
      <c r="E3706" t="s">
        <v>14</v>
      </c>
      <c r="F3706" t="str">
        <f>VLOOKUP(G3706,PC!B:D,2,FALSE)</f>
        <v>BEBIDAS</v>
      </c>
      <c r="G3706" s="4" t="s">
        <v>25</v>
      </c>
      <c r="H3706" s="1">
        <v>443.53</v>
      </c>
    </row>
    <row r="3707" spans="2:8" x14ac:dyDescent="0.2">
      <c r="B3707" t="str">
        <f>VLOOKUP(G3707,PC!B:D,3,FALSE)</f>
        <v>RECEITA</v>
      </c>
      <c r="C3707" s="22">
        <v>2023</v>
      </c>
      <c r="D3707" t="s">
        <v>106</v>
      </c>
      <c r="F3707" t="str">
        <f>VLOOKUP(G3707,PC!B:D,2,FALSE)</f>
        <v>RECEITA</v>
      </c>
      <c r="G3707" s="4" t="s">
        <v>83</v>
      </c>
      <c r="H3707" s="1">
        <v>12.61</v>
      </c>
    </row>
    <row r="3708" spans="2:8" x14ac:dyDescent="0.2">
      <c r="B3708" t="str">
        <f>VLOOKUP(G3708,PC!B:D,3,FALSE)</f>
        <v>CPV</v>
      </c>
      <c r="C3708" s="22">
        <v>2023</v>
      </c>
      <c r="D3708" t="s">
        <v>106</v>
      </c>
      <c r="E3708" t="s">
        <v>45</v>
      </c>
      <c r="F3708" t="str">
        <f>VLOOKUP(G3708,PC!B:D,2,FALSE)</f>
        <v>LIMPEZA</v>
      </c>
      <c r="G3708" s="4" t="s">
        <v>43</v>
      </c>
      <c r="H3708" s="1">
        <v>273.63</v>
      </c>
    </row>
    <row r="3709" spans="2:8" x14ac:dyDescent="0.2">
      <c r="B3709" t="str">
        <f>VLOOKUP(G3709,PC!B:D,3,FALSE)</f>
        <v>CPV</v>
      </c>
      <c r="C3709" s="22">
        <v>2023</v>
      </c>
      <c r="D3709" t="s">
        <v>106</v>
      </c>
      <c r="E3709" t="s">
        <v>156</v>
      </c>
      <c r="F3709" t="str">
        <f>VLOOKUP(G3709,PC!B:D,2,FALSE)</f>
        <v>BEBIDAS</v>
      </c>
      <c r="G3709" s="4" t="s">
        <v>26</v>
      </c>
      <c r="H3709" s="1">
        <v>181.2</v>
      </c>
    </row>
    <row r="3710" spans="2:8" x14ac:dyDescent="0.2">
      <c r="B3710" t="str">
        <f>VLOOKUP(G3710,PC!B:D,3,FALSE)</f>
        <v>CPV</v>
      </c>
      <c r="C3710" s="22">
        <v>2023</v>
      </c>
      <c r="D3710" t="s">
        <v>106</v>
      </c>
      <c r="E3710" t="s">
        <v>211</v>
      </c>
      <c r="F3710" t="str">
        <f>VLOOKUP(G3710,PC!B:D,2,FALSE)</f>
        <v>BEBIDAS</v>
      </c>
      <c r="G3710" s="4" t="s">
        <v>26</v>
      </c>
      <c r="H3710" s="1">
        <v>953.02</v>
      </c>
    </row>
    <row r="3711" spans="2:8" x14ac:dyDescent="0.2">
      <c r="B3711" t="str">
        <f>VLOOKUP(G3711,PC!B:D,3,FALSE)</f>
        <v>CPV</v>
      </c>
      <c r="C3711" s="22">
        <v>2023</v>
      </c>
      <c r="D3711" t="s">
        <v>106</v>
      </c>
      <c r="E3711" t="s">
        <v>28</v>
      </c>
      <c r="F3711" t="str">
        <f>VLOOKUP(G3711,PC!B:D,2,FALSE)</f>
        <v>BEBIDAS</v>
      </c>
      <c r="G3711" s="4" t="s">
        <v>26</v>
      </c>
      <c r="H3711" s="1">
        <v>1862.76</v>
      </c>
    </row>
    <row r="3712" spans="2:8" x14ac:dyDescent="0.2">
      <c r="B3712" t="str">
        <f>VLOOKUP(G3712,PC!B:D,3,FALSE)</f>
        <v>CPV</v>
      </c>
      <c r="C3712" s="22">
        <v>2023</v>
      </c>
      <c r="D3712" t="s">
        <v>106</v>
      </c>
      <c r="E3712" t="s">
        <v>5</v>
      </c>
      <c r="F3712" t="str">
        <f>VLOOKUP(G3712,PC!B:D,2,FALSE)</f>
        <v>COMIDA</v>
      </c>
      <c r="G3712" s="4" t="s">
        <v>18</v>
      </c>
      <c r="H3712" s="1">
        <v>137.72</v>
      </c>
    </row>
    <row r="3713" spans="2:8" x14ac:dyDescent="0.2">
      <c r="B3713" t="str">
        <f>VLOOKUP(G3713,PC!B:D,3,FALSE)</f>
        <v>CPV</v>
      </c>
      <c r="C3713" s="22">
        <v>2023</v>
      </c>
      <c r="D3713" t="s">
        <v>106</v>
      </c>
      <c r="E3713" t="s">
        <v>24</v>
      </c>
      <c r="F3713" t="str">
        <f>VLOOKUP(G3713,PC!B:D,2,FALSE)</f>
        <v>COMIDA</v>
      </c>
      <c r="G3713" s="4" t="s">
        <v>33</v>
      </c>
      <c r="H3713" s="1">
        <v>131.80000000000001</v>
      </c>
    </row>
    <row r="3714" spans="2:8" x14ac:dyDescent="0.2">
      <c r="B3714" t="str">
        <f>VLOOKUP(G3714,PC!B:D,3,FALSE)</f>
        <v>CPV</v>
      </c>
      <c r="C3714" s="22">
        <v>2023</v>
      </c>
      <c r="D3714" t="s">
        <v>106</v>
      </c>
      <c r="E3714" t="s">
        <v>28</v>
      </c>
      <c r="F3714" t="str">
        <f>VLOOKUP(G3714,PC!B:D,2,FALSE)</f>
        <v>BEBIDAS</v>
      </c>
      <c r="G3714" s="4" t="s">
        <v>25</v>
      </c>
      <c r="H3714" s="1">
        <v>299.67</v>
      </c>
    </row>
    <row r="3715" spans="2:8" x14ac:dyDescent="0.2">
      <c r="B3715" t="str">
        <f>VLOOKUP(G3715,PC!B:D,3,FALSE)</f>
        <v>CPV</v>
      </c>
      <c r="C3715" s="22">
        <v>2023</v>
      </c>
      <c r="D3715" t="s">
        <v>106</v>
      </c>
      <c r="E3715" t="s">
        <v>45</v>
      </c>
      <c r="F3715" t="str">
        <f>VLOOKUP(G3715,PC!B:D,2,FALSE)</f>
        <v>OUTROS</v>
      </c>
      <c r="G3715" s="4" t="s">
        <v>37</v>
      </c>
      <c r="H3715" s="1">
        <v>434.3</v>
      </c>
    </row>
    <row r="3716" spans="2:8" x14ac:dyDescent="0.2">
      <c r="B3716" t="str">
        <f>VLOOKUP(G3716,PC!B:D,3,FALSE)</f>
        <v>CPV</v>
      </c>
      <c r="C3716" s="22">
        <v>2023</v>
      </c>
      <c r="D3716" t="s">
        <v>106</v>
      </c>
      <c r="E3716" t="s">
        <v>28</v>
      </c>
      <c r="F3716" t="str">
        <f>VLOOKUP(G3716,PC!B:D,2,FALSE)</f>
        <v>BEBIDAS</v>
      </c>
      <c r="G3716" s="4" t="s">
        <v>26</v>
      </c>
      <c r="H3716" s="1">
        <v>1621.84</v>
      </c>
    </row>
    <row r="3717" spans="2:8" x14ac:dyDescent="0.2">
      <c r="B3717" t="str">
        <f>VLOOKUP(G3717,PC!B:D,3,FALSE)</f>
        <v>CPV</v>
      </c>
      <c r="C3717" s="22">
        <v>2023</v>
      </c>
      <c r="D3717" t="s">
        <v>106</v>
      </c>
      <c r="E3717" t="s">
        <v>28</v>
      </c>
      <c r="F3717" t="str">
        <f>VLOOKUP(G3717,PC!B:D,2,FALSE)</f>
        <v>BEBIDAS</v>
      </c>
      <c r="G3717" s="4" t="s">
        <v>25</v>
      </c>
      <c r="H3717" s="1">
        <v>35.9</v>
      </c>
    </row>
    <row r="3718" spans="2:8" x14ac:dyDescent="0.2">
      <c r="B3718" t="str">
        <f>VLOOKUP(G3718,PC!B:D,3,FALSE)</f>
        <v>CPV</v>
      </c>
      <c r="C3718" s="22">
        <v>2023</v>
      </c>
      <c r="D3718" t="s">
        <v>106</v>
      </c>
      <c r="E3718" t="s">
        <v>28</v>
      </c>
      <c r="F3718" t="str">
        <f>VLOOKUP(G3718,PC!B:D,2,FALSE)</f>
        <v>BEBIDAS</v>
      </c>
      <c r="G3718" s="4" t="s">
        <v>41</v>
      </c>
      <c r="H3718" s="1">
        <v>51.71</v>
      </c>
    </row>
    <row r="3719" spans="2:8" x14ac:dyDescent="0.2">
      <c r="B3719" t="str">
        <f>VLOOKUP(G3719,PC!B:D,3,FALSE)</f>
        <v>CPV</v>
      </c>
      <c r="C3719" s="22">
        <v>2023</v>
      </c>
      <c r="D3719" t="s">
        <v>106</v>
      </c>
      <c r="E3719" t="s">
        <v>211</v>
      </c>
      <c r="F3719" t="str">
        <f>VLOOKUP(G3719,PC!B:D,2,FALSE)</f>
        <v>BEBIDAS</v>
      </c>
      <c r="G3719" s="4" t="s">
        <v>26</v>
      </c>
      <c r="H3719" s="1">
        <v>420.27</v>
      </c>
    </row>
    <row r="3720" spans="2:8" x14ac:dyDescent="0.2">
      <c r="B3720" t="str">
        <f>VLOOKUP(G3720,PC!B:D,3,FALSE)</f>
        <v>CPV</v>
      </c>
      <c r="C3720" s="22">
        <v>2023</v>
      </c>
      <c r="D3720" t="s">
        <v>106</v>
      </c>
      <c r="E3720" t="s">
        <v>16</v>
      </c>
      <c r="F3720" t="str">
        <f>VLOOKUP(G3720,PC!B:D,2,FALSE)</f>
        <v>COMIDA</v>
      </c>
      <c r="G3720" s="4" t="s">
        <v>12</v>
      </c>
      <c r="H3720" s="1">
        <v>571.46</v>
      </c>
    </row>
    <row r="3721" spans="2:8" x14ac:dyDescent="0.2">
      <c r="B3721" t="str">
        <f>VLOOKUP(G3721,PC!B:D,3,FALSE)</f>
        <v>CPV</v>
      </c>
      <c r="C3721" s="22">
        <v>2023</v>
      </c>
      <c r="D3721" t="s">
        <v>106</v>
      </c>
      <c r="E3721" t="s">
        <v>45</v>
      </c>
      <c r="F3721" t="str">
        <f>VLOOKUP(G3721,PC!B:D,2,FALSE)</f>
        <v>OUTROS</v>
      </c>
      <c r="G3721" s="4" t="s">
        <v>37</v>
      </c>
      <c r="H3721" s="1">
        <v>767.27</v>
      </c>
    </row>
    <row r="3722" spans="2:8" x14ac:dyDescent="0.2">
      <c r="B3722" t="str">
        <f>VLOOKUP(G3722,PC!B:D,3,FALSE)</f>
        <v>CPV</v>
      </c>
      <c r="C3722" s="22">
        <v>2023</v>
      </c>
      <c r="D3722" t="s">
        <v>106</v>
      </c>
      <c r="E3722" t="s">
        <v>14</v>
      </c>
      <c r="F3722" t="str">
        <f>VLOOKUP(G3722,PC!B:D,2,FALSE)</f>
        <v>BEBIDAS</v>
      </c>
      <c r="G3722" s="4" t="s">
        <v>25</v>
      </c>
      <c r="H3722" s="1">
        <v>633.69000000000005</v>
      </c>
    </row>
    <row r="3723" spans="2:8" x14ac:dyDescent="0.2">
      <c r="B3723" t="str">
        <f>VLOOKUP(G3723,PC!B:D,3,FALSE)</f>
        <v>CPV</v>
      </c>
      <c r="C3723" s="22">
        <v>2023</v>
      </c>
      <c r="D3723" t="s">
        <v>106</v>
      </c>
      <c r="E3723" t="s">
        <v>49</v>
      </c>
      <c r="F3723" t="str">
        <f>VLOOKUP(G3723,PC!B:D,2,FALSE)</f>
        <v>CIGARRO</v>
      </c>
      <c r="G3723" s="4" t="s">
        <v>52</v>
      </c>
      <c r="H3723" s="1">
        <v>19438.939999999999</v>
      </c>
    </row>
    <row r="3724" spans="2:8" x14ac:dyDescent="0.2">
      <c r="B3724" t="str">
        <f>VLOOKUP(G3724,PC!B:D,3,FALSE)</f>
        <v>CPV</v>
      </c>
      <c r="C3724" s="22">
        <v>2023</v>
      </c>
      <c r="D3724" t="s">
        <v>106</v>
      </c>
      <c r="E3724" t="s">
        <v>14</v>
      </c>
      <c r="F3724" t="str">
        <f>VLOOKUP(G3724,PC!B:D,2,FALSE)</f>
        <v>BEBIDAS</v>
      </c>
      <c r="G3724" s="4" t="s">
        <v>25</v>
      </c>
      <c r="H3724" s="1">
        <v>540.64</v>
      </c>
    </row>
    <row r="3725" spans="2:8" x14ac:dyDescent="0.2">
      <c r="B3725" t="str">
        <f>VLOOKUP(G3725,PC!B:D,3,FALSE)</f>
        <v>CPV</v>
      </c>
      <c r="C3725" s="22">
        <v>2023</v>
      </c>
      <c r="D3725" t="s">
        <v>106</v>
      </c>
      <c r="E3725" t="s">
        <v>35</v>
      </c>
      <c r="F3725" t="str">
        <f>VLOOKUP(G3725,PC!B:D,2,FALSE)</f>
        <v>OUTROS</v>
      </c>
      <c r="G3725" s="4" t="s">
        <v>37</v>
      </c>
      <c r="H3725" s="1">
        <v>1307.54</v>
      </c>
    </row>
    <row r="3726" spans="2:8" x14ac:dyDescent="0.2">
      <c r="B3726" t="str">
        <f>VLOOKUP(G3726,PC!B:D,3,FALSE)</f>
        <v>CPV</v>
      </c>
      <c r="C3726" s="22">
        <v>2023</v>
      </c>
      <c r="D3726" t="s">
        <v>106</v>
      </c>
      <c r="E3726" t="s">
        <v>28</v>
      </c>
      <c r="F3726" t="str">
        <f>VLOOKUP(G3726,PC!B:D,2,FALSE)</f>
        <v>BEBIDAS</v>
      </c>
      <c r="G3726" s="4" t="s">
        <v>26</v>
      </c>
      <c r="H3726" s="1">
        <v>839.02</v>
      </c>
    </row>
    <row r="3727" spans="2:8" x14ac:dyDescent="0.2">
      <c r="B3727" t="str">
        <f>VLOOKUP(G3727,PC!B:D,3,FALSE)</f>
        <v>CPV</v>
      </c>
      <c r="C3727" s="22">
        <v>2023</v>
      </c>
      <c r="D3727" t="s">
        <v>106</v>
      </c>
      <c r="E3727" t="s">
        <v>28</v>
      </c>
      <c r="F3727" t="str">
        <f>VLOOKUP(G3727,PC!B:D,2,FALSE)</f>
        <v>BEBIDAS</v>
      </c>
      <c r="G3727" s="4" t="s">
        <v>25</v>
      </c>
      <c r="H3727" s="1">
        <v>106.91</v>
      </c>
    </row>
    <row r="3728" spans="2:8" x14ac:dyDescent="0.2">
      <c r="B3728" t="str">
        <f>VLOOKUP(G3728,PC!B:D,3,FALSE)</f>
        <v>CPV</v>
      </c>
      <c r="C3728" s="22">
        <v>2023</v>
      </c>
      <c r="D3728" t="s">
        <v>106</v>
      </c>
      <c r="E3728" t="s">
        <v>28</v>
      </c>
      <c r="F3728" t="str">
        <f>VLOOKUP(G3728,PC!B:D,2,FALSE)</f>
        <v>BEBIDAS</v>
      </c>
      <c r="G3728" s="4" t="s">
        <v>26</v>
      </c>
      <c r="H3728" s="1">
        <v>3736.66</v>
      </c>
    </row>
    <row r="3729" spans="2:8" x14ac:dyDescent="0.2">
      <c r="B3729" t="str">
        <f>VLOOKUP(G3729,PC!B:D,3,FALSE)</f>
        <v>RECEITA</v>
      </c>
      <c r="C3729" s="22">
        <v>2023</v>
      </c>
      <c r="D3729" t="s">
        <v>106</v>
      </c>
      <c r="F3729" t="str">
        <f>VLOOKUP(G3729,PC!B:D,2,FALSE)</f>
        <v>RECEITA</v>
      </c>
      <c r="G3729" s="4" t="s">
        <v>83</v>
      </c>
      <c r="H3729" s="1">
        <v>31.74</v>
      </c>
    </row>
    <row r="3730" spans="2:8" x14ac:dyDescent="0.2">
      <c r="B3730" t="str">
        <f>VLOOKUP(G3730,PC!B:D,3,FALSE)</f>
        <v>CPV</v>
      </c>
      <c r="C3730" s="22">
        <v>2023</v>
      </c>
      <c r="D3730" t="s">
        <v>106</v>
      </c>
      <c r="E3730" t="s">
        <v>24</v>
      </c>
      <c r="F3730" t="str">
        <f>VLOOKUP(G3730,PC!B:D,2,FALSE)</f>
        <v>COMIDA</v>
      </c>
      <c r="G3730" s="4" t="s">
        <v>33</v>
      </c>
      <c r="H3730" s="1">
        <v>185.83</v>
      </c>
    </row>
    <row r="3731" spans="2:8" x14ac:dyDescent="0.2">
      <c r="B3731" t="str">
        <f>VLOOKUP(G3731,PC!B:D,3,FALSE)</f>
        <v>CPV</v>
      </c>
      <c r="C3731" s="22">
        <v>2023</v>
      </c>
      <c r="D3731" t="s">
        <v>106</v>
      </c>
      <c r="E3731" t="s">
        <v>6</v>
      </c>
      <c r="F3731" t="str">
        <f>VLOOKUP(G3731,PC!B:D,2,FALSE)</f>
        <v>COMIDA</v>
      </c>
      <c r="G3731" s="4" t="s">
        <v>145</v>
      </c>
      <c r="H3731" s="1">
        <v>41.3</v>
      </c>
    </row>
    <row r="3732" spans="2:8" x14ac:dyDescent="0.2">
      <c r="B3732" t="str">
        <f>VLOOKUP(G3732,PC!B:D,3,FALSE)</f>
        <v>CPV</v>
      </c>
      <c r="C3732" s="22">
        <v>2023</v>
      </c>
      <c r="D3732" t="s">
        <v>106</v>
      </c>
      <c r="E3732" t="s">
        <v>14</v>
      </c>
      <c r="F3732" t="str">
        <f>VLOOKUP(G3732,PC!B:D,2,FALSE)</f>
        <v>BEBIDAS</v>
      </c>
      <c r="G3732" s="4" t="s">
        <v>25</v>
      </c>
      <c r="H3732" s="1">
        <f>1057.66+1039.39</f>
        <v>2097.0500000000002</v>
      </c>
    </row>
    <row r="3733" spans="2:8" x14ac:dyDescent="0.2">
      <c r="B3733" t="str">
        <f>VLOOKUP(G3733,PC!B:D,3,FALSE)</f>
        <v>RECEITA</v>
      </c>
      <c r="C3733" s="22">
        <v>2023</v>
      </c>
      <c r="D3733" t="s">
        <v>106</v>
      </c>
      <c r="F3733" t="str">
        <f>VLOOKUP(G3733,PC!B:D,2,FALSE)</f>
        <v>RECEITA</v>
      </c>
      <c r="G3733" s="4" t="s">
        <v>83</v>
      </c>
      <c r="H3733" s="1">
        <v>63</v>
      </c>
    </row>
    <row r="3734" spans="2:8" x14ac:dyDescent="0.2">
      <c r="B3734" t="str">
        <f>VLOOKUP(G3734,PC!B:D,3,FALSE)</f>
        <v>CPV</v>
      </c>
      <c r="C3734" s="22">
        <v>2023</v>
      </c>
      <c r="D3734" t="s">
        <v>106</v>
      </c>
      <c r="E3734" t="s">
        <v>16</v>
      </c>
      <c r="F3734" t="str">
        <f>VLOOKUP(G3734,PC!B:D,2,FALSE)</f>
        <v>COMIDA</v>
      </c>
      <c r="G3734" s="4" t="s">
        <v>33</v>
      </c>
      <c r="H3734" s="1">
        <v>488.28</v>
      </c>
    </row>
    <row r="3735" spans="2:8" x14ac:dyDescent="0.2">
      <c r="B3735" t="str">
        <f>VLOOKUP(G3735,PC!B:D,3,FALSE)</f>
        <v>CPV</v>
      </c>
      <c r="C3735" s="22">
        <v>2023</v>
      </c>
      <c r="D3735" t="s">
        <v>106</v>
      </c>
      <c r="E3735" t="s">
        <v>28</v>
      </c>
      <c r="F3735" t="str">
        <f>VLOOKUP(G3735,PC!B:D,2,FALSE)</f>
        <v>BEBIDAS</v>
      </c>
      <c r="G3735" s="4" t="s">
        <v>26</v>
      </c>
      <c r="H3735" s="1">
        <f>858.12</f>
        <v>858.12</v>
      </c>
    </row>
    <row r="3736" spans="2:8" x14ac:dyDescent="0.2">
      <c r="B3736" t="str">
        <f>VLOOKUP(G3736,PC!B:D,3,FALSE)</f>
        <v>CPV</v>
      </c>
      <c r="C3736" s="22">
        <v>2023</v>
      </c>
      <c r="D3736" t="s">
        <v>106</v>
      </c>
      <c r="E3736" t="s">
        <v>40</v>
      </c>
      <c r="F3736" t="str">
        <f>VLOOKUP(G3736,PC!B:D,2,FALSE)</f>
        <v>BEBIDAS</v>
      </c>
      <c r="G3736" s="4" t="s">
        <v>26</v>
      </c>
      <c r="H3736" s="1">
        <v>219.9</v>
      </c>
    </row>
    <row r="3737" spans="2:8" x14ac:dyDescent="0.2">
      <c r="B3737" t="str">
        <f>VLOOKUP(G3737,PC!B:D,3,FALSE)</f>
        <v>CPV</v>
      </c>
      <c r="C3737" s="22">
        <v>2023</v>
      </c>
      <c r="D3737" t="s">
        <v>106</v>
      </c>
      <c r="E3737" t="s">
        <v>156</v>
      </c>
      <c r="F3737" t="str">
        <f>VLOOKUP(G3737,PC!B:D,2,FALSE)</f>
        <v>BEBIDAS</v>
      </c>
      <c r="G3737" s="4" t="s">
        <v>41</v>
      </c>
      <c r="H3737" s="1">
        <v>83.86</v>
      </c>
    </row>
    <row r="3738" spans="2:8" x14ac:dyDescent="0.2">
      <c r="B3738" t="str">
        <f>VLOOKUP(G3738,PC!B:D,3,FALSE)</f>
        <v>DESPESA OPERACIONAL</v>
      </c>
      <c r="C3738" s="22">
        <v>2023</v>
      </c>
      <c r="D3738" t="s">
        <v>106</v>
      </c>
      <c r="F3738" t="str">
        <f>VLOOKUP(G3738,PC!B:D,2,FALSE)</f>
        <v>DESPESA OPERACIONAL</v>
      </c>
      <c r="G3738" s="4" t="s">
        <v>73</v>
      </c>
      <c r="H3738" s="1">
        <f>620.26+894.93+649.58+613.41</f>
        <v>2778.18</v>
      </c>
    </row>
    <row r="3739" spans="2:8" x14ac:dyDescent="0.2">
      <c r="B3739" t="str">
        <f>VLOOKUP(G3739,PC!B:D,3,FALSE)</f>
        <v>RECEITA</v>
      </c>
      <c r="C3739" s="22">
        <v>2023</v>
      </c>
      <c r="D3739" t="s">
        <v>106</v>
      </c>
      <c r="F3739" t="str">
        <f>VLOOKUP(G3739,PC!B:D,2,FALSE)</f>
        <v>RECEITA</v>
      </c>
      <c r="G3739" s="4" t="s">
        <v>64</v>
      </c>
      <c r="H3739" s="1">
        <f>14.09+20.57+14.92+14.24</f>
        <v>63.82</v>
      </c>
    </row>
    <row r="3740" spans="2:8" x14ac:dyDescent="0.2">
      <c r="B3740" t="str">
        <f>VLOOKUP(G3740,PC!B:D,3,FALSE)</f>
        <v>CPV</v>
      </c>
      <c r="C3740" s="22">
        <v>2023</v>
      </c>
      <c r="D3740" t="s">
        <v>106</v>
      </c>
      <c r="E3740" t="s">
        <v>77</v>
      </c>
      <c r="F3740" t="str">
        <f>VLOOKUP(G3740,PC!B:D,2,FALSE)</f>
        <v>OUTROS</v>
      </c>
      <c r="G3740" s="4" t="s">
        <v>37</v>
      </c>
      <c r="H3740" s="1">
        <f>871.82+413.89</f>
        <v>1285.71</v>
      </c>
    </row>
    <row r="3741" spans="2:8" x14ac:dyDescent="0.2">
      <c r="B3741" t="str">
        <f>VLOOKUP(G3741,PC!B:D,3,FALSE)</f>
        <v>CPV</v>
      </c>
      <c r="C3741" s="22">
        <v>2023</v>
      </c>
      <c r="D3741" t="s">
        <v>106</v>
      </c>
      <c r="E3741" t="s">
        <v>89</v>
      </c>
      <c r="F3741" t="str">
        <f>VLOOKUP(G3741,PC!B:D,2,FALSE)</f>
        <v>OUTROS</v>
      </c>
      <c r="G3741" s="4" t="s">
        <v>37</v>
      </c>
      <c r="H3741" s="1">
        <f>298.46+437.56</f>
        <v>736.02</v>
      </c>
    </row>
    <row r="3742" spans="2:8" x14ac:dyDescent="0.2">
      <c r="B3742" t="str">
        <f>VLOOKUP(G3742,PC!B:D,3,FALSE)</f>
        <v>CPV</v>
      </c>
      <c r="C3742" s="22">
        <v>2023</v>
      </c>
      <c r="D3742" t="s">
        <v>106</v>
      </c>
      <c r="E3742" t="s">
        <v>129</v>
      </c>
      <c r="F3742" t="str">
        <f>VLOOKUP(G3742,PC!B:D,2,FALSE)</f>
        <v>COMIDA</v>
      </c>
      <c r="G3742" s="4" t="s">
        <v>155</v>
      </c>
      <c r="H3742" s="1">
        <f>270+430</f>
        <v>700</v>
      </c>
    </row>
    <row r="3743" spans="2:8" x14ac:dyDescent="0.2">
      <c r="B3743" t="str">
        <f>VLOOKUP(G3743,PC!B:D,3,FALSE)</f>
        <v>CPV</v>
      </c>
      <c r="C3743" s="22">
        <v>2023</v>
      </c>
      <c r="D3743" t="s">
        <v>106</v>
      </c>
      <c r="E3743" t="s">
        <v>129</v>
      </c>
      <c r="F3743" t="str">
        <f>VLOOKUP(G3743,PC!B:D,2,FALSE)</f>
        <v>COMIDA</v>
      </c>
      <c r="G3743" s="4" t="s">
        <v>12</v>
      </c>
      <c r="H3743" s="1">
        <v>400</v>
      </c>
    </row>
    <row r="3744" spans="2:8" x14ac:dyDescent="0.2">
      <c r="B3744" t="str">
        <f>VLOOKUP(G3744,PC!B:D,3,FALSE)</f>
        <v>CPV</v>
      </c>
      <c r="C3744" s="22">
        <v>2023</v>
      </c>
      <c r="D3744" t="s">
        <v>106</v>
      </c>
      <c r="E3744" t="s">
        <v>129</v>
      </c>
      <c r="F3744" t="str">
        <f>VLOOKUP(G3744,PC!B:D,2,FALSE)</f>
        <v>SOBREMESA</v>
      </c>
      <c r="G3744" s="4" t="s">
        <v>7</v>
      </c>
      <c r="H3744" s="1">
        <v>95</v>
      </c>
    </row>
    <row r="3745" spans="2:8" x14ac:dyDescent="0.2">
      <c r="B3745" t="str">
        <f>VLOOKUP(G3745,PC!B:D,3,FALSE)</f>
        <v>CPV</v>
      </c>
      <c r="C3745" s="22">
        <v>2023</v>
      </c>
      <c r="D3745" t="s">
        <v>106</v>
      </c>
      <c r="E3745" t="s">
        <v>129</v>
      </c>
      <c r="F3745" t="str">
        <f>VLOOKUP(G3745,PC!B:D,2,FALSE)</f>
        <v>CIGARRO</v>
      </c>
      <c r="G3745" s="4" t="s">
        <v>53</v>
      </c>
      <c r="H3745" s="1">
        <v>1300</v>
      </c>
    </row>
    <row r="3746" spans="2:8" x14ac:dyDescent="0.2">
      <c r="B3746" t="str">
        <f>VLOOKUP(G3746,PC!B:D,3,FALSE)</f>
        <v>CPV</v>
      </c>
      <c r="C3746" s="22">
        <v>2023</v>
      </c>
      <c r="D3746" t="s">
        <v>106</v>
      </c>
      <c r="E3746" t="s">
        <v>129</v>
      </c>
      <c r="F3746" t="str">
        <f>VLOOKUP(G3746,PC!B:D,2,FALSE)</f>
        <v>COMIDA</v>
      </c>
      <c r="G3746" s="4" t="s">
        <v>12</v>
      </c>
      <c r="H3746" s="1">
        <v>147</v>
      </c>
    </row>
    <row r="3747" spans="2:8" x14ac:dyDescent="0.2">
      <c r="B3747" t="str">
        <f>VLOOKUP(G3747,PC!B:D,3,FALSE)</f>
        <v>CPV</v>
      </c>
      <c r="C3747" s="22">
        <v>2023</v>
      </c>
      <c r="D3747" t="s">
        <v>106</v>
      </c>
      <c r="E3747" t="s">
        <v>129</v>
      </c>
      <c r="F3747" t="str">
        <f>VLOOKUP(G3747,PC!B:D,2,FALSE)</f>
        <v>SOBREMESA</v>
      </c>
      <c r="G3747" s="4" t="s">
        <v>7</v>
      </c>
      <c r="H3747" s="1">
        <v>58</v>
      </c>
    </row>
    <row r="3748" spans="2:8" x14ac:dyDescent="0.2">
      <c r="B3748" t="str">
        <f>VLOOKUP(G3748,PC!B:D,3,FALSE)</f>
        <v>CPV</v>
      </c>
      <c r="C3748" s="22">
        <v>2023</v>
      </c>
      <c r="D3748" t="s">
        <v>106</v>
      </c>
      <c r="E3748" t="s">
        <v>129</v>
      </c>
      <c r="F3748" t="str">
        <f>VLOOKUP(G3748,PC!B:D,2,FALSE)</f>
        <v>BEBIDAS</v>
      </c>
      <c r="G3748" s="4" t="s">
        <v>39</v>
      </c>
      <c r="H3748" s="1">
        <v>218</v>
      </c>
    </row>
    <row r="3749" spans="2:8" x14ac:dyDescent="0.2">
      <c r="B3749" t="str">
        <f>VLOOKUP(G3749,PC!B:D,3,FALSE)</f>
        <v>CPV</v>
      </c>
      <c r="C3749" s="22">
        <v>2023</v>
      </c>
      <c r="D3749" t="s">
        <v>106</v>
      </c>
      <c r="E3749" t="s">
        <v>129</v>
      </c>
      <c r="F3749" t="str">
        <f>VLOOKUP(G3749,PC!B:D,2,FALSE)</f>
        <v>COMIDA</v>
      </c>
      <c r="G3749" s="4" t="s">
        <v>22</v>
      </c>
      <c r="H3749" s="1">
        <v>32</v>
      </c>
    </row>
    <row r="3750" spans="2:8" x14ac:dyDescent="0.2">
      <c r="B3750" t="str">
        <f>VLOOKUP(G3750,PC!B:D,3,FALSE)</f>
        <v>CPV</v>
      </c>
      <c r="C3750" s="22">
        <v>2023</v>
      </c>
      <c r="D3750" t="s">
        <v>106</v>
      </c>
      <c r="E3750" t="s">
        <v>129</v>
      </c>
      <c r="F3750" t="str">
        <f>VLOOKUP(G3750,PC!B:D,2,FALSE)</f>
        <v>OUTROS</v>
      </c>
      <c r="G3750" s="4" t="s">
        <v>58</v>
      </c>
      <c r="H3750" s="1">
        <v>150</v>
      </c>
    </row>
    <row r="3751" spans="2:8" x14ac:dyDescent="0.2">
      <c r="B3751" t="str">
        <f>VLOOKUP(G3751,PC!B:D,3,FALSE)</f>
        <v>CPV</v>
      </c>
      <c r="C3751" s="22">
        <v>2023</v>
      </c>
      <c r="D3751" t="s">
        <v>106</v>
      </c>
      <c r="E3751" t="s">
        <v>129</v>
      </c>
      <c r="F3751" t="str">
        <f>VLOOKUP(G3751,PC!B:D,2,FALSE)</f>
        <v>SOBREMESA</v>
      </c>
      <c r="G3751" s="4" t="s">
        <v>7</v>
      </c>
      <c r="H3751" s="1">
        <v>120</v>
      </c>
    </row>
    <row r="3752" spans="2:8" x14ac:dyDescent="0.2">
      <c r="B3752" t="str">
        <f>VLOOKUP(G3752,PC!B:D,3,FALSE)</f>
        <v>CPV</v>
      </c>
      <c r="C3752" s="22">
        <v>2023</v>
      </c>
      <c r="D3752" t="s">
        <v>106</v>
      </c>
      <c r="E3752" t="s">
        <v>129</v>
      </c>
      <c r="F3752" t="str">
        <f>VLOOKUP(G3752,PC!B:D,2,FALSE)</f>
        <v>COMIDA</v>
      </c>
      <c r="G3752" s="4" t="s">
        <v>145</v>
      </c>
      <c r="H3752" s="1">
        <f>76.8+81.8</f>
        <v>158.6</v>
      </c>
    </row>
    <row r="3753" spans="2:8" x14ac:dyDescent="0.2">
      <c r="B3753" t="str">
        <f>VLOOKUP(G3753,PC!B:D,3,FALSE)</f>
        <v>CPV</v>
      </c>
      <c r="C3753" s="22">
        <v>2023</v>
      </c>
      <c r="D3753" t="s">
        <v>106</v>
      </c>
      <c r="E3753" t="s">
        <v>129</v>
      </c>
      <c r="F3753" t="str">
        <f>VLOOKUP(G3753,PC!B:D,2,FALSE)</f>
        <v>BEBIDAS</v>
      </c>
      <c r="G3753" s="4" t="s">
        <v>46</v>
      </c>
      <c r="H3753" s="1">
        <v>275.5</v>
      </c>
    </row>
    <row r="3754" spans="2:8" x14ac:dyDescent="0.2">
      <c r="B3754" t="str">
        <f>VLOOKUP(G3754,PC!B:D,3,FALSE)</f>
        <v>CPV</v>
      </c>
      <c r="C3754" s="22">
        <v>2023</v>
      </c>
      <c r="D3754" t="s">
        <v>106</v>
      </c>
      <c r="E3754" t="s">
        <v>129</v>
      </c>
      <c r="F3754" t="str">
        <f>VLOOKUP(G3754,PC!B:D,2,FALSE)</f>
        <v>COMIDA</v>
      </c>
      <c r="G3754" s="4" t="s">
        <v>12</v>
      </c>
      <c r="H3754" s="1">
        <v>300</v>
      </c>
    </row>
    <row r="3755" spans="2:8" x14ac:dyDescent="0.2">
      <c r="B3755" t="str">
        <f>VLOOKUP(G3755,PC!B:D,3,FALSE)</f>
        <v>CPV</v>
      </c>
      <c r="C3755" s="22">
        <v>2023</v>
      </c>
      <c r="D3755" t="s">
        <v>106</v>
      </c>
      <c r="E3755" t="s">
        <v>129</v>
      </c>
      <c r="F3755" t="str">
        <f>VLOOKUP(G3755,PC!B:D,2,FALSE)</f>
        <v>SOBREMESA</v>
      </c>
      <c r="G3755" s="4" t="s">
        <v>7</v>
      </c>
      <c r="H3755" s="1">
        <v>192</v>
      </c>
    </row>
    <row r="3756" spans="2:8" x14ac:dyDescent="0.2">
      <c r="B3756" t="str">
        <f>VLOOKUP(G3756,PC!B:D,3,FALSE)</f>
        <v>CPV</v>
      </c>
      <c r="C3756" s="22">
        <v>2023</v>
      </c>
      <c r="D3756" t="s">
        <v>106</v>
      </c>
      <c r="E3756" t="s">
        <v>129</v>
      </c>
      <c r="F3756" t="str">
        <f>VLOOKUP(G3756,PC!B:D,2,FALSE)</f>
        <v>CIGARRO</v>
      </c>
      <c r="G3756" s="4" t="s">
        <v>57</v>
      </c>
      <c r="H3756" s="1">
        <f>1017+1192</f>
        <v>2209</v>
      </c>
    </row>
    <row r="3757" spans="2:8" x14ac:dyDescent="0.2">
      <c r="B3757" t="str">
        <f>VLOOKUP(G3757,PC!B:D,3,FALSE)</f>
        <v>CPV</v>
      </c>
      <c r="C3757" s="22">
        <v>2023</v>
      </c>
      <c r="D3757" t="s">
        <v>106</v>
      </c>
      <c r="E3757" t="s">
        <v>129</v>
      </c>
      <c r="F3757" t="str">
        <f>VLOOKUP(G3757,PC!B:D,2,FALSE)</f>
        <v>COMIDA</v>
      </c>
      <c r="G3757" s="4" t="s">
        <v>18</v>
      </c>
      <c r="H3757" s="1">
        <v>88.35</v>
      </c>
    </row>
    <row r="3758" spans="2:8" x14ac:dyDescent="0.2">
      <c r="B3758" t="str">
        <f>VLOOKUP(G3758,PC!B:D,3,FALSE)</f>
        <v>CPV</v>
      </c>
      <c r="C3758" s="22">
        <v>2023</v>
      </c>
      <c r="D3758" t="s">
        <v>106</v>
      </c>
      <c r="E3758" t="s">
        <v>129</v>
      </c>
      <c r="F3758" t="str">
        <f>VLOOKUP(G3758,PC!B:D,2,FALSE)</f>
        <v>BEBIDAS</v>
      </c>
      <c r="G3758" s="4" t="s">
        <v>48</v>
      </c>
      <c r="H3758" s="1">
        <v>277.2</v>
      </c>
    </row>
    <row r="3759" spans="2:8" x14ac:dyDescent="0.2">
      <c r="B3759" t="str">
        <f>VLOOKUP(G3759,PC!B:D,3,FALSE)</f>
        <v>CPV</v>
      </c>
      <c r="C3759" s="22">
        <v>2023</v>
      </c>
      <c r="D3759" t="s">
        <v>106</v>
      </c>
      <c r="E3759" t="s">
        <v>129</v>
      </c>
      <c r="F3759" t="str">
        <f>VLOOKUP(G3759,PC!B:D,2,FALSE)</f>
        <v>OUTROS</v>
      </c>
      <c r="G3759" s="4" t="s">
        <v>37</v>
      </c>
      <c r="H3759" s="1">
        <v>525</v>
      </c>
    </row>
    <row r="3760" spans="2:8" x14ac:dyDescent="0.2">
      <c r="B3760" t="str">
        <f>VLOOKUP(G3760,PC!B:D,3,FALSE)</f>
        <v>CPV</v>
      </c>
      <c r="C3760" s="22">
        <v>2023</v>
      </c>
      <c r="D3760" t="s">
        <v>106</v>
      </c>
      <c r="E3760" t="s">
        <v>129</v>
      </c>
      <c r="F3760" t="str">
        <f>VLOOKUP(G3760,PC!B:D,2,FALSE)</f>
        <v>SOBREMESA</v>
      </c>
      <c r="G3760" s="4" t="s">
        <v>7</v>
      </c>
      <c r="H3760" s="1">
        <v>240.47</v>
      </c>
    </row>
    <row r="3761" spans="2:9" x14ac:dyDescent="0.2">
      <c r="B3761" t="str">
        <f>VLOOKUP(G3761,PC!B:D,3,FALSE)</f>
        <v>CPV</v>
      </c>
      <c r="C3761" s="22">
        <v>2023</v>
      </c>
      <c r="D3761" t="s">
        <v>106</v>
      </c>
      <c r="E3761" t="s">
        <v>129</v>
      </c>
      <c r="F3761" t="str">
        <f>VLOOKUP(G3761,PC!B:D,2,FALSE)</f>
        <v>OUTROS</v>
      </c>
      <c r="G3761" s="4" t="s">
        <v>37</v>
      </c>
      <c r="H3761" s="1">
        <v>288</v>
      </c>
    </row>
    <row r="3762" spans="2:9" x14ac:dyDescent="0.2">
      <c r="B3762" t="str">
        <f>VLOOKUP(G3762,PC!B:D,3,FALSE)</f>
        <v>CPV</v>
      </c>
      <c r="C3762" s="22">
        <v>2023</v>
      </c>
      <c r="D3762" t="s">
        <v>106</v>
      </c>
      <c r="E3762" t="s">
        <v>78</v>
      </c>
      <c r="F3762" t="str">
        <f>VLOOKUP(G3762,PC!B:D,2,FALSE)</f>
        <v>CIGARRO</v>
      </c>
      <c r="G3762" s="4" t="s">
        <v>82</v>
      </c>
      <c r="H3762" s="1">
        <v>457.05</v>
      </c>
    </row>
    <row r="3763" spans="2:9" x14ac:dyDescent="0.2">
      <c r="B3763" t="str">
        <f>VLOOKUP(G3763,PC!B:D,3,FALSE)</f>
        <v>DESPESA OPERACIONAL</v>
      </c>
      <c r="C3763" s="22">
        <v>2023</v>
      </c>
      <c r="D3763" t="s">
        <v>106</v>
      </c>
      <c r="F3763" t="str">
        <f>VLOOKUP(G3763,PC!B:D,2,FALSE)</f>
        <v>DESPESA OPERACIONAL</v>
      </c>
      <c r="G3763" s="4" t="s">
        <v>73</v>
      </c>
      <c r="H3763" s="1">
        <f>1143.22+628.57</f>
        <v>1771.79</v>
      </c>
    </row>
    <row r="3764" spans="2:9" x14ac:dyDescent="0.2">
      <c r="B3764" t="str">
        <f>VLOOKUP(G3764,PC!B:D,3,FALSE)</f>
        <v>RECEITA</v>
      </c>
      <c r="C3764" s="22">
        <v>2023</v>
      </c>
      <c r="D3764" t="s">
        <v>106</v>
      </c>
      <c r="F3764" t="str">
        <f>VLOOKUP(G3764,PC!B:D,2,FALSE)</f>
        <v>RECEITA</v>
      </c>
      <c r="G3764" s="4" t="s">
        <v>64</v>
      </c>
      <c r="H3764" s="1">
        <f>26.28+12.83</f>
        <v>39.11</v>
      </c>
    </row>
    <row r="3765" spans="2:9" x14ac:dyDescent="0.2">
      <c r="B3765" t="str">
        <f>VLOOKUP(G3765,PC!B:D,3,FALSE)</f>
        <v>INVESTIMENTO</v>
      </c>
      <c r="C3765" s="22">
        <v>2023</v>
      </c>
      <c r="D3765" t="s">
        <v>106</v>
      </c>
      <c r="F3765" t="str">
        <f>VLOOKUP(G3765,PC!B:D,2,FALSE)</f>
        <v>INVESTIMENTO</v>
      </c>
      <c r="G3765" s="4" t="s">
        <v>130</v>
      </c>
      <c r="H3765" s="1">
        <v>147.6</v>
      </c>
      <c r="I3765" s="7" t="s">
        <v>222</v>
      </c>
    </row>
    <row r="3766" spans="2:9" x14ac:dyDescent="0.2">
      <c r="B3766" t="str">
        <f>VLOOKUP(G3766,PC!B:D,3,FALSE)</f>
        <v>CPV</v>
      </c>
      <c r="C3766" s="22">
        <v>2023</v>
      </c>
      <c r="D3766" t="s">
        <v>106</v>
      </c>
      <c r="E3766" t="s">
        <v>129</v>
      </c>
      <c r="F3766" t="str">
        <f>VLOOKUP(G3766,PC!B:D,2,FALSE)</f>
        <v>OUTROS</v>
      </c>
      <c r="G3766" s="4" t="s">
        <v>37</v>
      </c>
      <c r="H3766" s="1">
        <f>459.66+869.57</f>
        <v>1329.23</v>
      </c>
    </row>
    <row r="3767" spans="2:9" x14ac:dyDescent="0.2">
      <c r="B3767" t="str">
        <f>VLOOKUP(G3767,PC!B:D,3,FALSE)</f>
        <v>CPV</v>
      </c>
      <c r="C3767" s="22">
        <v>2023</v>
      </c>
      <c r="D3767" t="s">
        <v>106</v>
      </c>
      <c r="E3767" t="s">
        <v>129</v>
      </c>
      <c r="F3767" t="str">
        <f>VLOOKUP(G3767,PC!B:D,2,FALSE)</f>
        <v>COMIDA</v>
      </c>
      <c r="G3767" s="4" t="s">
        <v>155</v>
      </c>
      <c r="H3767" s="1">
        <f>282.5+215</f>
        <v>497.5</v>
      </c>
    </row>
    <row r="3768" spans="2:9" x14ac:dyDescent="0.2">
      <c r="B3768" t="str">
        <f>VLOOKUP(G3768,PC!B:D,3,FALSE)</f>
        <v>CPV</v>
      </c>
      <c r="C3768" s="22">
        <v>2023</v>
      </c>
      <c r="D3768" t="s">
        <v>106</v>
      </c>
      <c r="E3768" t="s">
        <v>129</v>
      </c>
      <c r="F3768" t="str">
        <f>VLOOKUP(G3768,PC!B:D,2,FALSE)</f>
        <v>BEBIDAS</v>
      </c>
      <c r="G3768" s="4" t="s">
        <v>46</v>
      </c>
      <c r="H3768" s="1">
        <v>375</v>
      </c>
    </row>
    <row r="3769" spans="2:9" x14ac:dyDescent="0.2">
      <c r="B3769" t="str">
        <f>VLOOKUP(G3769,PC!B:D,3,FALSE)</f>
        <v>CPV</v>
      </c>
      <c r="C3769" s="22">
        <v>2023</v>
      </c>
      <c r="D3769" t="s">
        <v>106</v>
      </c>
      <c r="E3769" t="s">
        <v>129</v>
      </c>
      <c r="F3769" t="str">
        <f>VLOOKUP(G3769,PC!B:D,2,FALSE)</f>
        <v>SOBREMESA</v>
      </c>
      <c r="G3769" s="4" t="s">
        <v>7</v>
      </c>
      <c r="H3769" s="1">
        <v>50</v>
      </c>
    </row>
    <row r="3770" spans="2:9" x14ac:dyDescent="0.2">
      <c r="B3770" t="str">
        <f>VLOOKUP(G3770,PC!B:D,3,FALSE)</f>
        <v>CPV</v>
      </c>
      <c r="C3770" s="22">
        <v>2023</v>
      </c>
      <c r="D3770" t="s">
        <v>106</v>
      </c>
      <c r="E3770" t="s">
        <v>129</v>
      </c>
      <c r="F3770" t="str">
        <f>VLOOKUP(G3770,PC!B:D,2,FALSE)</f>
        <v>SOBREMESA</v>
      </c>
      <c r="G3770" s="4" t="s">
        <v>7</v>
      </c>
      <c r="H3770" s="1">
        <v>214</v>
      </c>
    </row>
    <row r="3771" spans="2:9" x14ac:dyDescent="0.2">
      <c r="B3771" t="str">
        <f>VLOOKUP(G3771,PC!B:D,3,FALSE)</f>
        <v>CPV</v>
      </c>
      <c r="C3771" s="22">
        <v>2023</v>
      </c>
      <c r="D3771" t="s">
        <v>106</v>
      </c>
      <c r="E3771" t="s">
        <v>129</v>
      </c>
      <c r="F3771" t="str">
        <f>VLOOKUP(G3771,PC!B:D,2,FALSE)</f>
        <v>COMIDA</v>
      </c>
      <c r="G3771" s="4" t="s">
        <v>12</v>
      </c>
      <c r="H3771" s="1">
        <v>500</v>
      </c>
    </row>
    <row r="3772" spans="2:9" x14ac:dyDescent="0.2">
      <c r="B3772" t="str">
        <f>VLOOKUP(G3772,PC!B:D,3,FALSE)</f>
        <v>CPV</v>
      </c>
      <c r="C3772" s="22">
        <v>2023</v>
      </c>
      <c r="D3772" t="s">
        <v>106</v>
      </c>
      <c r="E3772" t="s">
        <v>129</v>
      </c>
      <c r="F3772" t="str">
        <f>VLOOKUP(G3772,PC!B:D,2,FALSE)</f>
        <v>OUTROS</v>
      </c>
      <c r="G3772" s="4" t="s">
        <v>58</v>
      </c>
      <c r="H3772" s="1">
        <v>150</v>
      </c>
    </row>
    <row r="3773" spans="2:9" x14ac:dyDescent="0.2">
      <c r="B3773" t="str">
        <f>VLOOKUP(G3773,PC!B:D,3,FALSE)</f>
        <v>DESCONTO DE FATURAMENTO</v>
      </c>
      <c r="C3773" s="22">
        <v>2023</v>
      </c>
      <c r="D3773" t="s">
        <v>106</v>
      </c>
      <c r="E3773" t="s">
        <v>129</v>
      </c>
      <c r="F3773" t="str">
        <f>VLOOKUP(G3773,PC!B:D,2,FALSE)</f>
        <v>IMPOSTO</v>
      </c>
      <c r="G3773" s="4" t="s">
        <v>88</v>
      </c>
      <c r="H3773" s="1">
        <v>5990.98</v>
      </c>
    </row>
    <row r="3774" spans="2:9" x14ac:dyDescent="0.2">
      <c r="B3774" t="str">
        <f>VLOOKUP(G3774,PC!B:D,3,FALSE)</f>
        <v>SERV.TERCEIROS</v>
      </c>
      <c r="C3774" s="22">
        <v>2023</v>
      </c>
      <c r="D3774" t="s">
        <v>106</v>
      </c>
      <c r="E3774" t="s">
        <v>129</v>
      </c>
      <c r="F3774" t="str">
        <f>VLOOKUP(G3774,PC!B:D,2,FALSE)</f>
        <v>SERV.TERCEIROS</v>
      </c>
      <c r="G3774" s="4" t="s">
        <v>60</v>
      </c>
      <c r="H3774" s="1">
        <f>380*2</f>
        <v>760</v>
      </c>
    </row>
    <row r="3775" spans="2:9" x14ac:dyDescent="0.2">
      <c r="B3775" t="str">
        <f>VLOOKUP(G3775,PC!B:D,3,FALSE)</f>
        <v>DESPESA FINANCEIRA</v>
      </c>
      <c r="C3775" s="22">
        <v>2023</v>
      </c>
      <c r="D3775" t="s">
        <v>106</v>
      </c>
      <c r="E3775" t="s">
        <v>129</v>
      </c>
      <c r="F3775" t="str">
        <f>VLOOKUP(G3775,PC!B:D,2,FALSE)</f>
        <v>DESPESA FINANCEIRA</v>
      </c>
      <c r="G3775" s="4" t="s">
        <v>90</v>
      </c>
      <c r="H3775" s="1">
        <v>641.21</v>
      </c>
    </row>
    <row r="3776" spans="2:9" x14ac:dyDescent="0.2">
      <c r="B3776" t="str">
        <f>VLOOKUP(G3776,PC!B:D,3,FALSE)</f>
        <v>CPV</v>
      </c>
      <c r="C3776" s="22">
        <v>2023</v>
      </c>
      <c r="D3776" t="s">
        <v>106</v>
      </c>
      <c r="E3776" t="s">
        <v>129</v>
      </c>
      <c r="F3776" t="str">
        <f>VLOOKUP(G3776,PC!B:D,2,FALSE)</f>
        <v>COMIDA</v>
      </c>
      <c r="G3776" s="4" t="s">
        <v>33</v>
      </c>
      <c r="H3776" s="1">
        <f>42+54</f>
        <v>96</v>
      </c>
    </row>
    <row r="3777" spans="2:8" x14ac:dyDescent="0.2">
      <c r="B3777" t="str">
        <f>VLOOKUP(G3777,PC!B:D,3,FALSE)</f>
        <v>CPV</v>
      </c>
      <c r="C3777" s="22">
        <v>2023</v>
      </c>
      <c r="D3777" t="s">
        <v>106</v>
      </c>
      <c r="E3777" t="s">
        <v>129</v>
      </c>
      <c r="F3777" t="str">
        <f>VLOOKUP(G3777,PC!B:D,2,FALSE)</f>
        <v>SOBREMESA</v>
      </c>
      <c r="G3777" s="4" t="s">
        <v>7</v>
      </c>
      <c r="H3777" s="1">
        <v>62</v>
      </c>
    </row>
    <row r="3778" spans="2:8" x14ac:dyDescent="0.2">
      <c r="B3778" t="str">
        <f>VLOOKUP(G3778,PC!B:D,3,FALSE)</f>
        <v>CPV</v>
      </c>
      <c r="C3778" s="22">
        <v>2023</v>
      </c>
      <c r="D3778" t="s">
        <v>106</v>
      </c>
      <c r="E3778" t="s">
        <v>129</v>
      </c>
      <c r="F3778" t="str">
        <f>VLOOKUP(G3778,PC!B:D,2,FALSE)</f>
        <v>BEBIDAS</v>
      </c>
      <c r="G3778" s="4" t="s">
        <v>48</v>
      </c>
      <c r="H3778" s="1">
        <v>375</v>
      </c>
    </row>
    <row r="3779" spans="2:8" x14ac:dyDescent="0.2">
      <c r="B3779" t="str">
        <f>VLOOKUP(G3779,PC!B:D,3,FALSE)</f>
        <v>CPV</v>
      </c>
      <c r="C3779" s="22">
        <v>2023</v>
      </c>
      <c r="D3779" t="s">
        <v>106</v>
      </c>
      <c r="E3779" t="s">
        <v>129</v>
      </c>
      <c r="F3779" t="str">
        <f>VLOOKUP(G3779,PC!B:D,2,FALSE)</f>
        <v>BEBIDAS</v>
      </c>
      <c r="G3779" s="4" t="s">
        <v>48</v>
      </c>
      <c r="H3779" s="1">
        <v>250</v>
      </c>
    </row>
    <row r="3780" spans="2:8" x14ac:dyDescent="0.2">
      <c r="B3780" t="str">
        <f>VLOOKUP(G3780,PC!B:D,3,FALSE)</f>
        <v>RECEITAS NÃO OPERACIONAIS</v>
      </c>
      <c r="C3780" s="22">
        <v>2023</v>
      </c>
      <c r="D3780" t="s">
        <v>106</v>
      </c>
      <c r="E3780" t="s">
        <v>129</v>
      </c>
      <c r="F3780" t="str">
        <f>VLOOKUP(G3780,PC!B:D,2,FALSE)</f>
        <v>EMPRESTIMO</v>
      </c>
      <c r="G3780" s="4" t="s">
        <v>71</v>
      </c>
      <c r="H3780" s="1">
        <v>50</v>
      </c>
    </row>
    <row r="3781" spans="2:8" x14ac:dyDescent="0.2">
      <c r="B3781" t="str">
        <f>VLOOKUP(G3781,PC!B:D,3,FALSE)</f>
        <v>DESPESA OPERACIONAL</v>
      </c>
      <c r="C3781" s="22">
        <v>2023</v>
      </c>
      <c r="D3781" t="s">
        <v>106</v>
      </c>
      <c r="E3781" t="s">
        <v>129</v>
      </c>
      <c r="F3781" t="str">
        <f>VLOOKUP(G3781,PC!B:D,2,FALSE)</f>
        <v>DESPESA OPERACIONAL</v>
      </c>
      <c r="G3781" s="4" t="s">
        <v>76</v>
      </c>
      <c r="H3781" s="1">
        <v>37</v>
      </c>
    </row>
    <row r="3782" spans="2:8" x14ac:dyDescent="0.2">
      <c r="B3782" t="str">
        <f>VLOOKUP(G3782,PC!B:D,3,FALSE)</f>
        <v>CPV</v>
      </c>
      <c r="C3782" s="22">
        <v>2023</v>
      </c>
      <c r="D3782" t="s">
        <v>106</v>
      </c>
      <c r="E3782" t="s">
        <v>129</v>
      </c>
      <c r="F3782" t="str">
        <f>VLOOKUP(G3782,PC!B:D,2,FALSE)</f>
        <v>OUTROS</v>
      </c>
      <c r="G3782" s="4" t="s">
        <v>149</v>
      </c>
      <c r="H3782" s="1">
        <v>273.10000000000002</v>
      </c>
    </row>
    <row r="3783" spans="2:8" x14ac:dyDescent="0.2">
      <c r="B3783" t="str">
        <f>VLOOKUP(G3783,PC!B:D,3,FALSE)</f>
        <v>CPV</v>
      </c>
      <c r="C3783" s="22">
        <v>2023</v>
      </c>
      <c r="D3783" t="s">
        <v>106</v>
      </c>
      <c r="E3783" t="s">
        <v>129</v>
      </c>
      <c r="F3783" t="str">
        <f>VLOOKUP(G3783,PC!B:D,2,FALSE)</f>
        <v>SOBREMESA</v>
      </c>
      <c r="G3783" s="4" t="s">
        <v>75</v>
      </c>
      <c r="H3783" s="1">
        <v>568.20000000000005</v>
      </c>
    </row>
    <row r="3784" spans="2:8" x14ac:dyDescent="0.2">
      <c r="B3784" t="str">
        <f>VLOOKUP(G3784,PC!B:D,3,FALSE)</f>
        <v>CPV</v>
      </c>
      <c r="C3784" s="22">
        <v>2023</v>
      </c>
      <c r="D3784" t="s">
        <v>106</v>
      </c>
      <c r="E3784" t="s">
        <v>129</v>
      </c>
      <c r="F3784" t="str">
        <f>VLOOKUP(G3784,PC!B:D,2,FALSE)</f>
        <v>BEBIDAS</v>
      </c>
      <c r="G3784" s="4" t="s">
        <v>48</v>
      </c>
      <c r="H3784" s="1">
        <v>273.2</v>
      </c>
    </row>
    <row r="3785" spans="2:8" x14ac:dyDescent="0.2">
      <c r="B3785" t="str">
        <f>VLOOKUP(G3785,PC!B:D,3,FALSE)</f>
        <v>CPV</v>
      </c>
      <c r="C3785" s="22">
        <v>2023</v>
      </c>
      <c r="D3785" t="s">
        <v>106</v>
      </c>
      <c r="E3785" t="s">
        <v>129</v>
      </c>
      <c r="F3785" t="str">
        <f>VLOOKUP(G3785,PC!B:D,2,FALSE)</f>
        <v>COMIDA</v>
      </c>
      <c r="G3785" s="4" t="s">
        <v>145</v>
      </c>
      <c r="H3785" s="1">
        <v>66</v>
      </c>
    </row>
    <row r="3786" spans="2:8" x14ac:dyDescent="0.2">
      <c r="B3786" t="str">
        <f>VLOOKUP(G3786,PC!B:D,3,FALSE)</f>
        <v>RECEITA</v>
      </c>
      <c r="C3786" s="22">
        <v>2023</v>
      </c>
      <c r="D3786" t="s">
        <v>106</v>
      </c>
      <c r="F3786" t="str">
        <f>VLOOKUP(G3786,PC!B:D,2,FALSE)</f>
        <v>RECEITA</v>
      </c>
      <c r="G3786" s="4" t="s">
        <v>136</v>
      </c>
      <c r="H3786" s="1">
        <v>26195.55</v>
      </c>
    </row>
    <row r="3787" spans="2:8" x14ac:dyDescent="0.2">
      <c r="B3787" t="str">
        <f>VLOOKUP(G3787,PC!B:D,3,FALSE)</f>
        <v>RECEITA</v>
      </c>
      <c r="C3787" s="22">
        <v>2023</v>
      </c>
      <c r="D3787" t="s">
        <v>106</v>
      </c>
      <c r="F3787" t="str">
        <f>VLOOKUP(G3787,PC!B:D,2,FALSE)</f>
        <v>RECEITA</v>
      </c>
      <c r="G3787" s="4" t="s">
        <v>137</v>
      </c>
      <c r="H3787" s="1">
        <v>11913.95</v>
      </c>
    </row>
    <row r="3788" spans="2:8" x14ac:dyDescent="0.2">
      <c r="B3788" t="str">
        <f>VLOOKUP(G3788,PC!B:D,3,FALSE)</f>
        <v>DESCONTO DE FATURAMENTO</v>
      </c>
      <c r="C3788" s="22">
        <v>2023</v>
      </c>
      <c r="D3788" t="s">
        <v>106</v>
      </c>
      <c r="F3788" t="str">
        <f>VLOOKUP(G3788,PC!B:D,2,FALSE)</f>
        <v>OUTROS DESCONTOS</v>
      </c>
      <c r="G3788" s="4" t="s">
        <v>63</v>
      </c>
      <c r="H3788" s="1">
        <f>0.0199*H3786</f>
        <v>521.29144500000007</v>
      </c>
    </row>
    <row r="3789" spans="2:8" x14ac:dyDescent="0.2">
      <c r="B3789" t="str">
        <f>VLOOKUP(G3789,PC!B:D,3,FALSE)</f>
        <v>DESCONTO DE FATURAMENTO</v>
      </c>
      <c r="C3789" s="22">
        <v>2023</v>
      </c>
      <c r="D3789" t="s">
        <v>106</v>
      </c>
      <c r="F3789" t="str">
        <f>VLOOKUP(G3789,PC!B:D,2,FALSE)</f>
        <v>OUTROS DESCONTOS</v>
      </c>
      <c r="G3789" s="4" t="s">
        <v>63</v>
      </c>
      <c r="H3789" s="1">
        <f>0.025*H3787</f>
        <v>297.84875000000005</v>
      </c>
    </row>
    <row r="3790" spans="2:8" x14ac:dyDescent="0.2">
      <c r="B3790" t="str">
        <f>VLOOKUP(G3790,PC!B:D,3,FALSE)</f>
        <v>RECEITA</v>
      </c>
      <c r="C3790" s="22">
        <v>2023</v>
      </c>
      <c r="D3790" t="s">
        <v>106</v>
      </c>
      <c r="F3790" t="str">
        <f>VLOOKUP(G3790,PC!B:D,2,FALSE)</f>
        <v>RECEITA</v>
      </c>
      <c r="G3790" s="4" t="s">
        <v>54</v>
      </c>
      <c r="H3790" s="1">
        <f>26+20+104.8+24+220+30+20+97.6+210+100+200+1400+1200</f>
        <v>3652.4</v>
      </c>
    </row>
    <row r="3791" spans="2:8" x14ac:dyDescent="0.2">
      <c r="B3791" t="str">
        <f>VLOOKUP(G3791,PC!B:D,3,FALSE)</f>
        <v>CPV</v>
      </c>
      <c r="C3791" s="22">
        <v>2023</v>
      </c>
      <c r="D3791" t="s">
        <v>106</v>
      </c>
      <c r="E3791" t="s">
        <v>129</v>
      </c>
      <c r="F3791" t="str">
        <f>VLOOKUP(G3791,PC!B:D,2,FALSE)</f>
        <v>COMIDA</v>
      </c>
      <c r="G3791" s="4" t="s">
        <v>146</v>
      </c>
      <c r="H3791" s="1">
        <v>100</v>
      </c>
    </row>
    <row r="3792" spans="2:8" x14ac:dyDescent="0.2">
      <c r="B3792" t="str">
        <f>VLOOKUP(G3792,PC!B:D,3,FALSE)</f>
        <v>CPV</v>
      </c>
      <c r="C3792" s="22">
        <v>2023</v>
      </c>
      <c r="D3792" t="s">
        <v>106</v>
      </c>
      <c r="E3792" t="s">
        <v>129</v>
      </c>
      <c r="F3792" t="str">
        <f>VLOOKUP(G3792,PC!B:D,2,FALSE)</f>
        <v>COMIDA</v>
      </c>
      <c r="G3792" s="4" t="s">
        <v>12</v>
      </c>
      <c r="H3792" s="1">
        <f>210+26</f>
        <v>236</v>
      </c>
    </row>
    <row r="3793" spans="2:8" x14ac:dyDescent="0.2">
      <c r="B3793" t="str">
        <f>VLOOKUP(G3793,PC!B:D,3,FALSE)</f>
        <v>DESPESA PESSOAL</v>
      </c>
      <c r="C3793" s="22">
        <v>2023</v>
      </c>
      <c r="D3793" t="s">
        <v>106</v>
      </c>
      <c r="F3793" t="str">
        <f>VLOOKUP(G3793,PC!B:D,2,FALSE)</f>
        <v>DESPESA PESSOAL</v>
      </c>
      <c r="G3793" s="4" t="s">
        <v>68</v>
      </c>
      <c r="H3793" s="1">
        <f>30+20</f>
        <v>50</v>
      </c>
    </row>
    <row r="3794" spans="2:8" x14ac:dyDescent="0.2">
      <c r="B3794" t="str">
        <f>VLOOKUP(G3794,PC!B:D,3,FALSE)</f>
        <v>RECEITA</v>
      </c>
      <c r="C3794" s="22">
        <v>2023</v>
      </c>
      <c r="D3794" t="s">
        <v>106</v>
      </c>
      <c r="F3794" t="str">
        <f>VLOOKUP(G3794,PC!B:D,2,FALSE)</f>
        <v>RECEITA</v>
      </c>
      <c r="G3794" s="4" t="s">
        <v>54</v>
      </c>
      <c r="H3794" s="1">
        <f>710+120+105+250+184.8+150+138.8+30+1200+700+200+500</f>
        <v>4288.6000000000004</v>
      </c>
    </row>
    <row r="3795" spans="2:8" x14ac:dyDescent="0.2">
      <c r="B3795" t="str">
        <f>VLOOKUP(G3795,PC!B:D,3,FALSE)</f>
        <v>DESPESA PESSOAL</v>
      </c>
      <c r="C3795" s="22">
        <v>2023</v>
      </c>
      <c r="D3795" t="s">
        <v>106</v>
      </c>
      <c r="F3795" t="str">
        <f>VLOOKUP(G3795,PC!B:D,2,FALSE)</f>
        <v>DESPESA PESSOAL</v>
      </c>
      <c r="G3795" s="4" t="s">
        <v>68</v>
      </c>
      <c r="H3795" s="1">
        <v>100</v>
      </c>
    </row>
    <row r="3796" spans="2:8" x14ac:dyDescent="0.2">
      <c r="B3796" t="str">
        <f>VLOOKUP(G3796,PC!B:D,3,FALSE)</f>
        <v>CPV</v>
      </c>
      <c r="C3796" s="22">
        <v>2023</v>
      </c>
      <c r="D3796" t="s">
        <v>106</v>
      </c>
      <c r="E3796" t="s">
        <v>129</v>
      </c>
      <c r="F3796" t="str">
        <f>VLOOKUP(G3796,PC!B:D,2,FALSE)</f>
        <v>COMIDA</v>
      </c>
      <c r="G3796" s="4" t="s">
        <v>12</v>
      </c>
      <c r="H3796" s="1">
        <v>30</v>
      </c>
    </row>
    <row r="3797" spans="2:8" x14ac:dyDescent="0.2">
      <c r="B3797" t="str">
        <f>VLOOKUP(G3797,PC!B:D,3,FALSE)</f>
        <v>RECEITA</v>
      </c>
      <c r="C3797" s="22">
        <v>2023</v>
      </c>
      <c r="D3797" t="s">
        <v>106</v>
      </c>
      <c r="F3797" t="str">
        <f>VLOOKUP(G3797,PC!B:D,2,FALSE)</f>
        <v>RECEITA</v>
      </c>
      <c r="G3797" s="4" t="s">
        <v>54</v>
      </c>
      <c r="H3797" s="1">
        <f>1650+24+60+223+60+70+300+800+850</f>
        <v>4037</v>
      </c>
    </row>
    <row r="3798" spans="2:8" x14ac:dyDescent="0.2">
      <c r="B3798" t="str">
        <f>VLOOKUP(G3798,PC!B:D,3,FALSE)</f>
        <v>DESPESA PESSOAL</v>
      </c>
      <c r="C3798" s="22">
        <v>2023</v>
      </c>
      <c r="D3798" t="s">
        <v>106</v>
      </c>
      <c r="F3798" t="str">
        <f>VLOOKUP(G3798,PC!B:D,2,FALSE)</f>
        <v>DESPESA PESSOAL</v>
      </c>
      <c r="G3798" s="4" t="s">
        <v>56</v>
      </c>
      <c r="H3798" s="1">
        <v>300</v>
      </c>
    </row>
    <row r="3799" spans="2:8" x14ac:dyDescent="0.2">
      <c r="B3799" t="str">
        <f>VLOOKUP(G3799,PC!B:D,3,FALSE)</f>
        <v>DESPESA PESSOAL</v>
      </c>
      <c r="C3799" s="22">
        <v>2023</v>
      </c>
      <c r="D3799" t="s">
        <v>106</v>
      </c>
      <c r="F3799" t="str">
        <f>VLOOKUP(G3799,PC!B:D,2,FALSE)</f>
        <v>DESPESA PESSOAL</v>
      </c>
      <c r="G3799" s="4" t="s">
        <v>56</v>
      </c>
      <c r="H3799" s="1">
        <v>350</v>
      </c>
    </row>
    <row r="3800" spans="2:8" x14ac:dyDescent="0.2">
      <c r="B3800" t="str">
        <f>VLOOKUP(G3800,PC!B:D,3,FALSE)</f>
        <v>RECEITA</v>
      </c>
      <c r="C3800" s="22">
        <v>2023</v>
      </c>
      <c r="D3800" t="s">
        <v>106</v>
      </c>
      <c r="F3800" t="str">
        <f>VLOOKUP(G3800,PC!B:D,2,FALSE)</f>
        <v>RECEITA</v>
      </c>
      <c r="G3800" s="4" t="s">
        <v>54</v>
      </c>
      <c r="H3800" s="1">
        <f>350+1400+1050</f>
        <v>2800</v>
      </c>
    </row>
    <row r="3801" spans="2:8" x14ac:dyDescent="0.2">
      <c r="B3801" t="str">
        <f>VLOOKUP(G3801,PC!B:D,3,FALSE)</f>
        <v>RECEITA</v>
      </c>
      <c r="C3801" s="22">
        <v>2023</v>
      </c>
      <c r="D3801" t="s">
        <v>106</v>
      </c>
      <c r="F3801" t="str">
        <f>VLOOKUP(G3801,PC!B:D,2,FALSE)</f>
        <v>RECEITA</v>
      </c>
      <c r="G3801" s="4" t="s">
        <v>54</v>
      </c>
      <c r="H3801" s="1">
        <f>900+1650</f>
        <v>2550</v>
      </c>
    </row>
    <row r="3802" spans="2:8" x14ac:dyDescent="0.2">
      <c r="B3802" t="str">
        <f>VLOOKUP(G3802,PC!B:D,3,FALSE)</f>
        <v>RECEITA</v>
      </c>
      <c r="C3802" s="22">
        <v>2023</v>
      </c>
      <c r="D3802" t="s">
        <v>106</v>
      </c>
      <c r="F3802" t="str">
        <f>VLOOKUP(G3802,PC!B:D,2,FALSE)</f>
        <v>RECEITA</v>
      </c>
      <c r="G3802" s="4" t="s">
        <v>54</v>
      </c>
      <c r="H3802" s="1">
        <f>70+500+50</f>
        <v>620</v>
      </c>
    </row>
    <row r="3803" spans="2:8" x14ac:dyDescent="0.2">
      <c r="B3803" t="str">
        <f>VLOOKUP(G3803,PC!B:D,3,FALSE)</f>
        <v>RECEITA</v>
      </c>
      <c r="C3803" s="22">
        <v>2023</v>
      </c>
      <c r="D3803" t="s">
        <v>106</v>
      </c>
      <c r="F3803" t="str">
        <f>VLOOKUP(G3803,PC!B:D,2,FALSE)</f>
        <v>RECEITA</v>
      </c>
      <c r="G3803" s="4" t="s">
        <v>54</v>
      </c>
      <c r="H3803" s="1">
        <f>214+740+2100</f>
        <v>3054</v>
      </c>
    </row>
    <row r="3804" spans="2:8" x14ac:dyDescent="0.2">
      <c r="B3804" t="str">
        <f>VLOOKUP(G3804,PC!B:D,3,FALSE)</f>
        <v>CPV</v>
      </c>
      <c r="C3804" s="22">
        <v>2023</v>
      </c>
      <c r="D3804" t="s">
        <v>106</v>
      </c>
      <c r="E3804" t="s">
        <v>129</v>
      </c>
      <c r="F3804" t="str">
        <f>VLOOKUP(G3804,PC!B:D,2,FALSE)</f>
        <v>COMIDA</v>
      </c>
      <c r="G3804" s="4" t="s">
        <v>12</v>
      </c>
      <c r="H3804" s="1">
        <v>214</v>
      </c>
    </row>
    <row r="3805" spans="2:8" x14ac:dyDescent="0.2">
      <c r="B3805" t="str">
        <f>VLOOKUP(G3805,PC!B:D,3,FALSE)</f>
        <v>RECEITA</v>
      </c>
      <c r="C3805" s="22">
        <v>2023</v>
      </c>
      <c r="D3805" t="s">
        <v>106</v>
      </c>
      <c r="F3805" t="str">
        <f>VLOOKUP(G3805,PC!B:D,2,FALSE)</f>
        <v>RECEITA</v>
      </c>
      <c r="G3805" s="4" t="s">
        <v>54</v>
      </c>
      <c r="H3805" s="1">
        <f>30+95+56+128+900+46+600+600+550+310</f>
        <v>3315</v>
      </c>
    </row>
    <row r="3806" spans="2:8" x14ac:dyDescent="0.2">
      <c r="B3806" t="str">
        <f>VLOOKUP(G3806,PC!B:D,3,FALSE)</f>
        <v>DESPESA OPERACIONAL</v>
      </c>
      <c r="C3806" s="22">
        <v>2023</v>
      </c>
      <c r="D3806" t="s">
        <v>106</v>
      </c>
      <c r="F3806" t="str">
        <f>VLOOKUP(G3806,PC!B:D,2,FALSE)</f>
        <v>DESPESA OPERACIONAL</v>
      </c>
      <c r="G3806" s="4" t="s">
        <v>70</v>
      </c>
      <c r="H3806" s="1">
        <v>128</v>
      </c>
    </row>
    <row r="3807" spans="2:8" x14ac:dyDescent="0.2">
      <c r="B3807" t="str">
        <f>VLOOKUP(G3807,PC!B:D,3,FALSE)</f>
        <v>CPV</v>
      </c>
      <c r="C3807" s="22">
        <v>2023</v>
      </c>
      <c r="D3807" t="s">
        <v>106</v>
      </c>
      <c r="E3807" t="s">
        <v>129</v>
      </c>
      <c r="F3807" t="str">
        <f>VLOOKUP(G3807,PC!B:D,2,FALSE)</f>
        <v>COMIDA</v>
      </c>
      <c r="G3807" s="4" t="s">
        <v>12</v>
      </c>
      <c r="H3807" s="1">
        <v>30</v>
      </c>
    </row>
    <row r="3808" spans="2:8" x14ac:dyDescent="0.2">
      <c r="B3808" t="str">
        <f>VLOOKUP(G3808,PC!B:D,3,FALSE)</f>
        <v>RECEITA</v>
      </c>
      <c r="C3808" s="22">
        <v>2023</v>
      </c>
      <c r="D3808" t="s">
        <v>106</v>
      </c>
      <c r="F3808" t="str">
        <f>VLOOKUP(G3808,PC!B:D,2,FALSE)</f>
        <v>RECEITA</v>
      </c>
      <c r="G3808" s="4" t="s">
        <v>54</v>
      </c>
      <c r="H3808" s="1">
        <f>285.7+52+32+30+140+342+900+240+2050+250</f>
        <v>4321.7</v>
      </c>
    </row>
    <row r="3809" spans="2:8" x14ac:dyDescent="0.2">
      <c r="B3809" t="str">
        <f>VLOOKUP(G3809,PC!B:D,3,FALSE)</f>
        <v>CPV</v>
      </c>
      <c r="C3809" s="22">
        <v>2023</v>
      </c>
      <c r="D3809" t="s">
        <v>106</v>
      </c>
      <c r="E3809" t="s">
        <v>129</v>
      </c>
      <c r="F3809" t="str">
        <f>VLOOKUP(G3809,PC!B:D,2,FALSE)</f>
        <v>COMIDA</v>
      </c>
      <c r="G3809" s="4" t="s">
        <v>146</v>
      </c>
      <c r="H3809" s="1">
        <v>140</v>
      </c>
    </row>
    <row r="3810" spans="2:8" x14ac:dyDescent="0.2">
      <c r="B3810" t="str">
        <f>VLOOKUP(G3810,PC!B:D,3,FALSE)</f>
        <v>RECEITAS NÃO OPERACIONAIS</v>
      </c>
      <c r="C3810" s="22">
        <v>2023</v>
      </c>
      <c r="D3810" t="s">
        <v>106</v>
      </c>
      <c r="F3810" t="str">
        <f>VLOOKUP(G3810,PC!B:D,2,FALSE)</f>
        <v>EMPRESTIMO</v>
      </c>
      <c r="G3810" s="4" t="s">
        <v>71</v>
      </c>
      <c r="H3810" s="1">
        <v>30</v>
      </c>
    </row>
    <row r="3811" spans="2:8" x14ac:dyDescent="0.2">
      <c r="B3811" t="str">
        <f>VLOOKUP(G3811,PC!B:D,3,FALSE)</f>
        <v>DESPESA PESSOAL</v>
      </c>
      <c r="C3811" s="22">
        <v>2023</v>
      </c>
      <c r="D3811" t="s">
        <v>106</v>
      </c>
      <c r="F3811" t="str">
        <f>VLOOKUP(G3811,PC!B:D,2,FALSE)</f>
        <v>DESPESA PESSOAL</v>
      </c>
      <c r="G3811" s="4" t="s">
        <v>68</v>
      </c>
      <c r="H3811" s="1">
        <v>30</v>
      </c>
    </row>
    <row r="3812" spans="2:8" x14ac:dyDescent="0.2">
      <c r="B3812" t="str">
        <f>VLOOKUP(G3812,PC!B:D,3,FALSE)</f>
        <v>RECEITA</v>
      </c>
      <c r="C3812" s="22">
        <v>2023</v>
      </c>
      <c r="D3812" t="s">
        <v>106</v>
      </c>
      <c r="F3812" t="str">
        <f>VLOOKUP(G3812,PC!B:D,2,FALSE)</f>
        <v>RECEITA</v>
      </c>
      <c r="G3812" s="4" t="s">
        <v>54</v>
      </c>
      <c r="H3812" s="1">
        <f>47+80+350+95.25+280+81.8+700</f>
        <v>1634.05</v>
      </c>
    </row>
    <row r="3813" spans="2:8" x14ac:dyDescent="0.2">
      <c r="B3813" t="str">
        <f>VLOOKUP(G3813,PC!B:D,3,FALSE)</f>
        <v>DESPESA PESSOAL</v>
      </c>
      <c r="C3813" s="22">
        <v>2023</v>
      </c>
      <c r="D3813" t="s">
        <v>106</v>
      </c>
      <c r="F3813" t="str">
        <f>VLOOKUP(G3813,PC!B:D,2,FALSE)</f>
        <v>DESPESA PESSOAL</v>
      </c>
      <c r="G3813" s="4" t="s">
        <v>68</v>
      </c>
      <c r="H3813" s="1">
        <f>280</f>
        <v>280</v>
      </c>
    </row>
    <row r="3814" spans="2:8" x14ac:dyDescent="0.2">
      <c r="B3814" t="str">
        <f>VLOOKUP(G3814,PC!B:D,3,FALSE)</f>
        <v>CPV</v>
      </c>
      <c r="C3814" s="22">
        <v>2023</v>
      </c>
      <c r="D3814" t="s">
        <v>106</v>
      </c>
      <c r="F3814" t="str">
        <f>VLOOKUP(G3814,PC!B:D,2,FALSE)</f>
        <v>COMIDA</v>
      </c>
      <c r="G3814" s="4" t="s">
        <v>18</v>
      </c>
      <c r="H3814" s="1">
        <v>47</v>
      </c>
    </row>
    <row r="3815" spans="2:8" x14ac:dyDescent="0.2">
      <c r="B3815" t="str">
        <f>VLOOKUP(G3815,PC!B:D,3,FALSE)</f>
        <v>RECEITA</v>
      </c>
      <c r="C3815" s="22">
        <v>2023</v>
      </c>
      <c r="D3815" t="s">
        <v>106</v>
      </c>
      <c r="F3815" t="str">
        <f>VLOOKUP(G3815,PC!B:D,2,FALSE)</f>
        <v>RECEITA</v>
      </c>
      <c r="G3815" s="4" t="s">
        <v>54</v>
      </c>
      <c r="H3815" s="1">
        <f>289+34+1300</f>
        <v>1623</v>
      </c>
    </row>
    <row r="3816" spans="2:8" x14ac:dyDescent="0.2">
      <c r="B3816" t="str">
        <f>VLOOKUP(G3816,PC!B:D,3,FALSE)</f>
        <v>CPV</v>
      </c>
      <c r="C3816" s="22">
        <v>2023</v>
      </c>
      <c r="D3816" t="s">
        <v>106</v>
      </c>
      <c r="E3816" t="s">
        <v>129</v>
      </c>
      <c r="F3816" t="str">
        <f>VLOOKUP(G3816,PC!B:D,2,FALSE)</f>
        <v>COMIDA</v>
      </c>
      <c r="G3816" s="4" t="s">
        <v>12</v>
      </c>
      <c r="H3816" s="1">
        <v>289</v>
      </c>
    </row>
    <row r="3817" spans="2:8" x14ac:dyDescent="0.2">
      <c r="B3817" t="str">
        <f>VLOOKUP(G3817,PC!B:D,3,FALSE)</f>
        <v>RECEITA</v>
      </c>
      <c r="C3817" s="22">
        <v>2023</v>
      </c>
      <c r="D3817" t="s">
        <v>106</v>
      </c>
      <c r="F3817" t="str">
        <f>VLOOKUP(G3817,PC!B:D,2,FALSE)</f>
        <v>RECEITA</v>
      </c>
      <c r="G3817" s="4" t="s">
        <v>54</v>
      </c>
      <c r="H3817" s="1">
        <f>800+342+50+1850+300+1000+400+400</f>
        <v>5142</v>
      </c>
    </row>
    <row r="3818" spans="2:8" x14ac:dyDescent="0.2">
      <c r="B3818" t="str">
        <f>VLOOKUP(G3818,PC!B:D,3,FALSE)</f>
        <v>DESPESA PESSOAL</v>
      </c>
      <c r="C3818" s="22">
        <v>2023</v>
      </c>
      <c r="D3818" t="s">
        <v>106</v>
      </c>
      <c r="F3818" t="str">
        <f>VLOOKUP(G3818,PC!B:D,2,FALSE)</f>
        <v>DESPESA PESSOAL</v>
      </c>
      <c r="G3818" s="4" t="s">
        <v>56</v>
      </c>
      <c r="H3818" s="1">
        <v>300</v>
      </c>
    </row>
    <row r="3819" spans="2:8" x14ac:dyDescent="0.2">
      <c r="B3819" t="str">
        <f>VLOOKUP(G3819,PC!B:D,3,FALSE)</f>
        <v>DESPESA PESSOAL</v>
      </c>
      <c r="C3819" s="22">
        <v>2023</v>
      </c>
      <c r="D3819" t="s">
        <v>106</v>
      </c>
      <c r="F3819" t="str">
        <f>VLOOKUP(G3819,PC!B:D,2,FALSE)</f>
        <v>DESPESA PESSOAL</v>
      </c>
      <c r="G3819" s="4" t="s">
        <v>68</v>
      </c>
      <c r="H3819" s="1">
        <v>50</v>
      </c>
    </row>
    <row r="3820" spans="2:8" x14ac:dyDescent="0.2">
      <c r="B3820" t="str">
        <f>VLOOKUP(G3820,PC!B:D,3,FALSE)</f>
        <v>RECEITA</v>
      </c>
      <c r="C3820" s="22">
        <v>2023</v>
      </c>
      <c r="D3820" t="s">
        <v>106</v>
      </c>
      <c r="F3820" t="str">
        <f>VLOOKUP(G3820,PC!B:D,2,FALSE)</f>
        <v>RECEITA</v>
      </c>
      <c r="G3820" s="4" t="s">
        <v>54</v>
      </c>
      <c r="H3820" s="1">
        <f>2250+350+250</f>
        <v>2850</v>
      </c>
    </row>
    <row r="3821" spans="2:8" x14ac:dyDescent="0.2">
      <c r="B3821" t="str">
        <f>VLOOKUP(G3821,PC!B:D,3,FALSE)</f>
        <v>DESPESA PESSOAL</v>
      </c>
      <c r="C3821" s="22">
        <v>2023</v>
      </c>
      <c r="D3821" t="s">
        <v>106</v>
      </c>
      <c r="F3821" t="str">
        <f>VLOOKUP(G3821,PC!B:D,2,FALSE)</f>
        <v>DESPESA PESSOAL</v>
      </c>
      <c r="G3821" s="4" t="s">
        <v>56</v>
      </c>
      <c r="H3821" s="1">
        <v>350</v>
      </c>
    </row>
    <row r="3822" spans="2:8" x14ac:dyDescent="0.2">
      <c r="B3822" t="str">
        <f>VLOOKUP(G3822,PC!B:D,3,FALSE)</f>
        <v>RECEITA</v>
      </c>
      <c r="C3822" s="22">
        <v>2023</v>
      </c>
      <c r="D3822" t="s">
        <v>106</v>
      </c>
      <c r="F3822" t="str">
        <f>VLOOKUP(G3822,PC!B:D,2,FALSE)</f>
        <v>RECEITA</v>
      </c>
      <c r="G3822" s="4" t="s">
        <v>54</v>
      </c>
      <c r="H3822" s="1">
        <f>650+400+1150+350</f>
        <v>2550</v>
      </c>
    </row>
    <row r="3823" spans="2:8" x14ac:dyDescent="0.2">
      <c r="B3823" t="str">
        <f>VLOOKUP(G3823,PC!B:D,3,FALSE)</f>
        <v>RECEITA</v>
      </c>
      <c r="C3823" s="22">
        <v>2023</v>
      </c>
      <c r="D3823" t="s">
        <v>106</v>
      </c>
      <c r="F3823" t="str">
        <f>VLOOKUP(G3823,PC!B:D,2,FALSE)</f>
        <v>RECEITA</v>
      </c>
      <c r="G3823" s="4" t="s">
        <v>54</v>
      </c>
      <c r="H3823" s="1">
        <f>30+53+1000+42+80+1900</f>
        <v>3105</v>
      </c>
    </row>
    <row r="3824" spans="2:8" x14ac:dyDescent="0.2">
      <c r="B3824" t="str">
        <f>VLOOKUP(G3824,PC!B:D,3,FALSE)</f>
        <v>RECEITA</v>
      </c>
      <c r="C3824" s="22">
        <v>2023</v>
      </c>
      <c r="D3824" t="s">
        <v>106</v>
      </c>
      <c r="F3824" t="str">
        <f>VLOOKUP(G3824,PC!B:D,2,FALSE)</f>
        <v>RECEITA</v>
      </c>
      <c r="G3824" s="4" t="s">
        <v>54</v>
      </c>
      <c r="H3824" s="1">
        <f>28+35+58+151</f>
        <v>272</v>
      </c>
    </row>
    <row r="3825" spans="2:9" x14ac:dyDescent="0.2">
      <c r="B3825" t="str">
        <f>VLOOKUP(G3825,PC!B:D,3,FALSE)</f>
        <v>DESPESA OPERACIONAL</v>
      </c>
      <c r="C3825" s="22">
        <v>2023</v>
      </c>
      <c r="D3825" t="s">
        <v>106</v>
      </c>
      <c r="F3825" t="str">
        <f>VLOOKUP(G3825,PC!B:D,2,FALSE)</f>
        <v>DESPESA OPERACIONAL</v>
      </c>
      <c r="G3825" s="4" t="s">
        <v>70</v>
      </c>
      <c r="H3825" s="1">
        <v>151</v>
      </c>
    </row>
    <row r="3826" spans="2:9" x14ac:dyDescent="0.2">
      <c r="B3826" t="str">
        <f>VLOOKUP(G3826,PC!B:D,3,FALSE)</f>
        <v>RECEITA</v>
      </c>
      <c r="C3826" s="22">
        <v>2023</v>
      </c>
      <c r="D3826" t="s">
        <v>106</v>
      </c>
      <c r="F3826" t="str">
        <f>VLOOKUP(G3826,PC!B:D,2,FALSE)</f>
        <v>RECEITA</v>
      </c>
      <c r="G3826" s="4" t="s">
        <v>54</v>
      </c>
      <c r="H3826" s="1">
        <f>147+450+50+1300+350+400</f>
        <v>2697</v>
      </c>
    </row>
    <row r="3827" spans="2:9" x14ac:dyDescent="0.2">
      <c r="B3827" t="str">
        <f>VLOOKUP(G3827,PC!B:D,3,FALSE)</f>
        <v>RECEITA</v>
      </c>
      <c r="C3827" s="22">
        <v>2023</v>
      </c>
      <c r="D3827" t="s">
        <v>106</v>
      </c>
      <c r="F3827" t="str">
        <f>VLOOKUP(G3827,PC!B:D,2,FALSE)</f>
        <v>RECEITA</v>
      </c>
      <c r="G3827" s="4" t="s">
        <v>54</v>
      </c>
      <c r="H3827" s="1">
        <f>26+20+800+20+30+400+1400+250+1000</f>
        <v>3946</v>
      </c>
    </row>
    <row r="3828" spans="2:9" x14ac:dyDescent="0.2">
      <c r="B3828" t="str">
        <f>VLOOKUP(G3828,PC!B:D,3,FALSE)</f>
        <v>DESPESA PESSOAL</v>
      </c>
      <c r="C3828" s="22">
        <v>2023</v>
      </c>
      <c r="D3828" t="s">
        <v>106</v>
      </c>
      <c r="F3828" t="str">
        <f>VLOOKUP(G3828,PC!B:D,2,FALSE)</f>
        <v>DESPESA PESSOAL</v>
      </c>
      <c r="G3828" s="4" t="s">
        <v>68</v>
      </c>
      <c r="H3828" s="1">
        <v>40</v>
      </c>
    </row>
    <row r="3829" spans="2:9" x14ac:dyDescent="0.2">
      <c r="B3829" t="str">
        <f>VLOOKUP(G3829,PC!B:D,3,FALSE)</f>
        <v>CPV</v>
      </c>
      <c r="C3829" s="22">
        <v>2023</v>
      </c>
      <c r="D3829" t="s">
        <v>106</v>
      </c>
      <c r="F3829" t="str">
        <f>VLOOKUP(G3829,PC!B:D,2,FALSE)</f>
        <v>COMIDA</v>
      </c>
      <c r="G3829" s="4" t="s">
        <v>146</v>
      </c>
      <c r="H3829" s="1">
        <v>30</v>
      </c>
    </row>
    <row r="3830" spans="2:9" x14ac:dyDescent="0.2">
      <c r="B3830" t="str">
        <f>VLOOKUP(G3830,PC!B:D,3,FALSE)</f>
        <v>RECEITA</v>
      </c>
      <c r="C3830" s="22">
        <v>2023</v>
      </c>
      <c r="D3830" t="s">
        <v>106</v>
      </c>
      <c r="F3830" t="str">
        <f>VLOOKUP(G3830,PC!B:D,2,FALSE)</f>
        <v>RECEITA</v>
      </c>
      <c r="G3830" s="4" t="s">
        <v>54</v>
      </c>
      <c r="H3830" s="1">
        <f>76.8+26+150+230+100+277+30+1400+950+850</f>
        <v>4089.8</v>
      </c>
    </row>
    <row r="3831" spans="2:9" x14ac:dyDescent="0.2">
      <c r="B3831" t="str">
        <f>VLOOKUP(G3831,PC!B:D,3,FALSE)</f>
        <v>DESPESA PESSOAL</v>
      </c>
      <c r="C3831" s="22">
        <v>2023</v>
      </c>
      <c r="D3831" t="s">
        <v>106</v>
      </c>
      <c r="F3831" t="str">
        <f>VLOOKUP(G3831,PC!B:D,2,FALSE)</f>
        <v>DESPESA PESSOAL</v>
      </c>
      <c r="G3831" s="4" t="s">
        <v>68</v>
      </c>
      <c r="H3831" s="1">
        <v>230</v>
      </c>
    </row>
    <row r="3832" spans="2:9" x14ac:dyDescent="0.2">
      <c r="B3832" t="str">
        <f>VLOOKUP(G3832,PC!B:D,3,FALSE)</f>
        <v>CPV</v>
      </c>
      <c r="C3832" s="22">
        <v>2023</v>
      </c>
      <c r="D3832" t="s">
        <v>106</v>
      </c>
      <c r="E3832" t="s">
        <v>129</v>
      </c>
      <c r="F3832" t="str">
        <f>VLOOKUP(G3832,PC!B:D,2,FALSE)</f>
        <v>COMIDA</v>
      </c>
      <c r="G3832" s="4" t="s">
        <v>12</v>
      </c>
      <c r="H3832" s="1">
        <v>30</v>
      </c>
    </row>
    <row r="3833" spans="2:9" x14ac:dyDescent="0.2">
      <c r="B3833" t="str">
        <f>VLOOKUP(G3833,PC!B:D,3,FALSE)</f>
        <v>RECEITA</v>
      </c>
      <c r="C3833" s="22">
        <v>2023</v>
      </c>
      <c r="D3833" t="s">
        <v>106</v>
      </c>
      <c r="F3833" t="str">
        <f>VLOOKUP(G3833,PC!B:D,2,FALSE)</f>
        <v>RECEITA</v>
      </c>
      <c r="G3833" s="4" t="s">
        <v>54</v>
      </c>
      <c r="H3833" s="1">
        <f>218+300+800+500+850</f>
        <v>2668</v>
      </c>
    </row>
    <row r="3834" spans="2:9" x14ac:dyDescent="0.2">
      <c r="B3834" t="str">
        <f>VLOOKUP(G3834,PC!B:D,3,FALSE)</f>
        <v>DESPESA PESSOAL</v>
      </c>
      <c r="C3834" s="22">
        <v>2023</v>
      </c>
      <c r="D3834" t="s">
        <v>106</v>
      </c>
      <c r="F3834" t="str">
        <f>VLOOKUP(G3834,PC!B:D,2,FALSE)</f>
        <v>DESPESA PESSOAL</v>
      </c>
      <c r="G3834" s="4" t="s">
        <v>56</v>
      </c>
      <c r="H3834" s="1">
        <v>300</v>
      </c>
    </row>
    <row r="3835" spans="2:9" x14ac:dyDescent="0.2">
      <c r="B3835" t="str">
        <f>VLOOKUP(G3835,PC!B:D,3,FALSE)</f>
        <v>RECEITA</v>
      </c>
      <c r="C3835" s="22">
        <v>2023</v>
      </c>
      <c r="D3835" t="s">
        <v>106</v>
      </c>
      <c r="F3835" t="str">
        <f>VLOOKUP(G3835,PC!B:D,2,FALSE)</f>
        <v>RECEITA</v>
      </c>
      <c r="G3835" s="4" t="s">
        <v>54</v>
      </c>
      <c r="H3835" s="1">
        <f>32+100+2350+350</f>
        <v>2832</v>
      </c>
    </row>
    <row r="3836" spans="2:9" x14ac:dyDescent="0.2">
      <c r="B3836" t="str">
        <f>VLOOKUP(G3836,PC!B:D,3,FALSE)</f>
        <v>CPV</v>
      </c>
      <c r="C3836" s="22">
        <v>2023</v>
      </c>
      <c r="D3836" t="s">
        <v>106</v>
      </c>
      <c r="F3836" t="str">
        <f>VLOOKUP(G3836,PC!B:D,2,FALSE)</f>
        <v>COMIDA</v>
      </c>
      <c r="G3836" s="4" t="s">
        <v>22</v>
      </c>
      <c r="H3836" s="1">
        <v>32</v>
      </c>
    </row>
    <row r="3837" spans="2:9" x14ac:dyDescent="0.2">
      <c r="B3837" t="str">
        <f>VLOOKUP(G3837,PC!B:D,3,FALSE)</f>
        <v>RECEITA</v>
      </c>
      <c r="C3837" s="22">
        <v>2023</v>
      </c>
      <c r="D3837" t="s">
        <v>106</v>
      </c>
      <c r="F3837" t="str">
        <f>VLOOKUP(G3837,PC!B:D,2,FALSE)</f>
        <v>RECEITA</v>
      </c>
      <c r="G3837" s="4" t="s">
        <v>54</v>
      </c>
      <c r="H3837" s="1">
        <f>900+60+800+700+650+47</f>
        <v>3157</v>
      </c>
    </row>
    <row r="3838" spans="2:9" x14ac:dyDescent="0.2">
      <c r="B3838" t="str">
        <f>VLOOKUP(G3838,PC!B:D,3,FALSE)</f>
        <v>RECEITA</v>
      </c>
      <c r="C3838" s="22">
        <v>2023</v>
      </c>
      <c r="D3838" t="s">
        <v>106</v>
      </c>
      <c r="F3838" t="str">
        <f>VLOOKUP(G3838,PC!B:D,2,FALSE)</f>
        <v>RECEITA</v>
      </c>
      <c r="G3838" s="4" t="s">
        <v>54</v>
      </c>
      <c r="H3838" s="1">
        <f>35+270+300+96+1750</f>
        <v>2451</v>
      </c>
    </row>
    <row r="3839" spans="2:9" x14ac:dyDescent="0.2">
      <c r="B3839" t="str">
        <f>VLOOKUP(G3839,PC!B:D,3,FALSE)</f>
        <v>RECEITA</v>
      </c>
      <c r="C3839" s="22">
        <v>2023</v>
      </c>
      <c r="D3839" t="s">
        <v>106</v>
      </c>
      <c r="F3839" t="str">
        <f>VLOOKUP(G3839,PC!B:D,2,FALSE)</f>
        <v>RECEITA</v>
      </c>
      <c r="G3839" s="4" t="s">
        <v>54</v>
      </c>
      <c r="H3839" s="1">
        <f>27+16+125+67.2+88+80+350+50+1400+1100</f>
        <v>3303.2</v>
      </c>
    </row>
    <row r="3840" spans="2:9" x14ac:dyDescent="0.2">
      <c r="B3840" t="str">
        <f>VLOOKUP(G3840,PC!B:D,3,FALSE)</f>
        <v>DESPESA OPERACIONAL</v>
      </c>
      <c r="C3840" s="22">
        <v>2023</v>
      </c>
      <c r="D3840" t="s">
        <v>106</v>
      </c>
      <c r="F3840" t="str">
        <f>VLOOKUP(G3840,PC!B:D,2,FALSE)</f>
        <v>DESPESA OPERACIONAL</v>
      </c>
      <c r="G3840" s="4" t="s">
        <v>76</v>
      </c>
      <c r="H3840" s="1">
        <v>80</v>
      </c>
      <c r="I3840" s="7" t="s">
        <v>220</v>
      </c>
    </row>
    <row r="3841" spans="2:8" x14ac:dyDescent="0.2">
      <c r="B3841" t="str">
        <f>VLOOKUP(G3841,PC!B:D,3,FALSE)</f>
        <v>DESPESA OPERACIONAL</v>
      </c>
      <c r="C3841" s="22">
        <v>2023</v>
      </c>
      <c r="D3841" t="s">
        <v>106</v>
      </c>
      <c r="F3841" t="str">
        <f>VLOOKUP(G3841,PC!B:D,2,FALSE)</f>
        <v>DESPESA OPERACIONAL</v>
      </c>
      <c r="G3841" s="4" t="s">
        <v>70</v>
      </c>
      <c r="H3841" s="1">
        <v>125</v>
      </c>
    </row>
    <row r="3842" spans="2:8" x14ac:dyDescent="0.2">
      <c r="B3842" t="str">
        <f>VLOOKUP(G3842,PC!B:D,3,FALSE)</f>
        <v>DESPESA PESSOAL</v>
      </c>
      <c r="C3842" s="22">
        <v>2023</v>
      </c>
      <c r="D3842" t="s">
        <v>106</v>
      </c>
      <c r="F3842" t="str">
        <f>VLOOKUP(G3842,PC!B:D,2,FALSE)</f>
        <v>DESPESA PESSOAL</v>
      </c>
      <c r="G3842" s="4" t="s">
        <v>68</v>
      </c>
      <c r="H3842" s="1">
        <v>40</v>
      </c>
    </row>
    <row r="3843" spans="2:8" x14ac:dyDescent="0.2">
      <c r="B3843" t="str">
        <f>VLOOKUP(G3843,PC!B:D,3,FALSE)</f>
        <v>CPV</v>
      </c>
      <c r="C3843" s="22">
        <v>2023</v>
      </c>
      <c r="D3843" t="s">
        <v>106</v>
      </c>
      <c r="E3843" t="s">
        <v>129</v>
      </c>
      <c r="F3843" t="str">
        <f>VLOOKUP(G3843,PC!B:D,2,FALSE)</f>
        <v>COMIDA</v>
      </c>
      <c r="G3843" s="4" t="s">
        <v>146</v>
      </c>
      <c r="H3843" s="1">
        <v>100</v>
      </c>
    </row>
    <row r="3844" spans="2:8" x14ac:dyDescent="0.2">
      <c r="B3844" t="str">
        <f>VLOOKUP(G3844,PC!B:D,3,FALSE)</f>
        <v>RECEITA</v>
      </c>
      <c r="C3844" s="22">
        <v>2023</v>
      </c>
      <c r="D3844" t="s">
        <v>106</v>
      </c>
      <c r="F3844" t="str">
        <f>VLOOKUP(G3844,PC!B:D,2,FALSE)</f>
        <v>RECEITA</v>
      </c>
      <c r="G3844" s="4" t="s">
        <v>54</v>
      </c>
      <c r="H3844" s="1">
        <f>40+16+30+100+137+1200+30+2900</f>
        <v>4453</v>
      </c>
    </row>
    <row r="3845" spans="2:8" x14ac:dyDescent="0.2">
      <c r="B3845" t="str">
        <f>VLOOKUP(G3845,PC!B:D,3,FALSE)</f>
        <v>CPV</v>
      </c>
      <c r="C3845" s="22">
        <v>2023</v>
      </c>
      <c r="D3845" t="s">
        <v>106</v>
      </c>
      <c r="F3845" t="str">
        <f>VLOOKUP(G3845,PC!B:D,2,FALSE)</f>
        <v>COMIDA</v>
      </c>
      <c r="G3845" s="4" t="s">
        <v>12</v>
      </c>
      <c r="H3845" s="1">
        <v>30</v>
      </c>
    </row>
    <row r="3846" spans="2:8" x14ac:dyDescent="0.2">
      <c r="B3846" t="str">
        <f>VLOOKUP(G3846,PC!B:D,3,FALSE)</f>
        <v>RECEITA</v>
      </c>
      <c r="C3846" s="22">
        <v>2023</v>
      </c>
      <c r="D3846" t="s">
        <v>106</v>
      </c>
      <c r="F3846" t="str">
        <f>VLOOKUP(G3846,PC!B:D,2,FALSE)</f>
        <v>RECEITA</v>
      </c>
      <c r="G3846" s="4" t="s">
        <v>54</v>
      </c>
      <c r="H3846" s="1">
        <f>140+184.2+73.6+150+700+214+300+1100+1200+1150</f>
        <v>5211.8</v>
      </c>
    </row>
    <row r="3847" spans="2:8" x14ac:dyDescent="0.2">
      <c r="B3847" t="str">
        <f>VLOOKUP(G3847,PC!B:D,3,FALSE)</f>
        <v>DESPESA PESSOAL</v>
      </c>
      <c r="C3847" s="22">
        <v>2023</v>
      </c>
      <c r="D3847" t="s">
        <v>106</v>
      </c>
      <c r="F3847" t="str">
        <f>VLOOKUP(G3847,PC!B:D,2,FALSE)</f>
        <v>DESPESA PESSOAL</v>
      </c>
      <c r="G3847" s="4" t="s">
        <v>56</v>
      </c>
      <c r="H3847" s="1">
        <v>300</v>
      </c>
    </row>
    <row r="3848" spans="2:8" x14ac:dyDescent="0.2">
      <c r="B3848" t="str">
        <f>VLOOKUP(G3848,PC!B:D,3,FALSE)</f>
        <v>CPV</v>
      </c>
      <c r="C3848" s="22">
        <v>2023</v>
      </c>
      <c r="D3848" t="s">
        <v>106</v>
      </c>
      <c r="E3848" t="s">
        <v>129</v>
      </c>
      <c r="F3848" t="str">
        <f>VLOOKUP(G3848,PC!B:D,2,FALSE)</f>
        <v>COMIDA</v>
      </c>
      <c r="G3848" s="4" t="s">
        <v>12</v>
      </c>
      <c r="H3848" s="1">
        <v>214</v>
      </c>
    </row>
    <row r="3849" spans="2:8" x14ac:dyDescent="0.2">
      <c r="B3849" t="str">
        <f>VLOOKUP(G3849,PC!B:D,3,FALSE)</f>
        <v>RECEITA</v>
      </c>
      <c r="C3849" s="22">
        <v>2023</v>
      </c>
      <c r="D3849" t="s">
        <v>106</v>
      </c>
      <c r="F3849" t="str">
        <f>VLOOKUP(G3849,PC!B:D,2,FALSE)</f>
        <v>RECEITA</v>
      </c>
      <c r="G3849" s="4" t="s">
        <v>54</v>
      </c>
      <c r="H3849" s="1">
        <f>2750+550</f>
        <v>3300</v>
      </c>
    </row>
    <row r="3850" spans="2:8" x14ac:dyDescent="0.2">
      <c r="B3850" t="str">
        <f>VLOOKUP(G3850,PC!B:D,3,FALSE)</f>
        <v>RECEITA</v>
      </c>
      <c r="C3850" s="22">
        <v>2023</v>
      </c>
      <c r="D3850" t="s">
        <v>106</v>
      </c>
      <c r="F3850" t="str">
        <f>VLOOKUP(G3850,PC!B:D,2,FALSE)</f>
        <v>RECEITA</v>
      </c>
      <c r="G3850" s="4" t="s">
        <v>54</v>
      </c>
      <c r="H3850" s="1">
        <f>105+350+1600+500</f>
        <v>2555</v>
      </c>
    </row>
    <row r="3851" spans="2:8" x14ac:dyDescent="0.2">
      <c r="B3851" t="str">
        <f>VLOOKUP(G3851,PC!B:D,3,FALSE)</f>
        <v>DESPESA PESSOAL</v>
      </c>
      <c r="C3851" s="22">
        <v>2023</v>
      </c>
      <c r="D3851" t="s">
        <v>106</v>
      </c>
      <c r="F3851" t="str">
        <f>VLOOKUP(G3851,PC!B:D,2,FALSE)</f>
        <v>DESPESA PESSOAL</v>
      </c>
      <c r="G3851" s="4" t="s">
        <v>124</v>
      </c>
      <c r="H3851" s="1">
        <v>1500</v>
      </c>
    </row>
    <row r="3852" spans="2:8" x14ac:dyDescent="0.2">
      <c r="B3852" t="str">
        <f>VLOOKUP(G3852,PC!B:D,3,FALSE)</f>
        <v>DESPESA PESSOAL</v>
      </c>
      <c r="C3852" s="22">
        <v>2023</v>
      </c>
      <c r="D3852" t="s">
        <v>106</v>
      </c>
      <c r="F3852" t="str">
        <f>VLOOKUP(G3852,PC!B:D,2,FALSE)</f>
        <v>DESPESA PESSOAL</v>
      </c>
      <c r="G3852" s="4" t="s">
        <v>56</v>
      </c>
      <c r="H3852" s="1">
        <v>300</v>
      </c>
    </row>
    <row r="3853" spans="2:8" x14ac:dyDescent="0.2">
      <c r="B3853" t="str">
        <f>VLOOKUP(G3853,PC!B:D,3,FALSE)</f>
        <v>RECEITA</v>
      </c>
      <c r="C3853" s="22">
        <v>2023</v>
      </c>
      <c r="D3853" t="s">
        <v>106</v>
      </c>
      <c r="F3853" t="str">
        <f>VLOOKUP(G3853,PC!B:D,2,FALSE)</f>
        <v>RECEITA</v>
      </c>
      <c r="G3853" s="4" t="s">
        <v>54</v>
      </c>
      <c r="H3853" s="1">
        <f>1100+1560</f>
        <v>2660</v>
      </c>
    </row>
    <row r="3854" spans="2:8" x14ac:dyDescent="0.2">
      <c r="B3854" t="str">
        <f>VLOOKUP(G3854,PC!B:D,3,FALSE)</f>
        <v>DESPESA OPERACIONAL</v>
      </c>
      <c r="C3854" s="22">
        <v>2023</v>
      </c>
      <c r="D3854" t="s">
        <v>106</v>
      </c>
      <c r="F3854" t="str">
        <f>VLOOKUP(G3854,PC!B:D,2,FALSE)</f>
        <v>DESPESA OPERACIONAL</v>
      </c>
      <c r="G3854" s="4" t="s">
        <v>70</v>
      </c>
      <c r="H3854" s="1">
        <v>110</v>
      </c>
    </row>
    <row r="3855" spans="2:8" x14ac:dyDescent="0.2">
      <c r="B3855" t="str">
        <f>VLOOKUP(G3855,PC!B:D,3,FALSE)</f>
        <v>RECEITA</v>
      </c>
      <c r="C3855" s="22">
        <v>2023</v>
      </c>
      <c r="D3855" t="s">
        <v>106</v>
      </c>
      <c r="F3855" t="str">
        <f>VLOOKUP(G3855,PC!B:D,2,FALSE)</f>
        <v>RECEITA</v>
      </c>
      <c r="G3855" s="4" t="s">
        <v>54</v>
      </c>
      <c r="H3855" s="1">
        <f>110+282.5+40</f>
        <v>432.5</v>
      </c>
    </row>
    <row r="3856" spans="2:8" x14ac:dyDescent="0.2">
      <c r="B3856" t="str">
        <f>VLOOKUP(G3856,PC!B:D,3,FALSE)</f>
        <v>CPV</v>
      </c>
      <c r="C3856" s="22">
        <v>2023</v>
      </c>
      <c r="D3856" t="s">
        <v>106</v>
      </c>
      <c r="E3856" t="s">
        <v>129</v>
      </c>
      <c r="F3856" t="str">
        <f>VLOOKUP(G3856,PC!B:D,2,FALSE)</f>
        <v>LIMPEZA</v>
      </c>
      <c r="G3856" s="4" t="s">
        <v>43</v>
      </c>
      <c r="H3856" s="1">
        <v>40</v>
      </c>
    </row>
    <row r="3857" spans="2:9" x14ac:dyDescent="0.2">
      <c r="B3857" t="str">
        <f>VLOOKUP(G3857,PC!B:D,3,FALSE)</f>
        <v>RECEITA</v>
      </c>
      <c r="C3857" s="22">
        <v>2023</v>
      </c>
      <c r="D3857" t="s">
        <v>106</v>
      </c>
      <c r="F3857" t="str">
        <f>VLOOKUP(G3857,PC!B:D,2,FALSE)</f>
        <v>RECEITA</v>
      </c>
      <c r="G3857" s="4" t="s">
        <v>54</v>
      </c>
      <c r="H3857" s="1">
        <f>550+1400</f>
        <v>1950</v>
      </c>
    </row>
    <row r="3858" spans="2:9" x14ac:dyDescent="0.2">
      <c r="B3858" t="str">
        <f>VLOOKUP(G3858,PC!B:D,3,FALSE)</f>
        <v>RECEITA</v>
      </c>
      <c r="C3858" s="22">
        <v>2023</v>
      </c>
      <c r="D3858" t="s">
        <v>106</v>
      </c>
      <c r="F3858" t="str">
        <f>VLOOKUP(G3858,PC!B:D,2,FALSE)</f>
        <v>RECEITA</v>
      </c>
      <c r="G3858" s="4" t="s">
        <v>54</v>
      </c>
      <c r="H3858" s="1">
        <f>94+800+288+62+1000+140+650</f>
        <v>3034</v>
      </c>
    </row>
    <row r="3859" spans="2:9" x14ac:dyDescent="0.2">
      <c r="B3859" t="str">
        <f>VLOOKUP(G3859,PC!B:D,3,FALSE)</f>
        <v>DESPESA PESSOAL</v>
      </c>
      <c r="C3859" s="22">
        <v>2023</v>
      </c>
      <c r="D3859" t="s">
        <v>106</v>
      </c>
      <c r="F3859" t="str">
        <f>VLOOKUP(G3859,PC!B:D,2,FALSE)</f>
        <v>DESPESA PESSOAL</v>
      </c>
      <c r="G3859" s="4" t="s">
        <v>68</v>
      </c>
      <c r="H3859" s="1">
        <v>140</v>
      </c>
    </row>
    <row r="3860" spans="2:9" x14ac:dyDescent="0.2">
      <c r="B3860" t="str">
        <f>VLOOKUP(G3860,PC!B:D,3,FALSE)</f>
        <v>RECEITA</v>
      </c>
      <c r="C3860" s="22">
        <v>2023</v>
      </c>
      <c r="D3860" t="s">
        <v>106</v>
      </c>
      <c r="F3860" t="str">
        <f>VLOOKUP(G3860,PC!B:D,2,FALSE)</f>
        <v>RECEITA</v>
      </c>
      <c r="G3860" s="4" t="s">
        <v>54</v>
      </c>
      <c r="H3860" s="1">
        <f>680+30+20+16+2000+342+800</f>
        <v>3888</v>
      </c>
    </row>
    <row r="3861" spans="2:9" x14ac:dyDescent="0.2">
      <c r="B3861" t="str">
        <f>VLOOKUP(G3861,PC!B:D,3,FALSE)</f>
        <v>CPV</v>
      </c>
      <c r="C3861" s="22">
        <v>2023</v>
      </c>
      <c r="D3861" t="s">
        <v>106</v>
      </c>
      <c r="E3861" t="s">
        <v>129</v>
      </c>
      <c r="F3861" t="str">
        <f>VLOOKUP(G3861,PC!B:D,2,FALSE)</f>
        <v>COMIDA</v>
      </c>
      <c r="G3861" s="4" t="s">
        <v>12</v>
      </c>
      <c r="H3861" s="1">
        <v>342</v>
      </c>
    </row>
    <row r="3862" spans="2:9" x14ac:dyDescent="0.2">
      <c r="B3862" t="str">
        <f>VLOOKUP(G3862,PC!B:D,3,FALSE)</f>
        <v>DESPESA PESSOAL</v>
      </c>
      <c r="C3862" s="22">
        <v>2023</v>
      </c>
      <c r="D3862" t="s">
        <v>106</v>
      </c>
      <c r="F3862" t="str">
        <f>VLOOKUP(G3862,PC!B:D,2,FALSE)</f>
        <v>DESPESA PESSOAL</v>
      </c>
      <c r="G3862" s="4" t="s">
        <v>68</v>
      </c>
      <c r="H3862" s="1">
        <v>20</v>
      </c>
    </row>
    <row r="3863" spans="2:9" x14ac:dyDescent="0.2">
      <c r="B3863" t="str">
        <f>VLOOKUP(G3863,PC!B:D,3,FALSE)</f>
        <v>RECEITAS NÃO OPERACIONAIS</v>
      </c>
      <c r="C3863" s="22">
        <v>2023</v>
      </c>
      <c r="D3863" t="s">
        <v>106</v>
      </c>
      <c r="F3863" t="str">
        <f>VLOOKUP(G3863,PC!B:D,2,FALSE)</f>
        <v>EMPRESTIMO</v>
      </c>
      <c r="G3863" s="4" t="s">
        <v>71</v>
      </c>
      <c r="H3863" s="1">
        <v>30</v>
      </c>
    </row>
    <row r="3864" spans="2:9" x14ac:dyDescent="0.2">
      <c r="B3864" t="str">
        <f>VLOOKUP(G3864,PC!B:D,3,FALSE)</f>
        <v>RECEITA</v>
      </c>
      <c r="C3864" s="22">
        <v>2023</v>
      </c>
      <c r="D3864" t="s">
        <v>106</v>
      </c>
      <c r="F3864" t="str">
        <f>VLOOKUP(G3864,PC!B:D,2,FALSE)</f>
        <v>RECEITA</v>
      </c>
      <c r="G3864" s="4" t="s">
        <v>54</v>
      </c>
      <c r="H3864" s="1">
        <f>90+42+40+30+66+220+150+84+150+1150+2500+750</f>
        <v>5272</v>
      </c>
    </row>
    <row r="3865" spans="2:9" x14ac:dyDescent="0.2">
      <c r="B3865" t="str">
        <f>VLOOKUP(G3865,PC!B:D,3,FALSE)</f>
        <v>DESPESA PESSOAL</v>
      </c>
      <c r="C3865" s="22">
        <v>2023</v>
      </c>
      <c r="D3865" t="s">
        <v>106</v>
      </c>
      <c r="F3865" t="str">
        <f>VLOOKUP(G3865,PC!B:D,2,FALSE)</f>
        <v>DESPESA PESSOAL</v>
      </c>
      <c r="G3865" s="4" t="s">
        <v>56</v>
      </c>
      <c r="H3865" s="1">
        <v>300</v>
      </c>
    </row>
    <row r="3866" spans="2:9" x14ac:dyDescent="0.2">
      <c r="B3866" t="str">
        <f>VLOOKUP(G3866,PC!B:D,3,FALSE)</f>
        <v>CPV</v>
      </c>
      <c r="C3866" s="22">
        <v>2023</v>
      </c>
      <c r="D3866" t="s">
        <v>106</v>
      </c>
      <c r="F3866" t="str">
        <f>VLOOKUP(G3866,PC!B:D,2,FALSE)</f>
        <v>COMIDA</v>
      </c>
      <c r="G3866" s="4" t="s">
        <v>12</v>
      </c>
      <c r="H3866" s="1">
        <v>30</v>
      </c>
    </row>
    <row r="3867" spans="2:9" x14ac:dyDescent="0.2">
      <c r="B3867" t="str">
        <f>VLOOKUP(G3867,PC!B:D,3,FALSE)</f>
        <v>RECEITAS NÃO OPERACIONAIS</v>
      </c>
      <c r="C3867" s="22">
        <v>2023</v>
      </c>
      <c r="D3867" t="s">
        <v>106</v>
      </c>
      <c r="F3867" t="str">
        <f>VLOOKUP(G3867,PC!B:D,2,FALSE)</f>
        <v>EMPRESTIMO</v>
      </c>
      <c r="G3867" s="4" t="s">
        <v>71</v>
      </c>
      <c r="H3867" s="1">
        <v>40</v>
      </c>
    </row>
    <row r="3868" spans="2:9" x14ac:dyDescent="0.2">
      <c r="B3868" t="str">
        <f>VLOOKUP(G3868,PC!B:D,3,FALSE)</f>
        <v>RECEITA</v>
      </c>
      <c r="C3868" s="22">
        <v>2023</v>
      </c>
      <c r="D3868" t="s">
        <v>106</v>
      </c>
      <c r="F3868" t="str">
        <f>VLOOKUP(G3868,PC!B:D,2,FALSE)</f>
        <v>RECEITA</v>
      </c>
      <c r="G3868" s="4" t="s">
        <v>54</v>
      </c>
      <c r="H3868" s="1">
        <f>110+58+35+70+400+42+56+108+1150+600</f>
        <v>2629</v>
      </c>
    </row>
    <row r="3869" spans="2:9" x14ac:dyDescent="0.2">
      <c r="B3869" t="str">
        <f>VLOOKUP(G3869,PC!B:D,3,FALSE)</f>
        <v>DESPESA PESSOAL</v>
      </c>
      <c r="C3869" s="22">
        <v>2023</v>
      </c>
      <c r="D3869" t="s">
        <v>106</v>
      </c>
      <c r="F3869" t="str">
        <f>VLOOKUP(G3869,PC!B:D,2,FALSE)</f>
        <v>DESPESA PESSOAL</v>
      </c>
      <c r="G3869" s="4" t="s">
        <v>68</v>
      </c>
      <c r="H3869" s="1">
        <v>108</v>
      </c>
    </row>
    <row r="3870" spans="2:9" x14ac:dyDescent="0.2">
      <c r="B3870" t="str">
        <f>VLOOKUP(G3870,PC!B:D,3,FALSE)</f>
        <v>DESPESA OPERACIONAL</v>
      </c>
      <c r="C3870" s="22">
        <v>2023</v>
      </c>
      <c r="D3870" t="s">
        <v>106</v>
      </c>
      <c r="F3870" t="str">
        <f>VLOOKUP(G3870,PC!B:D,2,FALSE)</f>
        <v>DESPESA OPERACIONAL</v>
      </c>
      <c r="G3870" s="4" t="s">
        <v>70</v>
      </c>
      <c r="H3870" s="1">
        <v>70</v>
      </c>
      <c r="I3870" s="20"/>
    </row>
    <row r="3871" spans="2:9" x14ac:dyDescent="0.2">
      <c r="B3871" t="str">
        <f>VLOOKUP(G3871,PC!B:D,3,FALSE)</f>
        <v>SERV.TERCEIROS</v>
      </c>
      <c r="C3871" s="22">
        <v>2023</v>
      </c>
      <c r="D3871" t="s">
        <v>106</v>
      </c>
      <c r="F3871" t="str">
        <f>VLOOKUP(G3871,PC!B:D,2,FALSE)</f>
        <v>SERV.TERCEIROS</v>
      </c>
      <c r="G3871" s="4" t="s">
        <v>123</v>
      </c>
      <c r="H3871" s="1">
        <v>194</v>
      </c>
    </row>
    <row r="3872" spans="2:9" x14ac:dyDescent="0.2">
      <c r="B3872" t="str">
        <f>VLOOKUP(G3872,PC!B:D,3,FALSE)</f>
        <v>CPV</v>
      </c>
      <c r="C3872" s="22">
        <v>2024</v>
      </c>
      <c r="D3872" t="s">
        <v>109</v>
      </c>
      <c r="E3872" t="s">
        <v>28</v>
      </c>
      <c r="F3872" t="str">
        <f>VLOOKUP(G3872,PC!B:D,2,FALSE)</f>
        <v>BEBIDAS</v>
      </c>
      <c r="G3872" t="s">
        <v>26</v>
      </c>
      <c r="H3872" s="1">
        <f>3546.15+3969.98+2110.67+2669.06+6188.33+2464.91+2996.06</f>
        <v>23945.16</v>
      </c>
    </row>
    <row r="3873" spans="2:8" x14ac:dyDescent="0.2">
      <c r="B3873" t="str">
        <f>VLOOKUP(G3873,PC!B:D,3,FALSE)</f>
        <v>CPV</v>
      </c>
      <c r="C3873" s="22">
        <v>2024</v>
      </c>
      <c r="D3873" t="s">
        <v>109</v>
      </c>
      <c r="E3873" t="s">
        <v>226</v>
      </c>
      <c r="F3873" t="str">
        <f>VLOOKUP(G3873,PC!B:D,2,FALSE)</f>
        <v>BEBIDAS</v>
      </c>
      <c r="G3873" s="4" t="s">
        <v>25</v>
      </c>
      <c r="H3873" s="1">
        <f>48.86+589.4+70.23+48.86+608.67+1347.05+97.71+640.6+651.68+838.67+48.86</f>
        <v>4990.5899999999992</v>
      </c>
    </row>
    <row r="3874" spans="2:8" x14ac:dyDescent="0.2">
      <c r="B3874" t="str">
        <f>VLOOKUP(G3874,PC!B:D,3,FALSE)</f>
        <v>INVESTIMENTO</v>
      </c>
      <c r="C3874" s="22">
        <v>2024</v>
      </c>
      <c r="D3874" t="s">
        <v>109</v>
      </c>
      <c r="F3874" t="str">
        <f>VLOOKUP(G3874,PC!B:D,2,FALSE)</f>
        <v>INVESTIMENTO</v>
      </c>
      <c r="G3874" t="s">
        <v>130</v>
      </c>
      <c r="H3874" s="1">
        <f>27+27+50+27</f>
        <v>131</v>
      </c>
    </row>
    <row r="3875" spans="2:8" x14ac:dyDescent="0.2">
      <c r="B3875" t="str">
        <f>VLOOKUP(G3875,PC!B:D,3,FALSE)</f>
        <v>CPV</v>
      </c>
      <c r="C3875" s="22">
        <v>2024</v>
      </c>
      <c r="D3875" t="s">
        <v>109</v>
      </c>
      <c r="E3875" t="s">
        <v>49</v>
      </c>
      <c r="F3875" t="str">
        <f>VLOOKUP(G3875,PC!B:D,2,FALSE)</f>
        <v>CIGARRO</v>
      </c>
      <c r="G3875" t="s">
        <v>52</v>
      </c>
      <c r="H3875" s="1">
        <f>7812.52+14520.81</f>
        <v>22333.33</v>
      </c>
    </row>
    <row r="3876" spans="2:8" x14ac:dyDescent="0.2">
      <c r="B3876" t="str">
        <f>VLOOKUP(G3876,PC!B:D,3,FALSE)</f>
        <v>CPV</v>
      </c>
      <c r="C3876" s="22">
        <v>2024</v>
      </c>
      <c r="D3876" t="s">
        <v>109</v>
      </c>
      <c r="E3876" t="s">
        <v>19</v>
      </c>
      <c r="F3876" t="str">
        <f>VLOOKUP(G3876,PC!B:D,2,FALSE)</f>
        <v>COMIDA</v>
      </c>
      <c r="G3876" t="s">
        <v>145</v>
      </c>
      <c r="H3876" s="1">
        <v>100</v>
      </c>
    </row>
    <row r="3877" spans="2:8" x14ac:dyDescent="0.2">
      <c r="B3877" t="str">
        <f>VLOOKUP(G3877,PC!B:D,3,FALSE)</f>
        <v>CPV</v>
      </c>
      <c r="C3877" s="22">
        <v>2024</v>
      </c>
      <c r="D3877" t="s">
        <v>109</v>
      </c>
      <c r="E3877" t="s">
        <v>19</v>
      </c>
      <c r="F3877" t="str">
        <f>VLOOKUP(G3877,PC!B:D,2,FALSE)</f>
        <v>SOBREMESA</v>
      </c>
      <c r="G3877" t="s">
        <v>8</v>
      </c>
      <c r="H3877" s="1">
        <v>53.1</v>
      </c>
    </row>
    <row r="3878" spans="2:8" x14ac:dyDescent="0.2">
      <c r="B3878" t="str">
        <f>VLOOKUP(G3878,PC!B:D,3,FALSE)</f>
        <v>CPV</v>
      </c>
      <c r="C3878" s="22">
        <v>2024</v>
      </c>
      <c r="D3878" t="s">
        <v>109</v>
      </c>
      <c r="E3878" t="s">
        <v>19</v>
      </c>
      <c r="F3878" t="str">
        <f>VLOOKUP(G3878,PC!B:D,2,FALSE)</f>
        <v>COMIDA</v>
      </c>
      <c r="G3878" t="s">
        <v>34</v>
      </c>
      <c r="H3878" s="1">
        <v>150</v>
      </c>
    </row>
    <row r="3879" spans="2:8" x14ac:dyDescent="0.2">
      <c r="B3879" t="str">
        <f>VLOOKUP(G3879,PC!B:D,3,FALSE)</f>
        <v>CPV</v>
      </c>
      <c r="C3879" s="22">
        <v>2024</v>
      </c>
      <c r="D3879" t="s">
        <v>109</v>
      </c>
      <c r="E3879" t="s">
        <v>19</v>
      </c>
      <c r="F3879" t="str">
        <f>VLOOKUP(G3879,PC!B:D,2,FALSE)</f>
        <v>SOBREMESA</v>
      </c>
      <c r="G3879" t="s">
        <v>23</v>
      </c>
      <c r="H3879" s="1">
        <v>68.430000000000007</v>
      </c>
    </row>
    <row r="3880" spans="2:8" x14ac:dyDescent="0.2">
      <c r="B3880" t="str">
        <f>VLOOKUP(G3880,PC!B:D,3,FALSE)</f>
        <v>CPV</v>
      </c>
      <c r="C3880" s="22">
        <v>2024</v>
      </c>
      <c r="D3880" t="s">
        <v>109</v>
      </c>
      <c r="E3880" t="s">
        <v>19</v>
      </c>
      <c r="F3880" t="str">
        <f>VLOOKUP(G3880,PC!B:D,2,FALSE)</f>
        <v>COMIDA</v>
      </c>
      <c r="G3880" s="34" t="s">
        <v>34</v>
      </c>
      <c r="H3880" s="1">
        <v>184</v>
      </c>
    </row>
    <row r="3881" spans="2:8" x14ac:dyDescent="0.2">
      <c r="B3881" t="str">
        <f>VLOOKUP(G3881,PC!B:D,3,FALSE)</f>
        <v>CPV</v>
      </c>
      <c r="C3881" s="22">
        <v>2024</v>
      </c>
      <c r="D3881" t="s">
        <v>109</v>
      </c>
      <c r="E3881" t="s">
        <v>19</v>
      </c>
      <c r="F3881" t="str">
        <f>VLOOKUP(G3881,PC!B:D,2,FALSE)</f>
        <v>COMIDA</v>
      </c>
      <c r="G3881" t="s">
        <v>38</v>
      </c>
      <c r="H3881" s="1">
        <v>254.69</v>
      </c>
    </row>
    <row r="3882" spans="2:8" x14ac:dyDescent="0.2">
      <c r="B3882" t="str">
        <f>VLOOKUP(G3882,PC!B:D,3,FALSE)</f>
        <v>CPV</v>
      </c>
      <c r="C3882" s="22">
        <v>2024</v>
      </c>
      <c r="D3882" t="s">
        <v>109</v>
      </c>
      <c r="E3882" t="s">
        <v>24</v>
      </c>
      <c r="F3882" t="str">
        <f>VLOOKUP(G3882,PC!B:D,2,FALSE)</f>
        <v>COMIDA</v>
      </c>
      <c r="G3882" t="s">
        <v>33</v>
      </c>
      <c r="H3882" s="1">
        <f>153.03+289.2+226.02</f>
        <v>668.25</v>
      </c>
    </row>
    <row r="3883" spans="2:8" x14ac:dyDescent="0.2">
      <c r="B3883" t="str">
        <f>VLOOKUP(G3883,PC!B:D,3,FALSE)</f>
        <v>CPV</v>
      </c>
      <c r="C3883" s="22">
        <v>2024</v>
      </c>
      <c r="D3883" t="s">
        <v>109</v>
      </c>
      <c r="E3883" t="s">
        <v>95</v>
      </c>
      <c r="F3883" t="str">
        <f>VLOOKUP(G3883,PC!B:D,2,FALSE)</f>
        <v>BEBIDAS</v>
      </c>
      <c r="G3883" t="s">
        <v>144</v>
      </c>
      <c r="H3883" s="1">
        <v>554.79999999999995</v>
      </c>
    </row>
    <row r="3884" spans="2:8" x14ac:dyDescent="0.2">
      <c r="B3884" t="str">
        <f>VLOOKUP(G3884,PC!B:D,3,FALSE)</f>
        <v>CPV</v>
      </c>
      <c r="C3884" s="22">
        <v>2024</v>
      </c>
      <c r="D3884" t="s">
        <v>109</v>
      </c>
      <c r="E3884" t="s">
        <v>21</v>
      </c>
      <c r="F3884" t="str">
        <f>VLOOKUP(G3884,PC!B:D,2,FALSE)</f>
        <v>SOBREMESA</v>
      </c>
      <c r="G3884" t="s">
        <v>23</v>
      </c>
      <c r="H3884" s="1">
        <f>363.47+162.38+84.66</f>
        <v>610.51</v>
      </c>
    </row>
    <row r="3885" spans="2:8" x14ac:dyDescent="0.2">
      <c r="B3885" t="str">
        <f>VLOOKUP(G3885,PC!B:D,3,FALSE)</f>
        <v>CPV</v>
      </c>
      <c r="C3885" s="22">
        <v>2024</v>
      </c>
      <c r="D3885" t="s">
        <v>109</v>
      </c>
      <c r="E3885" t="s">
        <v>227</v>
      </c>
      <c r="F3885" t="str">
        <f>VLOOKUP(G3885,PC!B:D,2,FALSE)</f>
        <v>HIGIENE</v>
      </c>
      <c r="G3885" t="s">
        <v>36</v>
      </c>
      <c r="H3885" s="1">
        <v>500</v>
      </c>
    </row>
    <row r="3886" spans="2:8" x14ac:dyDescent="0.2">
      <c r="B3886" t="str">
        <f>VLOOKUP(G3886,PC!B:D,3,FALSE)</f>
        <v>CPV</v>
      </c>
      <c r="C3886" s="22">
        <v>2024</v>
      </c>
      <c r="D3886" t="s">
        <v>109</v>
      </c>
      <c r="E3886" t="s">
        <v>227</v>
      </c>
      <c r="F3886" t="str">
        <f>VLOOKUP(G3886,PC!B:D,2,FALSE)</f>
        <v>LIMPEZA</v>
      </c>
      <c r="G3886" t="s">
        <v>43</v>
      </c>
      <c r="H3886" s="1">
        <v>500</v>
      </c>
    </row>
    <row r="3887" spans="2:8" x14ac:dyDescent="0.2">
      <c r="B3887" t="str">
        <f>VLOOKUP(G3887,PC!B:D,3,FALSE)</f>
        <v>CPV</v>
      </c>
      <c r="C3887" s="22">
        <v>2024</v>
      </c>
      <c r="D3887" t="s">
        <v>109</v>
      </c>
      <c r="E3887" t="s">
        <v>227</v>
      </c>
      <c r="F3887" t="str">
        <f>VLOOKUP(G3887,PC!B:D,2,FALSE)</f>
        <v>COMIDA</v>
      </c>
      <c r="G3887" t="s">
        <v>38</v>
      </c>
      <c r="H3887" s="1">
        <v>291.8</v>
      </c>
    </row>
    <row r="3888" spans="2:8" x14ac:dyDescent="0.2">
      <c r="B3888" t="str">
        <f>VLOOKUP(G3888,PC!B:D,3,FALSE)</f>
        <v>CPV</v>
      </c>
      <c r="C3888" s="22">
        <v>2024</v>
      </c>
      <c r="D3888" t="s">
        <v>109</v>
      </c>
      <c r="E3888" t="s">
        <v>227</v>
      </c>
      <c r="F3888" t="str">
        <f>VLOOKUP(G3888,PC!B:D,2,FALSE)</f>
        <v>BEBIDAS</v>
      </c>
      <c r="G3888" t="s">
        <v>39</v>
      </c>
      <c r="H3888" s="1">
        <v>500</v>
      </c>
    </row>
    <row r="3889" spans="2:8" x14ac:dyDescent="0.2">
      <c r="B3889" t="str">
        <f>VLOOKUP(G3889,PC!B:D,3,FALSE)</f>
        <v>CPV</v>
      </c>
      <c r="C3889" s="22">
        <v>2024</v>
      </c>
      <c r="D3889" t="s">
        <v>109</v>
      </c>
      <c r="E3889" t="s">
        <v>227</v>
      </c>
      <c r="F3889" t="str">
        <f>VLOOKUP(G3889,PC!B:D,2,FALSE)</f>
        <v>OUTROS</v>
      </c>
      <c r="G3889" t="s">
        <v>37</v>
      </c>
      <c r="H3889" s="1">
        <v>796.79</v>
      </c>
    </row>
    <row r="3890" spans="2:8" x14ac:dyDescent="0.2">
      <c r="B3890" t="str">
        <f>VLOOKUP(G3890,PC!B:D,3,FALSE)</f>
        <v>CPV</v>
      </c>
      <c r="C3890" s="22">
        <v>2024</v>
      </c>
      <c r="D3890" t="s">
        <v>109</v>
      </c>
      <c r="E3890" t="s">
        <v>227</v>
      </c>
      <c r="F3890" t="str">
        <f>VLOOKUP(G3890,PC!B:D,2,FALSE)</f>
        <v>OUTROS</v>
      </c>
      <c r="G3890" t="s">
        <v>37</v>
      </c>
      <c r="H3890" s="1">
        <v>1259.28</v>
      </c>
    </row>
    <row r="3891" spans="2:8" x14ac:dyDescent="0.2">
      <c r="B3891" t="str">
        <f>VLOOKUP(G3891,PC!B:D,3,FALSE)</f>
        <v>CPV</v>
      </c>
      <c r="C3891" s="22">
        <v>2024</v>
      </c>
      <c r="D3891" t="s">
        <v>109</v>
      </c>
      <c r="E3891" t="s">
        <v>165</v>
      </c>
      <c r="F3891" t="str">
        <f>VLOOKUP(G3891,PC!B:D,2,FALSE)</f>
        <v>COMIDA</v>
      </c>
      <c r="G3891" t="s">
        <v>33</v>
      </c>
      <c r="H3891" s="1">
        <v>358.56</v>
      </c>
    </row>
    <row r="3892" spans="2:8" x14ac:dyDescent="0.2">
      <c r="B3892" t="str">
        <f>VLOOKUP(G3892,PC!B:D,3,FALSE)</f>
        <v>CPV</v>
      </c>
      <c r="C3892" s="22">
        <v>2024</v>
      </c>
      <c r="D3892" t="s">
        <v>109</v>
      </c>
      <c r="E3892" t="s">
        <v>100</v>
      </c>
      <c r="F3892" t="str">
        <f>VLOOKUP(G3892,PC!B:D,2,FALSE)</f>
        <v>COMIDA</v>
      </c>
      <c r="G3892" s="3" t="s">
        <v>18</v>
      </c>
      <c r="H3892" s="1">
        <v>258.11</v>
      </c>
    </row>
    <row r="3893" spans="2:8" x14ac:dyDescent="0.2">
      <c r="B3893" t="str">
        <f>VLOOKUP(G3893,PC!B:D,3,FALSE)</f>
        <v>CPV</v>
      </c>
      <c r="C3893" s="22">
        <v>2024</v>
      </c>
      <c r="D3893" t="s">
        <v>109</v>
      </c>
      <c r="E3893" t="s">
        <v>129</v>
      </c>
      <c r="F3893" t="str">
        <f>VLOOKUP(G3893,PC!B:D,2,FALSE)</f>
        <v>BEBIDAS</v>
      </c>
      <c r="G3893" s="3" t="s">
        <v>48</v>
      </c>
      <c r="H3893" s="1">
        <v>316</v>
      </c>
    </row>
    <row r="3894" spans="2:8" x14ac:dyDescent="0.2">
      <c r="B3894" t="str">
        <f>VLOOKUP(G3894,PC!B:D,3,FALSE)</f>
        <v>CPV</v>
      </c>
      <c r="C3894" s="22">
        <v>2024</v>
      </c>
      <c r="D3894" t="s">
        <v>109</v>
      </c>
      <c r="E3894" t="s">
        <v>78</v>
      </c>
      <c r="F3894" t="str">
        <f>VLOOKUP(G3894,PC!B:D,2,FALSE)</f>
        <v>CIGARRO</v>
      </c>
      <c r="G3894" t="s">
        <v>82</v>
      </c>
      <c r="H3894" s="1">
        <v>558.77</v>
      </c>
    </row>
    <row r="3895" spans="2:8" x14ac:dyDescent="0.2">
      <c r="B3895" t="str">
        <f>VLOOKUP(G3895,PC!B:D,3,FALSE)</f>
        <v>CPV</v>
      </c>
      <c r="C3895" s="22">
        <v>2024</v>
      </c>
      <c r="D3895" t="s">
        <v>109</v>
      </c>
      <c r="E3895" t="s">
        <v>5</v>
      </c>
      <c r="F3895" t="str">
        <f>VLOOKUP(G3895,PC!B:D,2,FALSE)</f>
        <v>COMIDA</v>
      </c>
      <c r="G3895" t="s">
        <v>18</v>
      </c>
      <c r="H3895" s="1">
        <v>217.88</v>
      </c>
    </row>
    <row r="3896" spans="2:8" x14ac:dyDescent="0.2">
      <c r="B3896" t="str">
        <f>VLOOKUP(G3896,PC!B:D,3,FALSE)</f>
        <v>CPV</v>
      </c>
      <c r="C3896" s="22">
        <v>2024</v>
      </c>
      <c r="D3896" t="s">
        <v>109</v>
      </c>
      <c r="E3896" t="s">
        <v>16</v>
      </c>
      <c r="F3896" t="str">
        <f>VLOOKUP(G3896,PC!B:D,2,FALSE)</f>
        <v>COMIDA</v>
      </c>
      <c r="G3896" t="s">
        <v>12</v>
      </c>
      <c r="H3896" s="1">
        <v>223.4</v>
      </c>
    </row>
    <row r="3897" spans="2:8" x14ac:dyDescent="0.2">
      <c r="B3897" t="str">
        <f>VLOOKUP(G3897,PC!B:D,3,FALSE)</f>
        <v>CPV</v>
      </c>
      <c r="C3897" s="22">
        <v>2024</v>
      </c>
      <c r="D3897" t="s">
        <v>109</v>
      </c>
      <c r="E3897" t="s">
        <v>211</v>
      </c>
      <c r="F3897" t="str">
        <f>VLOOKUP(G3897,PC!B:D,2,FALSE)</f>
        <v>BEBIDAS</v>
      </c>
      <c r="G3897" t="s">
        <v>26</v>
      </c>
      <c r="H3897" s="1">
        <f>572.1+1047.34+1513.5</f>
        <v>3132.94</v>
      </c>
    </row>
    <row r="3898" spans="2:8" x14ac:dyDescent="0.2">
      <c r="B3898" t="str">
        <f>VLOOKUP(G3898,PC!B:D,3,FALSE)</f>
        <v>CPV</v>
      </c>
      <c r="C3898" s="22">
        <v>2024</v>
      </c>
      <c r="D3898" t="s">
        <v>109</v>
      </c>
      <c r="E3898" t="s">
        <v>77</v>
      </c>
      <c r="F3898" t="str">
        <f>VLOOKUP(G3898,PC!B:D,2,FALSE)</f>
        <v>LIMPEZA</v>
      </c>
      <c r="G3898" t="s">
        <v>43</v>
      </c>
      <c r="H3898" s="1">
        <v>561.83000000000004</v>
      </c>
    </row>
    <row r="3899" spans="2:8" x14ac:dyDescent="0.2">
      <c r="B3899" t="str">
        <f>VLOOKUP(G3899,PC!B:D,3,FALSE)</f>
        <v>CPV</v>
      </c>
      <c r="C3899" s="22">
        <v>2024</v>
      </c>
      <c r="D3899" t="s">
        <v>109</v>
      </c>
      <c r="E3899" t="s">
        <v>27</v>
      </c>
      <c r="F3899" t="str">
        <f>VLOOKUP(G3899,PC!B:D,2,FALSE)</f>
        <v>COMIDA</v>
      </c>
      <c r="G3899" t="s">
        <v>12</v>
      </c>
      <c r="H3899" s="1">
        <v>212.06</v>
      </c>
    </row>
    <row r="3900" spans="2:8" x14ac:dyDescent="0.2">
      <c r="B3900" t="str">
        <f>VLOOKUP(G3900,PC!B:D,3,FALSE)</f>
        <v>CPV</v>
      </c>
      <c r="C3900" s="22">
        <v>2024</v>
      </c>
      <c r="D3900" t="s">
        <v>109</v>
      </c>
      <c r="E3900" t="s">
        <v>30</v>
      </c>
      <c r="F3900" t="str">
        <f>VLOOKUP(G3900,PC!B:D,2,FALSE)</f>
        <v>SOBREMESA</v>
      </c>
      <c r="G3900" t="s">
        <v>23</v>
      </c>
      <c r="H3900" s="1">
        <v>284.26</v>
      </c>
    </row>
    <row r="3901" spans="2:8" x14ac:dyDescent="0.2">
      <c r="B3901" t="str">
        <f>VLOOKUP(G3901,PC!B:D,3,FALSE)</f>
        <v>CPV</v>
      </c>
      <c r="C3901" s="22">
        <v>2024</v>
      </c>
      <c r="D3901" t="s">
        <v>109</v>
      </c>
      <c r="E3901" t="s">
        <v>156</v>
      </c>
      <c r="F3901" t="str">
        <f>VLOOKUP(G3901,PC!B:D,2,FALSE)</f>
        <v>BEBIDAS</v>
      </c>
      <c r="G3901" t="s">
        <v>26</v>
      </c>
      <c r="H3901" s="1">
        <v>188.4</v>
      </c>
    </row>
    <row r="3902" spans="2:8" x14ac:dyDescent="0.2">
      <c r="B3902" t="str">
        <f>VLOOKUP(G3902,PC!B:D,3,FALSE)</f>
        <v>SERV. PUBLICOS</v>
      </c>
      <c r="C3902" s="22">
        <v>2024</v>
      </c>
      <c r="D3902" t="s">
        <v>109</v>
      </c>
      <c r="F3902" t="str">
        <f>VLOOKUP(G3902,PC!B:D,2,FALSE)</f>
        <v>SERV. PUBLICOS</v>
      </c>
      <c r="G3902" t="s">
        <v>104</v>
      </c>
      <c r="H3902" s="1">
        <v>269.72000000000003</v>
      </c>
    </row>
    <row r="3903" spans="2:8" x14ac:dyDescent="0.2">
      <c r="B3903" t="str">
        <f>VLOOKUP(G3903,PC!B:D,3,FALSE)</f>
        <v>CPV</v>
      </c>
      <c r="C3903" s="22">
        <v>2024</v>
      </c>
      <c r="D3903" t="s">
        <v>109</v>
      </c>
      <c r="E3903" t="s">
        <v>228</v>
      </c>
      <c r="F3903" t="str">
        <f>VLOOKUP(G3903,PC!B:D,2,FALSE)</f>
        <v>COMIDA</v>
      </c>
      <c r="G3903" t="s">
        <v>33</v>
      </c>
      <c r="H3903" s="1">
        <v>215.77</v>
      </c>
    </row>
    <row r="3904" spans="2:8" x14ac:dyDescent="0.2">
      <c r="B3904" t="str">
        <f>VLOOKUP(G3904,PC!B:D,3,FALSE)</f>
        <v>CPV</v>
      </c>
      <c r="C3904" s="22">
        <v>2024</v>
      </c>
      <c r="D3904" t="s">
        <v>109</v>
      </c>
      <c r="E3904" t="s">
        <v>16</v>
      </c>
      <c r="F3904" t="str">
        <f>VLOOKUP(G3904,PC!B:D,2,FALSE)</f>
        <v>COMIDA</v>
      </c>
      <c r="G3904" t="s">
        <v>33</v>
      </c>
      <c r="H3904" s="1">
        <v>239.71</v>
      </c>
    </row>
    <row r="3905" spans="2:8" x14ac:dyDescent="0.2">
      <c r="B3905" t="str">
        <f>VLOOKUP(G3905,PC!B:D,3,FALSE)</f>
        <v>CPV</v>
      </c>
      <c r="C3905" s="22">
        <v>2024</v>
      </c>
      <c r="D3905" t="s">
        <v>109</v>
      </c>
      <c r="E3905" t="s">
        <v>10</v>
      </c>
      <c r="F3905" t="str">
        <f>VLOOKUP(G3905,PC!B:D,2,FALSE)</f>
        <v>COMIDA</v>
      </c>
      <c r="G3905" t="s">
        <v>33</v>
      </c>
      <c r="H3905" s="1">
        <v>634.89</v>
      </c>
    </row>
    <row r="3906" spans="2:8" x14ac:dyDescent="0.2">
      <c r="B3906" t="str">
        <f>VLOOKUP(G3906,PC!B:D,3,FALSE)</f>
        <v>CPV</v>
      </c>
      <c r="C3906" s="22">
        <v>2024</v>
      </c>
      <c r="D3906" t="s">
        <v>109</v>
      </c>
      <c r="E3906" t="s">
        <v>229</v>
      </c>
      <c r="F3906" t="str">
        <f>VLOOKUP(G3906,PC!B:D,2,FALSE)</f>
        <v>COMIDA</v>
      </c>
      <c r="G3906" t="s">
        <v>34</v>
      </c>
      <c r="H3906" s="1">
        <v>586.36</v>
      </c>
    </row>
    <row r="3907" spans="2:8" x14ac:dyDescent="0.2">
      <c r="B3907" t="str">
        <f>VLOOKUP(G3907,PC!B:D,3,FALSE)</f>
        <v>CPV</v>
      </c>
      <c r="C3907" s="22">
        <v>2024</v>
      </c>
      <c r="D3907" t="s">
        <v>109</v>
      </c>
      <c r="E3907" t="s">
        <v>27</v>
      </c>
      <c r="F3907" t="str">
        <f>VLOOKUP(G3907,PC!B:D,2,FALSE)</f>
        <v>COMIDA</v>
      </c>
      <c r="G3907" t="s">
        <v>12</v>
      </c>
      <c r="H3907" s="1">
        <v>208.73</v>
      </c>
    </row>
    <row r="3908" spans="2:8" x14ac:dyDescent="0.2">
      <c r="B3908" t="str">
        <f>VLOOKUP(G3908,PC!B:D,3,FALSE)</f>
        <v>CPV</v>
      </c>
      <c r="C3908" s="22">
        <v>2024</v>
      </c>
      <c r="D3908" t="s">
        <v>109</v>
      </c>
      <c r="E3908" t="s">
        <v>230</v>
      </c>
      <c r="F3908" t="str">
        <f>VLOOKUP(G3908,PC!B:D,2,FALSE)</f>
        <v>LIMPEZA</v>
      </c>
      <c r="G3908" t="s">
        <v>43</v>
      </c>
      <c r="H3908" s="1">
        <v>634.03</v>
      </c>
    </row>
    <row r="3909" spans="2:8" x14ac:dyDescent="0.2">
      <c r="B3909" t="str">
        <f>VLOOKUP(G3909,PC!B:D,3,FALSE)</f>
        <v>CPV</v>
      </c>
      <c r="C3909" s="22">
        <v>2024</v>
      </c>
      <c r="D3909" t="s">
        <v>109</v>
      </c>
      <c r="E3909" t="s">
        <v>230</v>
      </c>
      <c r="F3909" t="str">
        <f>VLOOKUP(G3909,PC!B:D,2,FALSE)</f>
        <v>OUTROS</v>
      </c>
      <c r="G3909" t="s">
        <v>37</v>
      </c>
      <c r="H3909" s="1">
        <v>211.12</v>
      </c>
    </row>
    <row r="3910" spans="2:8" x14ac:dyDescent="0.2">
      <c r="B3910" t="str">
        <f>VLOOKUP(G3910,PC!B:D,3,FALSE)</f>
        <v>CPV</v>
      </c>
      <c r="C3910" s="22">
        <v>2024</v>
      </c>
      <c r="D3910" t="s">
        <v>109</v>
      </c>
      <c r="E3910" t="s">
        <v>45</v>
      </c>
      <c r="F3910" t="str">
        <f>VLOOKUP(G3910,PC!B:D,2,FALSE)</f>
        <v>HIGIENE</v>
      </c>
      <c r="G3910" t="s">
        <v>36</v>
      </c>
      <c r="H3910" s="1">
        <v>869.06</v>
      </c>
    </row>
    <row r="3911" spans="2:8" x14ac:dyDescent="0.2">
      <c r="B3911" t="str">
        <f>VLOOKUP(G3911,PC!B:D,3,FALSE)</f>
        <v>CPV</v>
      </c>
      <c r="C3911" s="22">
        <v>2024</v>
      </c>
      <c r="D3911" t="s">
        <v>109</v>
      </c>
      <c r="E3911" t="s">
        <v>20</v>
      </c>
      <c r="F3911" t="str">
        <f>VLOOKUP(G3911,PC!B:D,2,FALSE)</f>
        <v>COMIDA</v>
      </c>
      <c r="G3911" t="s">
        <v>29</v>
      </c>
      <c r="H3911" s="1">
        <v>121.9</v>
      </c>
    </row>
    <row r="3912" spans="2:8" x14ac:dyDescent="0.2">
      <c r="B3912" t="str">
        <f>VLOOKUP(G3912,PC!B:D,3,FALSE)</f>
        <v>CPV</v>
      </c>
      <c r="C3912" s="22">
        <v>2024</v>
      </c>
      <c r="D3912" t="s">
        <v>109</v>
      </c>
      <c r="E3912" t="s">
        <v>16</v>
      </c>
      <c r="F3912" t="str">
        <f>VLOOKUP(G3912,PC!B:D,2,FALSE)</f>
        <v>COMIDA</v>
      </c>
      <c r="G3912" t="s">
        <v>12</v>
      </c>
      <c r="H3912" s="1">
        <v>302.14999999999998</v>
      </c>
    </row>
    <row r="3913" spans="2:8" x14ac:dyDescent="0.2">
      <c r="B3913" t="str">
        <f>VLOOKUP(G3913,PC!B:D,3,FALSE)</f>
        <v>CPV</v>
      </c>
      <c r="C3913" s="22">
        <v>2024</v>
      </c>
      <c r="D3913" t="s">
        <v>109</v>
      </c>
      <c r="E3913" t="s">
        <v>77</v>
      </c>
      <c r="F3913" t="str">
        <f>VLOOKUP(G3913,PC!B:D,2,FALSE)</f>
        <v>OUTROS</v>
      </c>
      <c r="G3913" t="s">
        <v>37</v>
      </c>
      <c r="H3913" s="1">
        <v>321.3</v>
      </c>
    </row>
    <row r="3914" spans="2:8" x14ac:dyDescent="0.2">
      <c r="B3914" t="str">
        <f>VLOOKUP(G3914,PC!B:D,3,FALSE)</f>
        <v>CPV</v>
      </c>
      <c r="C3914" s="22">
        <v>2024</v>
      </c>
      <c r="D3914" t="s">
        <v>109</v>
      </c>
      <c r="E3914" t="s">
        <v>78</v>
      </c>
      <c r="F3914" t="str">
        <f>VLOOKUP(G3914,PC!B:D,2,FALSE)</f>
        <v>CIGARRO</v>
      </c>
      <c r="G3914" t="s">
        <v>82</v>
      </c>
      <c r="H3914" s="1">
        <v>759.85</v>
      </c>
    </row>
    <row r="3915" spans="2:8" x14ac:dyDescent="0.2">
      <c r="B3915" t="str">
        <f>VLOOKUP(G3915,PC!B:D,3,FALSE)</f>
        <v>CPV</v>
      </c>
      <c r="C3915" s="22">
        <v>2024</v>
      </c>
      <c r="D3915" t="s">
        <v>109</v>
      </c>
      <c r="E3915" t="s">
        <v>129</v>
      </c>
      <c r="F3915" t="str">
        <f>VLOOKUP(G3915,PC!B:D,2,FALSE)</f>
        <v>OUTROS</v>
      </c>
      <c r="G3915" s="4" t="s">
        <v>37</v>
      </c>
      <c r="H3915" s="1">
        <f>397.13+585.26+93.76+656.22+477.8+89+106.99</f>
        <v>2406.16</v>
      </c>
    </row>
    <row r="3916" spans="2:8" x14ac:dyDescent="0.2">
      <c r="B3916" t="str">
        <f>VLOOKUP(G3916,PC!B:D,3,FALSE)</f>
        <v>CPV</v>
      </c>
      <c r="C3916" s="22">
        <v>2024</v>
      </c>
      <c r="D3916" t="s">
        <v>109</v>
      </c>
      <c r="E3916" t="s">
        <v>129</v>
      </c>
      <c r="F3916" t="str">
        <f>VLOOKUP(G3916,PC!B:D,2,FALSE)</f>
        <v>SOBREMESA</v>
      </c>
      <c r="G3916" s="4" t="s">
        <v>7</v>
      </c>
      <c r="H3916" s="1">
        <v>81</v>
      </c>
    </row>
    <row r="3917" spans="2:8" x14ac:dyDescent="0.2">
      <c r="B3917" t="str">
        <f>VLOOKUP(G3917,PC!B:D,3,FALSE)</f>
        <v>CPV</v>
      </c>
      <c r="C3917" s="22">
        <v>2024</v>
      </c>
      <c r="D3917" t="s">
        <v>109</v>
      </c>
      <c r="E3917" t="s">
        <v>129</v>
      </c>
      <c r="F3917" t="str">
        <f>VLOOKUP(G3917,PC!B:D,2,FALSE)</f>
        <v>BEBIDAS</v>
      </c>
      <c r="G3917" t="s">
        <v>46</v>
      </c>
      <c r="H3917" s="1">
        <v>138</v>
      </c>
    </row>
    <row r="3918" spans="2:8" x14ac:dyDescent="0.2">
      <c r="B3918" t="str">
        <f>VLOOKUP(G3918,PC!B:D,3,FALSE)</f>
        <v>CPV</v>
      </c>
      <c r="C3918" s="22">
        <v>2024</v>
      </c>
      <c r="D3918" t="s">
        <v>109</v>
      </c>
      <c r="E3918" t="s">
        <v>129</v>
      </c>
      <c r="F3918" t="str">
        <f>VLOOKUP(G3918,PC!B:D,2,FALSE)</f>
        <v>SOBREMESA</v>
      </c>
      <c r="G3918" t="s">
        <v>75</v>
      </c>
      <c r="H3918" s="1">
        <v>561.79999999999995</v>
      </c>
    </row>
    <row r="3919" spans="2:8" x14ac:dyDescent="0.2">
      <c r="B3919" t="str">
        <f>VLOOKUP(G3919,PC!B:D,3,FALSE)</f>
        <v>CPV</v>
      </c>
      <c r="C3919" s="22">
        <v>2024</v>
      </c>
      <c r="D3919" t="s">
        <v>109</v>
      </c>
      <c r="E3919" t="s">
        <v>129</v>
      </c>
      <c r="F3919" t="str">
        <f>VLOOKUP(G3919,PC!B:D,2,FALSE)</f>
        <v>COMIDA</v>
      </c>
      <c r="G3919" t="s">
        <v>33</v>
      </c>
      <c r="H3919" s="1">
        <v>60</v>
      </c>
    </row>
    <row r="3920" spans="2:8" x14ac:dyDescent="0.2">
      <c r="B3920" t="str">
        <f>VLOOKUP(G3920,PC!B:D,3,FALSE)</f>
        <v>CPV</v>
      </c>
      <c r="C3920" s="22">
        <v>2024</v>
      </c>
      <c r="D3920" t="s">
        <v>109</v>
      </c>
      <c r="E3920" t="s">
        <v>129</v>
      </c>
      <c r="F3920" t="str">
        <f>VLOOKUP(G3920,PC!B:D,2,FALSE)</f>
        <v>SOBREMESA</v>
      </c>
      <c r="G3920" t="s">
        <v>75</v>
      </c>
      <c r="H3920" s="1">
        <f>384.29+622.45</f>
        <v>1006.74</v>
      </c>
    </row>
    <row r="3921" spans="2:8" x14ac:dyDescent="0.2">
      <c r="B3921" t="str">
        <f>VLOOKUP(G3921,PC!B:D,3,FALSE)</f>
        <v>CPV</v>
      </c>
      <c r="C3921" s="22">
        <v>2024</v>
      </c>
      <c r="D3921" t="s">
        <v>109</v>
      </c>
      <c r="E3921" t="s">
        <v>129</v>
      </c>
      <c r="F3921" t="str">
        <f>VLOOKUP(G3921,PC!B:D,2,FALSE)</f>
        <v>SOBREMESA</v>
      </c>
      <c r="G3921" t="s">
        <v>7</v>
      </c>
      <c r="H3921" s="1">
        <v>282</v>
      </c>
    </row>
    <row r="3922" spans="2:8" x14ac:dyDescent="0.2">
      <c r="B3922" t="str">
        <f>VLOOKUP(G3922,PC!B:D,3,FALSE)</f>
        <v>CPV</v>
      </c>
      <c r="C3922" s="22">
        <v>2024</v>
      </c>
      <c r="D3922" t="s">
        <v>109</v>
      </c>
      <c r="E3922" t="s">
        <v>129</v>
      </c>
      <c r="F3922" t="str">
        <f>VLOOKUP(G3922,PC!B:D,2,FALSE)</f>
        <v>COMIDA</v>
      </c>
      <c r="G3922" t="s">
        <v>22</v>
      </c>
      <c r="H3922" s="1">
        <v>62</v>
      </c>
    </row>
    <row r="3923" spans="2:8" x14ac:dyDescent="0.2">
      <c r="B3923" t="str">
        <f>VLOOKUP(G3923,PC!B:D,3,FALSE)</f>
        <v>CPV</v>
      </c>
      <c r="C3923" s="22">
        <v>2024</v>
      </c>
      <c r="D3923" t="s">
        <v>109</v>
      </c>
      <c r="E3923" t="s">
        <v>129</v>
      </c>
      <c r="F3923" t="str">
        <f>VLOOKUP(G3923,PC!B:D,2,FALSE)</f>
        <v>OUTROS</v>
      </c>
      <c r="G3923" t="s">
        <v>58</v>
      </c>
      <c r="H3923" s="1">
        <v>192</v>
      </c>
    </row>
    <row r="3924" spans="2:8" x14ac:dyDescent="0.2">
      <c r="B3924" t="str">
        <f>VLOOKUP(G3924,PC!B:D,3,FALSE)</f>
        <v>CPV</v>
      </c>
      <c r="C3924" s="22">
        <v>2024</v>
      </c>
      <c r="D3924" t="s">
        <v>109</v>
      </c>
      <c r="E3924" t="s">
        <v>129</v>
      </c>
      <c r="F3924" t="str">
        <f>VLOOKUP(G3924,PC!B:D,2,FALSE)</f>
        <v>COMIDA</v>
      </c>
      <c r="G3924" t="s">
        <v>155</v>
      </c>
      <c r="H3924" s="1">
        <v>450</v>
      </c>
    </row>
    <row r="3925" spans="2:8" x14ac:dyDescent="0.2">
      <c r="B3925" t="str">
        <f>VLOOKUP(G3925,PC!B:D,3,FALSE)</f>
        <v>CPV</v>
      </c>
      <c r="C3925" s="22">
        <v>2024</v>
      </c>
      <c r="D3925" t="s">
        <v>109</v>
      </c>
      <c r="E3925" t="s">
        <v>129</v>
      </c>
      <c r="F3925" t="str">
        <f>VLOOKUP(G3925,PC!B:D,2,FALSE)</f>
        <v>COMIDA</v>
      </c>
      <c r="G3925" t="s">
        <v>12</v>
      </c>
      <c r="H3925" s="1">
        <v>400</v>
      </c>
    </row>
    <row r="3926" spans="2:8" x14ac:dyDescent="0.2">
      <c r="B3926" t="str">
        <f>VLOOKUP(G3926,PC!B:D,3,FALSE)</f>
        <v>CPV</v>
      </c>
      <c r="C3926" s="22">
        <v>2024</v>
      </c>
      <c r="D3926" t="s">
        <v>109</v>
      </c>
      <c r="E3926" t="s">
        <v>129</v>
      </c>
      <c r="F3926" t="str">
        <f>VLOOKUP(G3926,PC!B:D,2,FALSE)</f>
        <v>SOBREMESA</v>
      </c>
      <c r="G3926" t="s">
        <v>7</v>
      </c>
      <c r="H3926" s="1">
        <v>29</v>
      </c>
    </row>
    <row r="3927" spans="2:8" x14ac:dyDescent="0.2">
      <c r="B3927" t="str">
        <f>VLOOKUP(G3927,PC!B:D,3,FALSE)</f>
        <v>CPV</v>
      </c>
      <c r="C3927" s="22">
        <v>2024</v>
      </c>
      <c r="D3927" t="s">
        <v>109</v>
      </c>
      <c r="E3927" t="s">
        <v>129</v>
      </c>
      <c r="F3927" t="str">
        <f>VLOOKUP(G3927,PC!B:D,2,FALSE)</f>
        <v>BEBIDAS</v>
      </c>
      <c r="G3927" t="s">
        <v>51</v>
      </c>
      <c r="H3927" s="1">
        <v>480</v>
      </c>
    </row>
    <row r="3928" spans="2:8" x14ac:dyDescent="0.2">
      <c r="B3928" t="str">
        <f>VLOOKUP(G3928,PC!B:D,3,FALSE)</f>
        <v>CPV</v>
      </c>
      <c r="C3928" s="22">
        <v>2024</v>
      </c>
      <c r="D3928" t="s">
        <v>109</v>
      </c>
      <c r="E3928" t="s">
        <v>129</v>
      </c>
      <c r="F3928" t="str">
        <f>VLOOKUP(G3928,PC!B:D,2,FALSE)</f>
        <v>CIGARRO</v>
      </c>
      <c r="G3928" t="s">
        <v>131</v>
      </c>
      <c r="H3928" s="1">
        <v>60</v>
      </c>
    </row>
    <row r="3929" spans="2:8" x14ac:dyDescent="0.2">
      <c r="B3929" t="str">
        <f>VLOOKUP(G3929,PC!B:D,3,FALSE)</f>
        <v>CPV</v>
      </c>
      <c r="C3929" s="22">
        <v>2024</v>
      </c>
      <c r="D3929" t="s">
        <v>109</v>
      </c>
      <c r="E3929" t="s">
        <v>129</v>
      </c>
      <c r="F3929" t="str">
        <f>VLOOKUP(G3929,PC!B:D,2,FALSE)</f>
        <v>CIGARRO</v>
      </c>
      <c r="G3929" t="s">
        <v>57</v>
      </c>
      <c r="H3929" s="1">
        <f>1213-H3928</f>
        <v>1153</v>
      </c>
    </row>
    <row r="3930" spans="2:8" x14ac:dyDescent="0.2">
      <c r="B3930" t="str">
        <f>VLOOKUP(G3930,PC!B:D,3,FALSE)</f>
        <v>SERV.TERCEIROS</v>
      </c>
      <c r="C3930" s="22">
        <v>2024</v>
      </c>
      <c r="D3930" t="s">
        <v>109</v>
      </c>
      <c r="F3930" t="str">
        <f>VLOOKUP(G3930,PC!B:D,2,FALSE)</f>
        <v>SERV.TERCEIROS</v>
      </c>
      <c r="G3930" t="s">
        <v>60</v>
      </c>
      <c r="H3930" s="1">
        <v>410</v>
      </c>
    </row>
    <row r="3931" spans="2:8" x14ac:dyDescent="0.2">
      <c r="B3931" t="e">
        <f>VLOOKUP(G3931,PC!B:D,3,FALSE)</f>
        <v>#N/A</v>
      </c>
      <c r="C3931" s="22">
        <v>2024</v>
      </c>
      <c r="D3931" t="s">
        <v>109</v>
      </c>
      <c r="F3931" t="e">
        <f>VLOOKUP(G3931,PC!B:D,2,FALSE)</f>
        <v>#N/A</v>
      </c>
      <c r="G3931" t="s">
        <v>157</v>
      </c>
      <c r="H3931" s="1">
        <v>192.59</v>
      </c>
    </row>
    <row r="3932" spans="2:8" x14ac:dyDescent="0.2">
      <c r="B3932" t="str">
        <f>VLOOKUP(G3932,PC!B:D,3,FALSE)</f>
        <v>DESPESA PESSOAL</v>
      </c>
      <c r="C3932" s="22">
        <v>2024</v>
      </c>
      <c r="D3932" t="s">
        <v>109</v>
      </c>
      <c r="F3932" t="str">
        <f>VLOOKUP(G3932,PC!B:D,2,FALSE)</f>
        <v>DESPESA PESSOAL</v>
      </c>
      <c r="G3932" t="s">
        <v>115</v>
      </c>
      <c r="H3932" s="1">
        <v>143.02000000000001</v>
      </c>
    </row>
    <row r="3933" spans="2:8" x14ac:dyDescent="0.2">
      <c r="B3933" t="str">
        <f>VLOOKUP(G3933,PC!B:D,3,FALSE)</f>
        <v>DESPESA FINANCEIRA</v>
      </c>
      <c r="C3933" s="22">
        <v>2024</v>
      </c>
      <c r="D3933" t="s">
        <v>109</v>
      </c>
      <c r="F3933" t="str">
        <f>VLOOKUP(G3933,PC!B:D,2,FALSE)</f>
        <v>DESPESA FINANCEIRA</v>
      </c>
      <c r="G3933" t="s">
        <v>90</v>
      </c>
      <c r="H3933" s="1">
        <v>714.49</v>
      </c>
    </row>
    <row r="3934" spans="2:8" x14ac:dyDescent="0.2">
      <c r="B3934" t="str">
        <f>VLOOKUP(G3934,PC!B:D,3,FALSE)</f>
        <v>DESCONTO DE FATURAMENTO</v>
      </c>
      <c r="C3934" s="22">
        <v>2024</v>
      </c>
      <c r="D3934" t="s">
        <v>109</v>
      </c>
      <c r="F3934" t="str">
        <f>VLOOKUP(G3934,PC!B:D,2,FALSE)</f>
        <v>IMPOSTO</v>
      </c>
      <c r="G3934" t="s">
        <v>88</v>
      </c>
      <c r="H3934" s="1">
        <v>6039.84</v>
      </c>
    </row>
    <row r="3935" spans="2:8" x14ac:dyDescent="0.2">
      <c r="B3935" t="str">
        <f>VLOOKUP(G3935,PC!B:D,3,FALSE)</f>
        <v>CPV</v>
      </c>
      <c r="C3935" s="22">
        <v>2024</v>
      </c>
      <c r="D3935" t="s">
        <v>109</v>
      </c>
      <c r="E3935" t="s">
        <v>129</v>
      </c>
      <c r="F3935" t="str">
        <f>VLOOKUP(G3935,PC!B:D,2,FALSE)</f>
        <v>COMIDA</v>
      </c>
      <c r="G3935" t="s">
        <v>155</v>
      </c>
      <c r="H3935" s="1">
        <v>262.5</v>
      </c>
    </row>
    <row r="3936" spans="2:8" x14ac:dyDescent="0.2">
      <c r="B3936" t="str">
        <f>VLOOKUP(G3936,PC!B:D,3,FALSE)</f>
        <v>CPV</v>
      </c>
      <c r="C3936" s="22">
        <v>2024</v>
      </c>
      <c r="D3936" t="s">
        <v>109</v>
      </c>
      <c r="E3936" t="s">
        <v>129</v>
      </c>
      <c r="F3936" t="str">
        <f>VLOOKUP(G3936,PC!B:D,2,FALSE)</f>
        <v>COMIDA</v>
      </c>
      <c r="G3936" s="4" t="s">
        <v>12</v>
      </c>
      <c r="H3936" s="1">
        <v>39</v>
      </c>
    </row>
    <row r="3937" spans="2:8" x14ac:dyDescent="0.2">
      <c r="B3937" t="str">
        <f>VLOOKUP(G3937,PC!B:D,3,FALSE)</f>
        <v>CPV</v>
      </c>
      <c r="C3937" s="22">
        <v>2024</v>
      </c>
      <c r="D3937" t="s">
        <v>109</v>
      </c>
      <c r="E3937" t="s">
        <v>129</v>
      </c>
      <c r="F3937" t="str">
        <f>VLOOKUP(G3937,PC!B:D,2,FALSE)</f>
        <v>COMIDA</v>
      </c>
      <c r="G3937" t="s">
        <v>22</v>
      </c>
      <c r="H3937" s="1">
        <v>87.5</v>
      </c>
    </row>
    <row r="3938" spans="2:8" x14ac:dyDescent="0.2">
      <c r="B3938" t="str">
        <f>VLOOKUP(G3938,PC!B:D,3,FALSE)</f>
        <v>CPV</v>
      </c>
      <c r="C3938" s="22">
        <v>2024</v>
      </c>
      <c r="D3938" t="s">
        <v>109</v>
      </c>
      <c r="E3938" t="s">
        <v>129</v>
      </c>
      <c r="F3938" t="str">
        <f>VLOOKUP(G3938,PC!B:D,2,FALSE)</f>
        <v>SOBREMESA</v>
      </c>
      <c r="G3938" t="s">
        <v>7</v>
      </c>
      <c r="H3938" s="1">
        <v>44</v>
      </c>
    </row>
    <row r="3939" spans="2:8" x14ac:dyDescent="0.2">
      <c r="B3939" t="str">
        <f>VLOOKUP(G3939,PC!B:D,3,FALSE)</f>
        <v>CPV</v>
      </c>
      <c r="C3939" s="22">
        <v>2024</v>
      </c>
      <c r="D3939" t="s">
        <v>109</v>
      </c>
      <c r="E3939" t="s">
        <v>129</v>
      </c>
      <c r="F3939" t="str">
        <f>VLOOKUP(G3939,PC!B:D,2,FALSE)</f>
        <v>BEBIDAS</v>
      </c>
      <c r="G3939" t="s">
        <v>46</v>
      </c>
      <c r="H3939" s="1">
        <v>255</v>
      </c>
    </row>
    <row r="3940" spans="2:8" x14ac:dyDescent="0.2">
      <c r="B3940" t="str">
        <f>VLOOKUP(G3940,PC!B:D,3,FALSE)</f>
        <v>CPV</v>
      </c>
      <c r="C3940" s="22">
        <v>2024</v>
      </c>
      <c r="D3940" t="s">
        <v>109</v>
      </c>
      <c r="E3940" t="s">
        <v>129</v>
      </c>
      <c r="F3940" t="str">
        <f>VLOOKUP(G3940,PC!B:D,2,FALSE)</f>
        <v>COMIDA</v>
      </c>
      <c r="G3940" t="s">
        <v>33</v>
      </c>
      <c r="H3940" s="1">
        <v>42</v>
      </c>
    </row>
    <row r="3941" spans="2:8" x14ac:dyDescent="0.2">
      <c r="B3941" t="str">
        <f>VLOOKUP(G3941,PC!B:D,3,FALSE)</f>
        <v>CPV</v>
      </c>
      <c r="C3941" s="22">
        <v>2024</v>
      </c>
      <c r="D3941" t="s">
        <v>109</v>
      </c>
      <c r="E3941" t="s">
        <v>129</v>
      </c>
      <c r="F3941" t="str">
        <f>VLOOKUP(G3941,PC!B:D,2,FALSE)</f>
        <v>COMIDA</v>
      </c>
      <c r="G3941" t="s">
        <v>155</v>
      </c>
      <c r="H3941" s="1">
        <v>362</v>
      </c>
    </row>
    <row r="3942" spans="2:8" x14ac:dyDescent="0.2">
      <c r="B3942" t="str">
        <f>VLOOKUP(G3942,PC!B:D,3,FALSE)</f>
        <v>CPV</v>
      </c>
      <c r="C3942" s="22">
        <v>2024</v>
      </c>
      <c r="D3942" t="s">
        <v>109</v>
      </c>
      <c r="E3942" t="s">
        <v>129</v>
      </c>
      <c r="F3942" t="str">
        <f>VLOOKUP(G3942,PC!B:D,2,FALSE)</f>
        <v>COMIDA</v>
      </c>
      <c r="G3942" t="s">
        <v>33</v>
      </c>
      <c r="H3942" s="1">
        <v>72</v>
      </c>
    </row>
    <row r="3943" spans="2:8" x14ac:dyDescent="0.2">
      <c r="B3943" t="str">
        <f>VLOOKUP(G3943,PC!B:D,3,FALSE)</f>
        <v>CPV</v>
      </c>
      <c r="C3943" s="22">
        <v>2024</v>
      </c>
      <c r="D3943" t="s">
        <v>109</v>
      </c>
      <c r="E3943" t="s">
        <v>129</v>
      </c>
      <c r="F3943" t="str">
        <f>VLOOKUP(G3943,PC!B:D,2,FALSE)</f>
        <v>SOBREMESA</v>
      </c>
      <c r="G3943" t="s">
        <v>7</v>
      </c>
      <c r="H3943" s="1">
        <v>198</v>
      </c>
    </row>
    <row r="3944" spans="2:8" x14ac:dyDescent="0.2">
      <c r="B3944" t="str">
        <f>VLOOKUP(G3944,PC!B:D,3,FALSE)</f>
        <v>CPV</v>
      </c>
      <c r="C3944" s="22">
        <v>2024</v>
      </c>
      <c r="D3944" t="s">
        <v>109</v>
      </c>
      <c r="E3944" t="s">
        <v>129</v>
      </c>
      <c r="F3944" t="str">
        <f>VLOOKUP(G3944,PC!B:D,2,FALSE)</f>
        <v>CIGARRO</v>
      </c>
      <c r="G3944" t="s">
        <v>131</v>
      </c>
      <c r="H3944" s="1">
        <v>75</v>
      </c>
    </row>
    <row r="3945" spans="2:8" x14ac:dyDescent="0.2">
      <c r="B3945" t="str">
        <f>VLOOKUP(G3945,PC!B:D,3,FALSE)</f>
        <v>CPV</v>
      </c>
      <c r="C3945" s="22">
        <v>2024</v>
      </c>
      <c r="D3945" t="s">
        <v>109</v>
      </c>
      <c r="E3945" t="s">
        <v>129</v>
      </c>
      <c r="F3945" t="str">
        <f>VLOOKUP(G3945,PC!B:D,2,FALSE)</f>
        <v>CIGARRO</v>
      </c>
      <c r="G3945" t="s">
        <v>57</v>
      </c>
      <c r="H3945" s="1">
        <f>766-H3944</f>
        <v>691</v>
      </c>
    </row>
    <row r="3946" spans="2:8" x14ac:dyDescent="0.2">
      <c r="B3946" t="str">
        <f>VLOOKUP(G3946,PC!B:D,3,FALSE)</f>
        <v>CPV</v>
      </c>
      <c r="C3946" s="22">
        <v>2024</v>
      </c>
      <c r="D3946" t="s">
        <v>109</v>
      </c>
      <c r="E3946" t="s">
        <v>129</v>
      </c>
      <c r="F3946" t="str">
        <f>VLOOKUP(G3946,PC!B:D,2,FALSE)</f>
        <v>CIGARRO</v>
      </c>
      <c r="G3946" t="s">
        <v>57</v>
      </c>
      <c r="H3946" s="1">
        <v>1171</v>
      </c>
    </row>
    <row r="3947" spans="2:8" x14ac:dyDescent="0.2">
      <c r="B3947" t="str">
        <f>VLOOKUP(G3947,PC!B:D,3,FALSE)</f>
        <v>CPV</v>
      </c>
      <c r="C3947" s="22">
        <v>2024</v>
      </c>
      <c r="D3947" t="s">
        <v>109</v>
      </c>
      <c r="E3947" t="s">
        <v>129</v>
      </c>
      <c r="F3947" t="str">
        <f>VLOOKUP(G3947,PC!B:D,2,FALSE)</f>
        <v>BEBIDAS</v>
      </c>
      <c r="G3947" t="s">
        <v>48</v>
      </c>
      <c r="H3947" s="1">
        <f>204+1115+204</f>
        <v>1523</v>
      </c>
    </row>
    <row r="3948" spans="2:8" x14ac:dyDescent="0.2">
      <c r="B3948" t="str">
        <f>VLOOKUP(G3948,PC!B:D,3,FALSE)</f>
        <v>DESPESA OPERACIONAL</v>
      </c>
      <c r="C3948" s="22">
        <v>2024</v>
      </c>
      <c r="D3948" t="s">
        <v>109</v>
      </c>
      <c r="F3948" t="str">
        <f>VLOOKUP(G3948,PC!B:D,2,FALSE)</f>
        <v>DESPESA OPERACIONAL</v>
      </c>
      <c r="G3948" s="34" t="s">
        <v>73</v>
      </c>
      <c r="H3948" s="1">
        <f>802.32+339.25+317.13+290.3+523.31</f>
        <v>2272.3100000000004</v>
      </c>
    </row>
    <row r="3949" spans="2:8" x14ac:dyDescent="0.2">
      <c r="B3949" t="str">
        <f>VLOOKUP(G3949,PC!B:D,3,FALSE)</f>
        <v>RECEITA</v>
      </c>
      <c r="C3949" s="22">
        <v>2024</v>
      </c>
      <c r="D3949" t="s">
        <v>109</v>
      </c>
      <c r="F3949" t="str">
        <f>VLOOKUP(G3949,PC!B:D,2,FALSE)</f>
        <v>RECEITA</v>
      </c>
      <c r="G3949" s="34" t="s">
        <v>64</v>
      </c>
      <c r="H3949" s="1">
        <f>11.19+6.2+5.27+7.25+17.18</f>
        <v>47.09</v>
      </c>
    </row>
    <row r="3950" spans="2:8" x14ac:dyDescent="0.2">
      <c r="B3950" t="str">
        <f>VLOOKUP(G3950,PC!B:D,3,FALSE)</f>
        <v>RECEITA</v>
      </c>
      <c r="C3950" s="22">
        <v>2024</v>
      </c>
      <c r="D3950" t="s">
        <v>109</v>
      </c>
      <c r="F3950" t="str">
        <f>VLOOKUP(G3950,PC!B:D,2,FALSE)</f>
        <v>RECEITA</v>
      </c>
      <c r="G3950" t="s">
        <v>54</v>
      </c>
      <c r="H3950" s="1">
        <f>2800+1400+45+1600+470+1400+350+116+100+450+1800+96+76+20+17+34+99+60+1000+200+100+532+1500</f>
        <v>14265</v>
      </c>
    </row>
    <row r="3951" spans="2:8" x14ac:dyDescent="0.2">
      <c r="B3951" t="e">
        <f>VLOOKUP(G3951,PC!B:D,3,FALSE)</f>
        <v>#N/A</v>
      </c>
      <c r="C3951" s="22">
        <v>2024</v>
      </c>
      <c r="D3951" t="s">
        <v>109</v>
      </c>
      <c r="F3951" t="e">
        <f>VLOOKUP(G3951,PC!B:D,2,FALSE)</f>
        <v>#N/A</v>
      </c>
      <c r="G3951" t="s">
        <v>231</v>
      </c>
      <c r="H3951" s="1">
        <v>45</v>
      </c>
    </row>
    <row r="3952" spans="2:8" x14ac:dyDescent="0.2">
      <c r="B3952" t="str">
        <f>VLOOKUP(G3952,PC!B:D,3,FALSE)</f>
        <v>DESPESA OPERACIONAL</v>
      </c>
      <c r="C3952" s="22">
        <v>2024</v>
      </c>
      <c r="D3952" t="s">
        <v>109</v>
      </c>
      <c r="F3952" t="str">
        <f>VLOOKUP(G3952,PC!B:D,2,FALSE)</f>
        <v>DESPESA OPERACIONAL</v>
      </c>
      <c r="G3952" t="s">
        <v>70</v>
      </c>
      <c r="H3952" s="1">
        <v>116</v>
      </c>
    </row>
    <row r="3953" spans="2:8" x14ac:dyDescent="0.2">
      <c r="B3953" t="str">
        <f>VLOOKUP(G3953,PC!B:D,3,FALSE)</f>
        <v>DESPESA PESSOAL</v>
      </c>
      <c r="C3953" s="22">
        <v>2024</v>
      </c>
      <c r="D3953" t="s">
        <v>109</v>
      </c>
      <c r="F3953" t="str">
        <f>VLOOKUP(G3953,PC!B:D,2,FALSE)</f>
        <v>DESPESA PESSOAL</v>
      </c>
      <c r="G3953" t="s">
        <v>56</v>
      </c>
      <c r="H3953" s="1">
        <v>532</v>
      </c>
    </row>
    <row r="3954" spans="2:8" x14ac:dyDescent="0.2">
      <c r="B3954" t="str">
        <f>VLOOKUP(G3954,PC!B:D,3,FALSE)</f>
        <v>DESPESA PESSOAL</v>
      </c>
      <c r="C3954" s="22">
        <v>2024</v>
      </c>
      <c r="D3954" t="s">
        <v>109</v>
      </c>
      <c r="F3954" t="str">
        <f>VLOOKUP(G3954,PC!B:D,2,FALSE)</f>
        <v>DESPESA PESSOAL</v>
      </c>
      <c r="G3954" t="s">
        <v>68</v>
      </c>
      <c r="H3954" s="1">
        <v>20</v>
      </c>
    </row>
    <row r="3955" spans="2:8" x14ac:dyDescent="0.2">
      <c r="B3955" t="str">
        <f>VLOOKUP(G3955,PC!B:D,3,FALSE)</f>
        <v>RECEITAS NÃO OPERACIONAIS</v>
      </c>
      <c r="C3955" s="22">
        <v>2024</v>
      </c>
      <c r="D3955" t="s">
        <v>109</v>
      </c>
      <c r="F3955" t="str">
        <f>VLOOKUP(G3955,PC!B:D,2,FALSE)</f>
        <v>EMPRESTIMO</v>
      </c>
      <c r="G3955" t="s">
        <v>71</v>
      </c>
      <c r="H3955" s="1">
        <v>17</v>
      </c>
    </row>
    <row r="3956" spans="2:8" x14ac:dyDescent="0.2">
      <c r="B3956" t="str">
        <f>VLOOKUP(G3956,PC!B:D,3,FALSE)</f>
        <v>RECEITA</v>
      </c>
      <c r="C3956" s="22">
        <v>2024</v>
      </c>
      <c r="D3956" t="s">
        <v>109</v>
      </c>
      <c r="F3956" t="str">
        <f>VLOOKUP(G3956,PC!B:D,2,FALSE)</f>
        <v>RECEITA</v>
      </c>
      <c r="G3956" t="s">
        <v>54</v>
      </c>
      <c r="H3956" s="1">
        <f>82.5+1000+44+204+800+1600+46+1250+300+1300+750+3100+40+500+750+45+800+275+1500+78+50+163+300+81+28</f>
        <v>15086.5</v>
      </c>
    </row>
    <row r="3957" spans="2:8" x14ac:dyDescent="0.2">
      <c r="B3957" t="str">
        <f>VLOOKUP(G3957,PC!B:D,3,FALSE)</f>
        <v>DESPESA OPERACIONAL</v>
      </c>
      <c r="C3957" s="22">
        <v>2024</v>
      </c>
      <c r="D3957" t="s">
        <v>109</v>
      </c>
      <c r="F3957" t="str">
        <f>VLOOKUP(G3957,PC!B:D,2,FALSE)</f>
        <v>DESPESA OPERACIONAL</v>
      </c>
      <c r="G3957" t="s">
        <v>70</v>
      </c>
      <c r="H3957" s="1">
        <v>163</v>
      </c>
    </row>
    <row r="3958" spans="2:8" x14ac:dyDescent="0.2">
      <c r="B3958" t="str">
        <f>VLOOKUP(G3958,PC!B:D,3,FALSE)</f>
        <v>DESPESA OPERACIONAL</v>
      </c>
      <c r="C3958" s="22">
        <v>2024</v>
      </c>
      <c r="D3958" t="s">
        <v>109</v>
      </c>
      <c r="F3958" t="str">
        <f>VLOOKUP(G3958,PC!B:D,2,FALSE)</f>
        <v>DESPESA OPERACIONAL</v>
      </c>
      <c r="G3958" t="s">
        <v>99</v>
      </c>
      <c r="H3958" s="1">
        <v>28</v>
      </c>
    </row>
    <row r="3959" spans="2:8" x14ac:dyDescent="0.2">
      <c r="B3959" t="e">
        <f>VLOOKUP(G3959,PC!B:D,3,FALSE)</f>
        <v>#N/A</v>
      </c>
      <c r="C3959" s="22">
        <v>2024</v>
      </c>
      <c r="D3959" t="s">
        <v>109</v>
      </c>
      <c r="F3959" t="e">
        <f>VLOOKUP(G3959,PC!B:D,2,FALSE)</f>
        <v>#N/A</v>
      </c>
      <c r="G3959" t="s">
        <v>231</v>
      </c>
      <c r="H3959" s="1">
        <v>45</v>
      </c>
    </row>
    <row r="3960" spans="2:8" x14ac:dyDescent="0.2">
      <c r="B3960" t="str">
        <f>VLOOKUP(G3960,PC!B:D,3,FALSE)</f>
        <v>RECEITA</v>
      </c>
      <c r="C3960" s="22">
        <v>2024</v>
      </c>
      <c r="D3960" t="s">
        <v>109</v>
      </c>
      <c r="F3960" t="str">
        <f>VLOOKUP(G3960,PC!B:D,2,FALSE)</f>
        <v>RECEITA</v>
      </c>
      <c r="G3960" t="s">
        <v>59</v>
      </c>
      <c r="H3960" s="1">
        <v>3090</v>
      </c>
    </row>
    <row r="3961" spans="2:8" x14ac:dyDescent="0.2">
      <c r="B3961" t="str">
        <f>VLOOKUP(G3961,PC!B:D,3,FALSE)</f>
        <v>CPV</v>
      </c>
      <c r="C3961" s="22">
        <v>2024</v>
      </c>
      <c r="D3961" t="s">
        <v>109</v>
      </c>
      <c r="E3961" t="s">
        <v>129</v>
      </c>
      <c r="F3961" t="str">
        <f>VLOOKUP(G3961,PC!B:D,2,FALSE)</f>
        <v>COMIDA</v>
      </c>
      <c r="G3961" t="s">
        <v>12</v>
      </c>
      <c r="H3961" s="1">
        <v>40</v>
      </c>
    </row>
    <row r="3962" spans="2:8" x14ac:dyDescent="0.2">
      <c r="B3962" t="str">
        <f>VLOOKUP(G3962,PC!B:D,3,FALSE)</f>
        <v>DESPESA PESSOAL</v>
      </c>
      <c r="C3962" s="22">
        <v>2024</v>
      </c>
      <c r="D3962" t="s">
        <v>109</v>
      </c>
      <c r="F3962" t="str">
        <f>VLOOKUP(G3962,PC!B:D,2,FALSE)</f>
        <v>DESPESA PESSOAL</v>
      </c>
      <c r="G3962" t="s">
        <v>56</v>
      </c>
      <c r="H3962" s="1">
        <v>300</v>
      </c>
    </row>
    <row r="3963" spans="2:8" x14ac:dyDescent="0.2">
      <c r="B3963" t="str">
        <f>VLOOKUP(G3963,PC!B:D,3,FALSE)</f>
        <v>DESPESA OPERACIONAL</v>
      </c>
      <c r="C3963" s="22">
        <v>2024</v>
      </c>
      <c r="D3963" t="s">
        <v>109</v>
      </c>
      <c r="F3963" t="str">
        <f>VLOOKUP(G3963,PC!B:D,2,FALSE)</f>
        <v>DESPESA OPERACIONAL</v>
      </c>
      <c r="G3963" t="s">
        <v>79</v>
      </c>
      <c r="H3963" s="1">
        <v>46</v>
      </c>
    </row>
    <row r="3964" spans="2:8" x14ac:dyDescent="0.2">
      <c r="B3964" t="str">
        <f>VLOOKUP(G3964,PC!B:D,3,FALSE)</f>
        <v>CPV</v>
      </c>
      <c r="C3964" s="22">
        <v>2024</v>
      </c>
      <c r="D3964" t="s">
        <v>109</v>
      </c>
      <c r="E3964" t="s">
        <v>129</v>
      </c>
      <c r="F3964" t="str">
        <f>VLOOKUP(G3964,PC!B:D,2,FALSE)</f>
        <v>COMIDA</v>
      </c>
      <c r="G3964" t="s">
        <v>12</v>
      </c>
      <c r="H3964" s="1">
        <v>44</v>
      </c>
    </row>
    <row r="3965" spans="2:8" x14ac:dyDescent="0.2">
      <c r="B3965" t="str">
        <f>VLOOKUP(G3965,PC!B:D,3,FALSE)</f>
        <v>CPV</v>
      </c>
      <c r="C3965" s="22">
        <v>2024</v>
      </c>
      <c r="D3965" t="s">
        <v>109</v>
      </c>
      <c r="E3965" t="s">
        <v>129</v>
      </c>
      <c r="F3965" t="str">
        <f>VLOOKUP(G3965,PC!B:D,2,FALSE)</f>
        <v>COMIDA</v>
      </c>
      <c r="G3965" t="s">
        <v>18</v>
      </c>
      <c r="H3965" s="1">
        <v>82.5</v>
      </c>
    </row>
    <row r="3966" spans="2:8" x14ac:dyDescent="0.2">
      <c r="B3966" t="str">
        <f>VLOOKUP(G3966,PC!B:D,3,FALSE)</f>
        <v>RECEITA</v>
      </c>
      <c r="C3966" s="22">
        <v>2024</v>
      </c>
      <c r="D3966" t="s">
        <v>109</v>
      </c>
      <c r="F3966" t="str">
        <f>VLOOKUP(G3966,PC!B:D,2,FALSE)</f>
        <v>RECEITA</v>
      </c>
      <c r="G3966" t="s">
        <v>54</v>
      </c>
      <c r="H3966" s="1">
        <f>900+900+34+42+22+550+290+1000+1450+60+82.5+123+500+306+204+600+1400+1400+192+300+800+1450+2600+150</f>
        <v>15355.5</v>
      </c>
    </row>
    <row r="3967" spans="2:8" x14ac:dyDescent="0.2">
      <c r="B3967" t="str">
        <f>VLOOKUP(G3967,PC!B:D,3,FALSE)</f>
        <v>DESPESA PESSOAL</v>
      </c>
      <c r="C3967" s="22">
        <v>2024</v>
      </c>
      <c r="D3967" t="s">
        <v>109</v>
      </c>
      <c r="F3967" t="str">
        <f>VLOOKUP(G3967,PC!B:D,2,FALSE)</f>
        <v>DESPESA PESSOAL</v>
      </c>
      <c r="G3967" t="s">
        <v>56</v>
      </c>
      <c r="H3967" s="1">
        <v>300</v>
      </c>
    </row>
    <row r="3968" spans="2:8" x14ac:dyDescent="0.2">
      <c r="B3968" t="str">
        <f>VLOOKUP(G3968,PC!B:D,3,FALSE)</f>
        <v>DESPESA PESSOAL</v>
      </c>
      <c r="C3968" s="22">
        <v>2024</v>
      </c>
      <c r="D3968" t="s">
        <v>109</v>
      </c>
      <c r="F3968" t="str">
        <f>VLOOKUP(G3968,PC!B:D,2,FALSE)</f>
        <v>DESPESA PESSOAL</v>
      </c>
      <c r="G3968" t="s">
        <v>56</v>
      </c>
      <c r="H3968" s="1">
        <v>150</v>
      </c>
    </row>
    <row r="3969" spans="2:8" x14ac:dyDescent="0.2">
      <c r="B3969" t="str">
        <f>VLOOKUP(G3969,PC!B:D,3,FALSE)</f>
        <v>CPV</v>
      </c>
      <c r="C3969" s="22">
        <v>2024</v>
      </c>
      <c r="D3969" t="s">
        <v>109</v>
      </c>
      <c r="E3969" t="s">
        <v>129</v>
      </c>
      <c r="F3969" t="str">
        <f>VLOOKUP(G3969,PC!B:D,2,FALSE)</f>
        <v>COMIDA</v>
      </c>
      <c r="G3969" t="s">
        <v>12</v>
      </c>
      <c r="H3969" s="1">
        <v>306</v>
      </c>
    </row>
    <row r="3970" spans="2:8" x14ac:dyDescent="0.2">
      <c r="B3970" t="str">
        <f>VLOOKUP(G3970,PC!B:D,3,FALSE)</f>
        <v>CPV</v>
      </c>
      <c r="C3970" s="22">
        <v>2024</v>
      </c>
      <c r="D3970" t="s">
        <v>109</v>
      </c>
      <c r="E3970" t="s">
        <v>129</v>
      </c>
      <c r="F3970" t="str">
        <f>VLOOKUP(G3970,PC!B:D,2,FALSE)</f>
        <v>COMIDA</v>
      </c>
      <c r="G3970" t="s">
        <v>18</v>
      </c>
      <c r="H3970" s="1">
        <v>82.5</v>
      </c>
    </row>
    <row r="3971" spans="2:8" x14ac:dyDescent="0.2">
      <c r="B3971" t="str">
        <f>VLOOKUP(G3971,PC!B:D,3,FALSE)</f>
        <v>RECEITAS NÃO OPERACIONAIS</v>
      </c>
      <c r="C3971" s="22">
        <v>2024</v>
      </c>
      <c r="D3971" t="s">
        <v>109</v>
      </c>
      <c r="F3971" t="str">
        <f>VLOOKUP(G3971,PC!B:D,2,FALSE)</f>
        <v>EMPRESTIMO</v>
      </c>
      <c r="G3971" t="s">
        <v>71</v>
      </c>
      <c r="H3971" s="1">
        <v>22</v>
      </c>
    </row>
    <row r="3972" spans="2:8" x14ac:dyDescent="0.2">
      <c r="B3972" t="str">
        <f>VLOOKUP(G3972,PC!B:D,3,FALSE)</f>
        <v>DESPESA PESSOAL</v>
      </c>
      <c r="C3972" s="22">
        <v>2024</v>
      </c>
      <c r="D3972" t="s">
        <v>109</v>
      </c>
      <c r="F3972" t="str">
        <f>VLOOKUP(G3972,PC!B:D,2,FALSE)</f>
        <v>DESPESA PESSOAL</v>
      </c>
      <c r="G3972" t="s">
        <v>68</v>
      </c>
      <c r="H3972" s="1">
        <v>42</v>
      </c>
    </row>
    <row r="3973" spans="2:8" x14ac:dyDescent="0.2">
      <c r="B3973" t="str">
        <f>VLOOKUP(G3973,PC!B:D,3,FALSE)</f>
        <v>RECEITA</v>
      </c>
      <c r="C3973" s="22">
        <v>2024</v>
      </c>
      <c r="D3973" t="s">
        <v>109</v>
      </c>
      <c r="F3973" t="str">
        <f>VLOOKUP(G3973,PC!B:D,2,FALSE)</f>
        <v>RECEITA</v>
      </c>
      <c r="G3973" t="s">
        <v>54</v>
      </c>
      <c r="H3973" s="1">
        <f>62+600+800+45+1000+45+450+1020+1650+116+550+193+29+280+900+1050+350+32+20+70+44+70+30</f>
        <v>9406</v>
      </c>
    </row>
    <row r="3974" spans="2:8" x14ac:dyDescent="0.2">
      <c r="B3974" t="str">
        <f>VLOOKUP(G3974,PC!B:D,3,FALSE)</f>
        <v>DESPESA OPERACIONAL</v>
      </c>
      <c r="C3974" s="22">
        <v>2024</v>
      </c>
      <c r="D3974" t="s">
        <v>109</v>
      </c>
      <c r="F3974" t="str">
        <f>VLOOKUP(G3974,PC!B:D,2,FALSE)</f>
        <v>DESPESA OPERACIONAL</v>
      </c>
      <c r="G3974" t="s">
        <v>70</v>
      </c>
      <c r="H3974" s="1">
        <v>116</v>
      </c>
    </row>
    <row r="3975" spans="2:8" x14ac:dyDescent="0.2">
      <c r="B3975" t="str">
        <f>VLOOKUP(G3975,PC!B:D,3,FALSE)</f>
        <v>CPV</v>
      </c>
      <c r="C3975" s="22">
        <v>2024</v>
      </c>
      <c r="D3975" t="s">
        <v>109</v>
      </c>
      <c r="E3975" t="s">
        <v>129</v>
      </c>
      <c r="F3975" t="str">
        <f>VLOOKUP(G3975,PC!B:D,2,FALSE)</f>
        <v>COMIDA</v>
      </c>
      <c r="G3975" t="s">
        <v>12</v>
      </c>
      <c r="H3975" s="1">
        <v>193</v>
      </c>
    </row>
    <row r="3976" spans="2:8" x14ac:dyDescent="0.2">
      <c r="B3976" t="str">
        <f>VLOOKUP(G3976,PC!B:D,3,FALSE)</f>
        <v>DESPESA PESSOAL</v>
      </c>
      <c r="C3976" s="22">
        <v>2024</v>
      </c>
      <c r="D3976" t="s">
        <v>109</v>
      </c>
      <c r="F3976" t="str">
        <f>VLOOKUP(G3976,PC!B:D,2,FALSE)</f>
        <v>DESPESA PESSOAL</v>
      </c>
      <c r="G3976" t="s">
        <v>68</v>
      </c>
      <c r="H3976" s="1">
        <v>280</v>
      </c>
    </row>
    <row r="3977" spans="2:8" x14ac:dyDescent="0.2">
      <c r="B3977" t="e">
        <f>VLOOKUP(G3977,PC!B:D,3,FALSE)</f>
        <v>#N/A</v>
      </c>
      <c r="C3977" s="22">
        <v>2024</v>
      </c>
      <c r="D3977" t="s">
        <v>109</v>
      </c>
      <c r="F3977" t="e">
        <f>VLOOKUP(G3977,PC!B:D,2,FALSE)</f>
        <v>#N/A</v>
      </c>
      <c r="G3977" t="s">
        <v>231</v>
      </c>
      <c r="H3977" s="1">
        <v>45</v>
      </c>
    </row>
    <row r="3978" spans="2:8" x14ac:dyDescent="0.2">
      <c r="B3978" t="str">
        <f>VLOOKUP(G3978,PC!B:D,3,FALSE)</f>
        <v>RECEITAS NÃO OPERACIONAIS</v>
      </c>
      <c r="C3978" s="22">
        <v>2024</v>
      </c>
      <c r="D3978" t="s">
        <v>109</v>
      </c>
      <c r="F3978" t="str">
        <f>VLOOKUP(G3978,PC!B:D,2,FALSE)</f>
        <v>EMPRESTIMO</v>
      </c>
      <c r="G3978" t="s">
        <v>71</v>
      </c>
      <c r="H3978" s="1">
        <v>32</v>
      </c>
    </row>
    <row r="3979" spans="2:8" x14ac:dyDescent="0.2">
      <c r="B3979" t="str">
        <f>VLOOKUP(G3979,PC!B:D,3,FALSE)</f>
        <v>DESPESA PESSOAL</v>
      </c>
      <c r="C3979" s="22">
        <v>2024</v>
      </c>
      <c r="D3979" t="s">
        <v>109</v>
      </c>
      <c r="F3979" t="str">
        <f>VLOOKUP(G3979,PC!B:D,2,FALSE)</f>
        <v>DESPESA PESSOAL</v>
      </c>
      <c r="G3979" t="s">
        <v>68</v>
      </c>
      <c r="H3979" s="1">
        <v>20</v>
      </c>
    </row>
    <row r="3980" spans="2:8" x14ac:dyDescent="0.2">
      <c r="B3980" t="str">
        <f>VLOOKUP(G3980,PC!B:D,3,FALSE)</f>
        <v>CPV</v>
      </c>
      <c r="C3980" s="22">
        <v>2024</v>
      </c>
      <c r="D3980" t="s">
        <v>109</v>
      </c>
      <c r="E3980" t="s">
        <v>129</v>
      </c>
      <c r="F3980" t="str">
        <f>VLOOKUP(G3980,PC!B:D,2,FALSE)</f>
        <v>COMIDA</v>
      </c>
      <c r="G3980" t="s">
        <v>33</v>
      </c>
      <c r="H3980" s="1">
        <v>70</v>
      </c>
    </row>
    <row r="3981" spans="2:8" x14ac:dyDescent="0.2">
      <c r="B3981" t="str">
        <f>VLOOKUP(G3981,PC!B:D,3,FALSE)</f>
        <v>RECEITAS NÃO OPERACIONAIS</v>
      </c>
      <c r="C3981" s="22">
        <v>2024</v>
      </c>
      <c r="D3981" t="s">
        <v>109</v>
      </c>
      <c r="F3981" t="str">
        <f>VLOOKUP(G3981,PC!B:D,2,FALSE)</f>
        <v>EMPRESTIMO</v>
      </c>
      <c r="G3981" t="s">
        <v>71</v>
      </c>
      <c r="H3981" s="1">
        <v>70</v>
      </c>
    </row>
    <row r="3982" spans="2:8" x14ac:dyDescent="0.2">
      <c r="B3982" t="str">
        <f>VLOOKUP(G3982,PC!B:D,3,FALSE)</f>
        <v>INVESTIMENTO</v>
      </c>
      <c r="C3982" s="22">
        <v>2024</v>
      </c>
      <c r="D3982" t="s">
        <v>109</v>
      </c>
      <c r="F3982" t="str">
        <f>VLOOKUP(G3982,PC!B:D,2,FALSE)</f>
        <v>INVESTIMENTO</v>
      </c>
      <c r="G3982" t="s">
        <v>130</v>
      </c>
      <c r="H3982" s="1">
        <v>85.7</v>
      </c>
    </row>
    <row r="3983" spans="2:8" x14ac:dyDescent="0.2">
      <c r="B3983" t="str">
        <f>VLOOKUP(G3983,PC!B:D,3,FALSE)</f>
        <v>RECEITA</v>
      </c>
      <c r="C3983" s="22">
        <v>2024</v>
      </c>
      <c r="D3983" t="s">
        <v>109</v>
      </c>
      <c r="F3983" t="str">
        <f>VLOOKUP(G3983,PC!B:D,2,FALSE)</f>
        <v>RECEITA</v>
      </c>
      <c r="G3983" t="s">
        <v>54</v>
      </c>
      <c r="H3983" s="1">
        <f>85.7+1950+80+55+400+1200+1300+1300+300+1000+950+2450</f>
        <v>11070.7</v>
      </c>
    </row>
    <row r="3984" spans="2:8" x14ac:dyDescent="0.2">
      <c r="B3984" t="str">
        <f>VLOOKUP(G3984,PC!B:D,3,FALSE)</f>
        <v>DESPESA PESSOAL</v>
      </c>
      <c r="C3984" s="22">
        <v>2024</v>
      </c>
      <c r="D3984" t="s">
        <v>109</v>
      </c>
      <c r="F3984" t="str">
        <f>VLOOKUP(G3984,PC!B:D,2,FALSE)</f>
        <v>DESPESA PESSOAL</v>
      </c>
      <c r="G3984" t="s">
        <v>56</v>
      </c>
      <c r="H3984" s="1">
        <v>300</v>
      </c>
    </row>
    <row r="3985" spans="2:8" x14ac:dyDescent="0.2">
      <c r="B3985" t="str">
        <f>VLOOKUP(G3985,PC!B:D,3,FALSE)</f>
        <v>RECEITA</v>
      </c>
      <c r="C3985" s="22">
        <v>2024</v>
      </c>
      <c r="D3985" t="s">
        <v>109</v>
      </c>
      <c r="F3985" t="str">
        <f>VLOOKUP(G3985,PC!B:D,2,FALSE)</f>
        <v>RECEITA</v>
      </c>
      <c r="G3985" t="s">
        <v>54</v>
      </c>
      <c r="H3985" s="1">
        <f>124+1700+500+45+950+40+90+108+400+1550+39+95+87.5+350+316+44+700+90+700+30+49.5+32+76+50+130+1000+1000</f>
        <v>10296</v>
      </c>
    </row>
    <row r="3986" spans="2:8" x14ac:dyDescent="0.2">
      <c r="B3986" t="str">
        <f>VLOOKUP(G3986,PC!B:D,3,FALSE)</f>
        <v>CPV</v>
      </c>
      <c r="C3986" s="22">
        <v>2024</v>
      </c>
      <c r="D3986" t="s">
        <v>109</v>
      </c>
      <c r="E3986" t="s">
        <v>129</v>
      </c>
      <c r="F3986" t="str">
        <f>VLOOKUP(G3986,PC!B:D,2,FALSE)</f>
        <v>COMIDA</v>
      </c>
      <c r="G3986" t="s">
        <v>33</v>
      </c>
      <c r="H3986" s="1">
        <v>130</v>
      </c>
    </row>
    <row r="3987" spans="2:8" x14ac:dyDescent="0.2">
      <c r="B3987" t="str">
        <f>VLOOKUP(G3987,PC!B:D,3,FALSE)</f>
        <v>CPV</v>
      </c>
      <c r="C3987" s="22">
        <v>2024</v>
      </c>
      <c r="D3987" t="s">
        <v>109</v>
      </c>
      <c r="E3987" t="s">
        <v>129</v>
      </c>
      <c r="F3987" t="str">
        <f>VLOOKUP(G3987,PC!B:D,2,FALSE)</f>
        <v>COMIDA</v>
      </c>
      <c r="G3987" t="s">
        <v>12</v>
      </c>
      <c r="H3987" s="1">
        <v>49.5</v>
      </c>
    </row>
    <row r="3988" spans="2:8" x14ac:dyDescent="0.2">
      <c r="B3988" t="str">
        <f>VLOOKUP(G3988,PC!B:D,3,FALSE)</f>
        <v>DESPESA PESSOAL</v>
      </c>
      <c r="C3988" s="22">
        <v>2024</v>
      </c>
      <c r="D3988" t="s">
        <v>109</v>
      </c>
      <c r="F3988" t="str">
        <f>VLOOKUP(G3988,PC!B:D,2,FALSE)</f>
        <v>DESPESA PESSOAL</v>
      </c>
      <c r="G3988" t="s">
        <v>68</v>
      </c>
      <c r="H3988" s="1">
        <v>30</v>
      </c>
    </row>
    <row r="3989" spans="2:8" x14ac:dyDescent="0.2">
      <c r="B3989" t="str">
        <f>VLOOKUP(G3989,PC!B:D,3,FALSE)</f>
        <v>CPV</v>
      </c>
      <c r="C3989" s="22">
        <v>2024</v>
      </c>
      <c r="D3989" t="s">
        <v>109</v>
      </c>
      <c r="E3989" t="s">
        <v>129</v>
      </c>
      <c r="F3989" t="str">
        <f>VLOOKUP(G3989,PC!B:D,2,FALSE)</f>
        <v>OUTROS</v>
      </c>
      <c r="G3989" t="s">
        <v>37</v>
      </c>
      <c r="H3989" s="1">
        <v>90</v>
      </c>
    </row>
    <row r="3990" spans="2:8" x14ac:dyDescent="0.2">
      <c r="B3990" t="str">
        <f>VLOOKUP(G3990,PC!B:D,3,FALSE)</f>
        <v>DESPESA OPERACIONAL</v>
      </c>
      <c r="C3990" s="22">
        <v>2024</v>
      </c>
      <c r="D3990" t="s">
        <v>109</v>
      </c>
      <c r="F3990" t="str">
        <f>VLOOKUP(G3990,PC!B:D,2,FALSE)</f>
        <v>DESPESA OPERACIONAL</v>
      </c>
      <c r="G3990" t="s">
        <v>70</v>
      </c>
      <c r="H3990" s="1">
        <v>95</v>
      </c>
    </row>
    <row r="3991" spans="2:8" x14ac:dyDescent="0.2">
      <c r="B3991" t="str">
        <f>VLOOKUP(G3991,PC!B:D,3,FALSE)</f>
        <v>CPV</v>
      </c>
      <c r="C3991" s="22">
        <v>2024</v>
      </c>
      <c r="D3991" t="s">
        <v>109</v>
      </c>
      <c r="E3991" t="s">
        <v>129</v>
      </c>
      <c r="F3991" t="str">
        <f>VLOOKUP(G3991,PC!B:D,2,FALSE)</f>
        <v>SOBREMESA</v>
      </c>
      <c r="G3991" t="s">
        <v>7</v>
      </c>
      <c r="H3991" s="1">
        <v>108</v>
      </c>
    </row>
    <row r="3992" spans="2:8" x14ac:dyDescent="0.2">
      <c r="B3992" t="str">
        <f>VLOOKUP(G3992,PC!B:D,3,FALSE)</f>
        <v>CPV</v>
      </c>
      <c r="C3992" s="22">
        <v>2024</v>
      </c>
      <c r="D3992" t="s">
        <v>109</v>
      </c>
      <c r="E3992" t="s">
        <v>129</v>
      </c>
      <c r="F3992" t="str">
        <f>VLOOKUP(G3992,PC!B:D,2,FALSE)</f>
        <v>COMIDA</v>
      </c>
      <c r="G3992" t="s">
        <v>146</v>
      </c>
      <c r="H3992" s="1">
        <v>90</v>
      </c>
    </row>
    <row r="3993" spans="2:8" x14ac:dyDescent="0.2">
      <c r="B3993" t="str">
        <f>VLOOKUP(G3993,PC!B:D,3,FALSE)</f>
        <v>CPV</v>
      </c>
      <c r="C3993" s="22">
        <v>2024</v>
      </c>
      <c r="D3993" t="s">
        <v>109</v>
      </c>
      <c r="E3993" t="s">
        <v>129</v>
      </c>
      <c r="F3993" t="str">
        <f>VLOOKUP(G3993,PC!B:D,2,FALSE)</f>
        <v>COMIDA</v>
      </c>
      <c r="G3993" t="s">
        <v>146</v>
      </c>
      <c r="H3993" s="1">
        <v>80</v>
      </c>
    </row>
    <row r="3994" spans="2:8" x14ac:dyDescent="0.2">
      <c r="B3994" t="e">
        <f>VLOOKUP(G3994,PC!B:D,3,FALSE)</f>
        <v>#N/A</v>
      </c>
      <c r="C3994" s="22">
        <v>2024</v>
      </c>
      <c r="D3994" t="s">
        <v>109</v>
      </c>
      <c r="F3994" t="e">
        <f>VLOOKUP(G3994,PC!B:D,2,FALSE)</f>
        <v>#N/A</v>
      </c>
      <c r="G3994" t="s">
        <v>231</v>
      </c>
      <c r="H3994" s="1">
        <v>45</v>
      </c>
    </row>
    <row r="3995" spans="2:8" x14ac:dyDescent="0.2">
      <c r="B3995" t="str">
        <f>VLOOKUP(G3995,PC!B:D,3,FALSE)</f>
        <v>CPV</v>
      </c>
      <c r="C3995" s="22">
        <v>2024</v>
      </c>
      <c r="D3995" t="s">
        <v>109</v>
      </c>
      <c r="E3995" t="s">
        <v>129</v>
      </c>
      <c r="F3995" t="str">
        <f>VLOOKUP(G3995,PC!B:D,2,FALSE)</f>
        <v>COMIDA</v>
      </c>
      <c r="G3995" t="s">
        <v>12</v>
      </c>
      <c r="H3995" s="1">
        <v>124</v>
      </c>
    </row>
    <row r="3996" spans="2:8" x14ac:dyDescent="0.2">
      <c r="B3996" t="str">
        <f>VLOOKUP(G3996,PC!B:D,3,FALSE)</f>
        <v>RECEITA</v>
      </c>
      <c r="C3996" s="22">
        <v>2024</v>
      </c>
      <c r="D3996" t="s">
        <v>109</v>
      </c>
      <c r="F3996" t="str">
        <f>VLOOKUP(G3996,PC!B:D,2,FALSE)</f>
        <v>RECEITA</v>
      </c>
      <c r="G3996" t="s">
        <v>54</v>
      </c>
      <c r="H3996" s="1">
        <f>55+550+204+1000+1100+100+1400+42+1100+1150+2650+45+1300+1500+850+300+1900</f>
        <v>15246</v>
      </c>
    </row>
    <row r="3997" spans="2:8" x14ac:dyDescent="0.2">
      <c r="B3997" t="e">
        <f>VLOOKUP(G3997,PC!B:D,3,FALSE)</f>
        <v>#N/A</v>
      </c>
      <c r="C3997" s="22">
        <v>2024</v>
      </c>
      <c r="D3997" t="s">
        <v>109</v>
      </c>
      <c r="F3997" t="e">
        <f>VLOOKUP(G3997,PC!B:D,2,FALSE)</f>
        <v>#N/A</v>
      </c>
      <c r="G3997" t="s">
        <v>231</v>
      </c>
      <c r="H3997" s="1">
        <v>45</v>
      </c>
    </row>
    <row r="3998" spans="2:8" x14ac:dyDescent="0.2">
      <c r="B3998" t="str">
        <f>VLOOKUP(G3998,PC!B:D,3,FALSE)</f>
        <v>CPV</v>
      </c>
      <c r="C3998" s="22">
        <v>2024</v>
      </c>
      <c r="D3998" t="s">
        <v>109</v>
      </c>
      <c r="F3998" t="str">
        <f>VLOOKUP(G3998,PC!B:D,2,FALSE)</f>
        <v>COMIDA</v>
      </c>
      <c r="G3998" t="s">
        <v>12</v>
      </c>
      <c r="H3998" s="1">
        <v>100</v>
      </c>
    </row>
    <row r="3999" spans="2:8" x14ac:dyDescent="0.2">
      <c r="B3999" t="str">
        <f>VLOOKUP(G3999,PC!B:D,3,FALSE)</f>
        <v>CPV</v>
      </c>
      <c r="C3999" s="22">
        <v>2024</v>
      </c>
      <c r="D3999" t="s">
        <v>109</v>
      </c>
      <c r="F3999" t="str">
        <f>VLOOKUP(G3999,PC!B:D,2,FALSE)</f>
        <v>COMIDA</v>
      </c>
      <c r="G3999" t="s">
        <v>18</v>
      </c>
      <c r="H3999" s="1">
        <v>55</v>
      </c>
    </row>
    <row r="4000" spans="2:8" x14ac:dyDescent="0.2">
      <c r="B4000" t="str">
        <f>VLOOKUP(G4000,PC!B:D,3,FALSE)</f>
        <v>DESPESA PESSOAL</v>
      </c>
      <c r="C4000" s="22">
        <v>2024</v>
      </c>
      <c r="D4000" t="s">
        <v>109</v>
      </c>
      <c r="F4000" t="str">
        <f>VLOOKUP(G4000,PC!B:D,2,FALSE)</f>
        <v>DESPESA PESSOAL</v>
      </c>
      <c r="G4000" t="s">
        <v>56</v>
      </c>
      <c r="H4000" s="1">
        <v>2000</v>
      </c>
    </row>
    <row r="4001" spans="2:8" x14ac:dyDescent="0.2">
      <c r="B4001" t="str">
        <f>VLOOKUP(G4001,PC!B:D,3,FALSE)</f>
        <v>DESPESA PESSOAL</v>
      </c>
      <c r="C4001" s="22">
        <v>2024</v>
      </c>
      <c r="D4001" t="s">
        <v>109</v>
      </c>
      <c r="F4001" t="str">
        <f>VLOOKUP(G4001,PC!B:D,2,FALSE)</f>
        <v>DESPESA PESSOAL</v>
      </c>
      <c r="G4001" t="s">
        <v>124</v>
      </c>
      <c r="H4001" s="1">
        <v>2400</v>
      </c>
    </row>
    <row r="4002" spans="2:8" x14ac:dyDescent="0.2">
      <c r="B4002" t="str">
        <f>VLOOKUP(G4002,PC!B:D,3,FALSE)</f>
        <v>RECEITA</v>
      </c>
      <c r="C4002" s="22">
        <v>2024</v>
      </c>
      <c r="D4002" t="s">
        <v>109</v>
      </c>
      <c r="F4002" t="str">
        <f>VLOOKUP(G4002,PC!B:D,2,FALSE)</f>
        <v>RECEITA</v>
      </c>
      <c r="G4002" t="s">
        <v>137</v>
      </c>
      <c r="H4002" s="1">
        <f>13550.54-16.5</f>
        <v>13534.04</v>
      </c>
    </row>
    <row r="4003" spans="2:8" x14ac:dyDescent="0.2">
      <c r="B4003" t="str">
        <f>VLOOKUP(G4003,PC!B:D,3,FALSE)</f>
        <v>DESCONTO DE FATURAMENTO</v>
      </c>
      <c r="C4003" s="22">
        <v>2024</v>
      </c>
      <c r="D4003" t="s">
        <v>109</v>
      </c>
      <c r="F4003" t="str">
        <f>VLOOKUP(G4003,PC!B:D,2,FALSE)</f>
        <v>OUTROS DESCONTOS</v>
      </c>
      <c r="G4003" t="s">
        <v>63</v>
      </c>
      <c r="H4003" s="1">
        <f>13534.04-13269.4</f>
        <v>264.64000000000124</v>
      </c>
    </row>
    <row r="4004" spans="2:8" x14ac:dyDescent="0.2">
      <c r="B4004" t="str">
        <f>VLOOKUP(G4004,PC!B:D,3,FALSE)</f>
        <v>RECEITA</v>
      </c>
      <c r="C4004" s="22">
        <v>2024</v>
      </c>
      <c r="D4004" t="s">
        <v>109</v>
      </c>
      <c r="F4004" t="str">
        <f>VLOOKUP(G4004,PC!B:D,2,FALSE)</f>
        <v>RECEITA</v>
      </c>
      <c r="G4004" t="s">
        <v>136</v>
      </c>
      <c r="H4004" s="1">
        <f>31421.79-107.75</f>
        <v>31314.04</v>
      </c>
    </row>
    <row r="4005" spans="2:8" x14ac:dyDescent="0.2">
      <c r="B4005" t="str">
        <f>VLOOKUP(G4005,PC!B:D,3,FALSE)</f>
        <v>DESCONTO DE FATURAMENTO</v>
      </c>
      <c r="C4005" s="22">
        <v>2024</v>
      </c>
      <c r="D4005" t="s">
        <v>109</v>
      </c>
      <c r="F4005" t="str">
        <f>VLOOKUP(G4005,PC!B:D,2,FALSE)</f>
        <v>OUTROS DESCONTOS</v>
      </c>
      <c r="G4005" t="s">
        <v>63</v>
      </c>
      <c r="H4005" s="1">
        <f>H4004-30963</f>
        <v>351.04000000000087</v>
      </c>
    </row>
    <row r="4006" spans="2:8" x14ac:dyDescent="0.2">
      <c r="B4006" t="e">
        <f>VLOOKUP(G4006,PC!B:D,3,FALSE)</f>
        <v>#N/A</v>
      </c>
      <c r="C4006" s="22">
        <v>2024</v>
      </c>
      <c r="D4006" t="s">
        <v>109</v>
      </c>
      <c r="F4006" t="e">
        <f>VLOOKUP(G4006,PC!B:D,2,FALSE)</f>
        <v>#N/A</v>
      </c>
      <c r="G4006" t="s">
        <v>232</v>
      </c>
      <c r="H4006" s="1">
        <v>4549.7</v>
      </c>
    </row>
    <row r="4007" spans="2:8" x14ac:dyDescent="0.2">
      <c r="B4007" t="str">
        <f>VLOOKUP(G4007,PC!B:D,3,FALSE)</f>
        <v>DESCONTO DE FATURAMENTO</v>
      </c>
      <c r="C4007" s="22">
        <v>2024</v>
      </c>
      <c r="D4007" t="s">
        <v>109</v>
      </c>
      <c r="F4007" t="str">
        <f>VLOOKUP(G4007,PC!B:D,2,FALSE)</f>
        <v>OUTROS DESCONTOS</v>
      </c>
      <c r="G4007" t="s">
        <v>63</v>
      </c>
      <c r="H4007" s="1">
        <f>H4006-4526.63</f>
        <v>23.069999999999709</v>
      </c>
    </row>
    <row r="4008" spans="2:8" x14ac:dyDescent="0.2">
      <c r="B4008" t="str">
        <f>VLOOKUP(G4008,PC!B:D,3,FALSE)</f>
        <v>RECEITA</v>
      </c>
      <c r="C4008" s="22">
        <v>2024</v>
      </c>
      <c r="D4008" t="s">
        <v>109</v>
      </c>
      <c r="F4008" t="str">
        <f>VLOOKUP(G4008,PC!B:D,2,FALSE)</f>
        <v>RECEITA</v>
      </c>
      <c r="G4008" t="s">
        <v>137</v>
      </c>
      <c r="H4008" s="1">
        <v>760.4</v>
      </c>
    </row>
    <row r="4009" spans="2:8" x14ac:dyDescent="0.2">
      <c r="B4009" t="str">
        <f>VLOOKUP(G4009,PC!B:D,3,FALSE)</f>
        <v>CPV</v>
      </c>
      <c r="C4009" s="22">
        <v>2024</v>
      </c>
      <c r="D4009" t="s">
        <v>109</v>
      </c>
      <c r="E4009" t="s">
        <v>226</v>
      </c>
      <c r="F4009" t="str">
        <f>VLOOKUP(G4009,PC!B:D,2,FALSE)</f>
        <v>BEBIDAS</v>
      </c>
      <c r="G4009" t="s">
        <v>25</v>
      </c>
      <c r="H4009" s="1">
        <f>525+327.45+388.27+59+135.6+40.8+814.8+329.94</f>
        <v>2620.86</v>
      </c>
    </row>
    <row r="4010" spans="2:8" x14ac:dyDescent="0.2">
      <c r="B4010" t="str">
        <f>VLOOKUP(G4010,PC!B:D,3,FALSE)</f>
        <v>CPV</v>
      </c>
      <c r="C4010" s="22">
        <v>2024</v>
      </c>
      <c r="D4010" t="s">
        <v>109</v>
      </c>
      <c r="E4010" t="s">
        <v>49</v>
      </c>
      <c r="F4010" t="str">
        <f>VLOOKUP(G4010,PC!B:D,2,FALSE)</f>
        <v>CIGARRO</v>
      </c>
      <c r="G4010" t="s">
        <v>52</v>
      </c>
      <c r="H4010" s="1">
        <f>1145.36</f>
        <v>1145.3599999999999</v>
      </c>
    </row>
    <row r="4011" spans="2:8" x14ac:dyDescent="0.2">
      <c r="B4011" t="str">
        <f>VLOOKUP(G4011,PC!B:D,3,FALSE)</f>
        <v>CPV</v>
      </c>
      <c r="C4011" s="22">
        <v>2024</v>
      </c>
      <c r="D4011" t="s">
        <v>109</v>
      </c>
      <c r="E4011" t="s">
        <v>28</v>
      </c>
      <c r="F4011" t="str">
        <f>VLOOKUP(G4011,PC!B:D,2,FALSE)</f>
        <v>BEBIDAS</v>
      </c>
      <c r="G4011" t="s">
        <v>26</v>
      </c>
      <c r="H4011" s="1">
        <f>1756.53+2509.77+3969.55</f>
        <v>8235.85</v>
      </c>
    </row>
    <row r="4012" spans="2:8" x14ac:dyDescent="0.2">
      <c r="B4012" t="str">
        <f>VLOOKUP(G4012,PC!B:D,3,FALSE)</f>
        <v>CPV</v>
      </c>
      <c r="C4012" s="22">
        <v>2024</v>
      </c>
      <c r="D4012" t="s">
        <v>109</v>
      </c>
      <c r="E4012" t="s">
        <v>27</v>
      </c>
      <c r="F4012" t="str">
        <f>VLOOKUP(G4012,PC!B:D,2,FALSE)</f>
        <v>COMIDA</v>
      </c>
      <c r="G4012" t="s">
        <v>12</v>
      </c>
      <c r="H4012" s="1">
        <v>217.3</v>
      </c>
    </row>
    <row r="4013" spans="2:8" x14ac:dyDescent="0.2">
      <c r="B4013" t="str">
        <f>VLOOKUP(G4013,PC!B:D,3,FALSE)</f>
        <v>DESPESA PESSOAL</v>
      </c>
      <c r="C4013" s="22">
        <v>2024</v>
      </c>
      <c r="D4013" t="s">
        <v>109</v>
      </c>
      <c r="F4013" t="str">
        <f>VLOOKUP(G4013,PC!B:D,2,FALSE)</f>
        <v>DESPESA PESSOAL</v>
      </c>
      <c r="G4013" s="34" t="s">
        <v>68</v>
      </c>
      <c r="H4013" s="1">
        <v>791</v>
      </c>
    </row>
    <row r="4014" spans="2:8" x14ac:dyDescent="0.2">
      <c r="B4014" t="str">
        <f>VLOOKUP(G4014,PC!B:D,3,FALSE)</f>
        <v>CPV</v>
      </c>
      <c r="C4014" s="22">
        <v>2024</v>
      </c>
      <c r="D4014" t="s">
        <v>109</v>
      </c>
      <c r="E4014" t="s">
        <v>129</v>
      </c>
      <c r="F4014" t="str">
        <f>VLOOKUP(G4014,PC!B:D,2,FALSE)</f>
        <v>BEBIDAS</v>
      </c>
      <c r="G4014" s="34" t="s">
        <v>48</v>
      </c>
      <c r="H4014" s="1">
        <v>100</v>
      </c>
    </row>
    <row r="4015" spans="2:8" x14ac:dyDescent="0.2">
      <c r="B4015" t="str">
        <f>VLOOKUP(G4015,PC!B:D,3,FALSE)</f>
        <v>CPV</v>
      </c>
      <c r="C4015" s="22">
        <v>2024</v>
      </c>
      <c r="D4015" t="s">
        <v>109</v>
      </c>
      <c r="E4015" t="s">
        <v>129</v>
      </c>
      <c r="F4015" t="str">
        <f>VLOOKUP(G4015,PC!B:D,2,FALSE)</f>
        <v>BEBIDAS</v>
      </c>
      <c r="G4015" t="s">
        <v>26</v>
      </c>
      <c r="H4015" s="1">
        <v>315.89999999999998</v>
      </c>
    </row>
    <row r="4016" spans="2:8" x14ac:dyDescent="0.2">
      <c r="B4016" t="str">
        <f>VLOOKUP(G4016,PC!B:D,3,FALSE)</f>
        <v>CPV</v>
      </c>
      <c r="C4016" s="22">
        <v>2024</v>
      </c>
      <c r="D4016" t="s">
        <v>109</v>
      </c>
      <c r="E4016" t="s">
        <v>211</v>
      </c>
      <c r="F4016" t="str">
        <f>VLOOKUP(G4016,PC!B:D,2,FALSE)</f>
        <v>BEBIDAS</v>
      </c>
      <c r="G4016" t="s">
        <v>26</v>
      </c>
      <c r="H4016" s="1">
        <v>572.1</v>
      </c>
    </row>
    <row r="4017" spans="2:8" x14ac:dyDescent="0.2">
      <c r="B4017" t="str">
        <f>VLOOKUP(G4017,PC!B:D,3,FALSE)</f>
        <v>CPV</v>
      </c>
      <c r="C4017" s="22">
        <v>2024</v>
      </c>
      <c r="D4017" t="s">
        <v>109</v>
      </c>
      <c r="E4017" t="s">
        <v>16</v>
      </c>
      <c r="F4017" t="str">
        <f>VLOOKUP(G4017,PC!B:D,2,FALSE)</f>
        <v>COMIDA</v>
      </c>
      <c r="G4017" t="s">
        <v>12</v>
      </c>
      <c r="H4017" s="1">
        <v>382.2</v>
      </c>
    </row>
    <row r="4018" spans="2:8" x14ac:dyDescent="0.2">
      <c r="B4018" t="str">
        <f>VLOOKUP(G4018,PC!B:D,3,FALSE)</f>
        <v>CPV</v>
      </c>
      <c r="C4018" s="22">
        <v>2024</v>
      </c>
      <c r="D4018" t="s">
        <v>109</v>
      </c>
      <c r="E4018" t="s">
        <v>212</v>
      </c>
      <c r="F4018" t="str">
        <f>VLOOKUP(G4018,PC!B:D,2,FALSE)</f>
        <v>COMIDA</v>
      </c>
      <c r="G4018" t="s">
        <v>33</v>
      </c>
      <c r="H4018" s="1">
        <v>253.98</v>
      </c>
    </row>
    <row r="4019" spans="2:8" x14ac:dyDescent="0.2">
      <c r="B4019" t="str">
        <f>VLOOKUP(G4019,PC!B:D,3,FALSE)</f>
        <v>CPV</v>
      </c>
      <c r="C4019" s="22">
        <v>2024</v>
      </c>
      <c r="D4019" t="s">
        <v>109</v>
      </c>
      <c r="E4019" t="s">
        <v>6</v>
      </c>
      <c r="F4019" t="str">
        <f>VLOOKUP(G4019,PC!B:D,2,FALSE)</f>
        <v>COMIDA</v>
      </c>
      <c r="G4019" t="s">
        <v>18</v>
      </c>
      <c r="H4019" s="1">
        <v>193.04</v>
      </c>
    </row>
    <row r="4020" spans="2:8" x14ac:dyDescent="0.2">
      <c r="B4020" t="str">
        <f>VLOOKUP(G4020,PC!B:D,3,FALSE)</f>
        <v>CPV</v>
      </c>
      <c r="C4020" s="22">
        <v>2024</v>
      </c>
      <c r="D4020" t="s">
        <v>109</v>
      </c>
      <c r="E4020" t="s">
        <v>24</v>
      </c>
      <c r="F4020" t="str">
        <f>VLOOKUP(G4020,PC!B:D,2,FALSE)</f>
        <v>COMIDA</v>
      </c>
      <c r="G4020" t="s">
        <v>33</v>
      </c>
      <c r="H4020" s="1">
        <v>527.29999999999995</v>
      </c>
    </row>
    <row r="4021" spans="2:8" x14ac:dyDescent="0.2">
      <c r="B4021" t="str">
        <f>VLOOKUP(G4021,PC!B:D,3,FALSE)</f>
        <v>SERV.TERCEIROS</v>
      </c>
      <c r="C4021" s="22">
        <v>2024</v>
      </c>
      <c r="D4021" t="s">
        <v>109</v>
      </c>
      <c r="F4021" t="str">
        <f>VLOOKUP(G4021,PC!B:D,2,FALSE)</f>
        <v>SERV.TERCEIROS</v>
      </c>
      <c r="G4021" t="s">
        <v>123</v>
      </c>
      <c r="H4021" s="1">
        <v>190</v>
      </c>
    </row>
    <row r="4022" spans="2:8" x14ac:dyDescent="0.2">
      <c r="B4022" t="str">
        <f>VLOOKUP(G4022,PC!B:D,3,FALSE)</f>
        <v>DESPESA FINANCEIRA</v>
      </c>
      <c r="C4022" s="22">
        <v>2024</v>
      </c>
      <c r="D4022" t="s">
        <v>109</v>
      </c>
      <c r="F4022" t="str">
        <f>VLOOKUP(G4022,PC!B:D,2,FALSE)</f>
        <v>DESPESA FINANCEIRA</v>
      </c>
      <c r="G4022" t="s">
        <v>125</v>
      </c>
      <c r="H4022" s="1">
        <v>100</v>
      </c>
    </row>
    <row r="4023" spans="2:8" x14ac:dyDescent="0.2">
      <c r="B4023" t="str">
        <f>VLOOKUP(G4023,PC!B:D,3,FALSE)</f>
        <v>CPV</v>
      </c>
      <c r="C4023" s="22">
        <v>2024</v>
      </c>
      <c r="D4023" t="s">
        <v>109</v>
      </c>
      <c r="E4023" t="s">
        <v>30</v>
      </c>
      <c r="F4023" t="str">
        <f>VLOOKUP(G4023,PC!B:D,2,FALSE)</f>
        <v>SOBREMESA</v>
      </c>
      <c r="G4023" t="s">
        <v>23</v>
      </c>
      <c r="H4023" s="1">
        <v>84.64</v>
      </c>
    </row>
    <row r="4024" spans="2:8" x14ac:dyDescent="0.2">
      <c r="B4024" t="str">
        <f>VLOOKUP(G4024,PC!B:D,3,FALSE)</f>
        <v>CPV</v>
      </c>
      <c r="C4024" s="22">
        <v>2024</v>
      </c>
      <c r="D4024" t="s">
        <v>109</v>
      </c>
      <c r="F4024" t="str">
        <f>VLOOKUP(G4024,PC!B:D,2,FALSE)</f>
        <v>COMIDA</v>
      </c>
      <c r="G4024" t="s">
        <v>33</v>
      </c>
      <c r="H4024" s="1">
        <v>40.9</v>
      </c>
    </row>
    <row r="4025" spans="2:8" x14ac:dyDescent="0.2">
      <c r="B4025" t="str">
        <f>VLOOKUP(G4025,PC!B:D,3,FALSE)</f>
        <v>RECEITA</v>
      </c>
      <c r="C4025" s="22">
        <v>2024</v>
      </c>
      <c r="D4025" t="s">
        <v>109</v>
      </c>
      <c r="F4025" t="str">
        <f>VLOOKUP(G4025,PC!B:D,2,FALSE)</f>
        <v>RECEITA</v>
      </c>
      <c r="G4025" t="s">
        <v>64</v>
      </c>
      <c r="H4025" s="1">
        <f>10.67+6.36+16.8+9.2</f>
        <v>43.03</v>
      </c>
    </row>
    <row r="4026" spans="2:8" x14ac:dyDescent="0.2">
      <c r="B4026" t="str">
        <f>VLOOKUP(G4026,PC!B:D,3,FALSE)</f>
        <v>DESPESA OPERACIONAL</v>
      </c>
      <c r="C4026" s="22">
        <v>2024</v>
      </c>
      <c r="D4026" t="s">
        <v>109</v>
      </c>
      <c r="F4026" t="str">
        <f>VLOOKUP(G4026,PC!B:D,2,FALSE)</f>
        <v>DESPESA OPERACIONAL</v>
      </c>
      <c r="G4026" t="s">
        <v>73</v>
      </c>
      <c r="H4026" s="1">
        <f>498.83+298.14+784.7+430.3</f>
        <v>2011.97</v>
      </c>
    </row>
    <row r="4027" spans="2:8" x14ac:dyDescent="0.2">
      <c r="B4027" t="str">
        <f>VLOOKUP(G4027,PC!B:D,3,FALSE)</f>
        <v>CPV</v>
      </c>
      <c r="C4027" s="22">
        <v>2024</v>
      </c>
      <c r="D4027" t="s">
        <v>109</v>
      </c>
      <c r="F4027" t="str">
        <f>VLOOKUP(G4027,PC!B:D,2,FALSE)</f>
        <v>COMIDA</v>
      </c>
      <c r="G4027" t="s">
        <v>12</v>
      </c>
      <c r="H4027" s="1">
        <v>96.25</v>
      </c>
    </row>
    <row r="4028" spans="2:8" x14ac:dyDescent="0.2">
      <c r="B4028" t="str">
        <f>VLOOKUP(G4028,PC!B:D,3,FALSE)</f>
        <v>CPV</v>
      </c>
      <c r="C4028" s="22">
        <v>2024</v>
      </c>
      <c r="D4028" t="s">
        <v>109</v>
      </c>
      <c r="F4028" t="str">
        <f>VLOOKUP(G4028,PC!B:D,2,FALSE)</f>
        <v>COMIDA</v>
      </c>
      <c r="G4028" t="s">
        <v>155</v>
      </c>
      <c r="H4028" s="1">
        <v>470</v>
      </c>
    </row>
    <row r="4029" spans="2:8" x14ac:dyDescent="0.2">
      <c r="B4029" t="str">
        <f>VLOOKUP(G4029,PC!B:D,3,FALSE)</f>
        <v>CPV</v>
      </c>
      <c r="C4029" s="22">
        <v>2024</v>
      </c>
      <c r="D4029" t="s">
        <v>109</v>
      </c>
      <c r="F4029" t="str">
        <f>VLOOKUP(G4029,PC!B:D,2,FALSE)</f>
        <v>COMIDA</v>
      </c>
      <c r="G4029" t="s">
        <v>12</v>
      </c>
      <c r="H4029" s="1">
        <v>96.25</v>
      </c>
    </row>
    <row r="4030" spans="2:8" x14ac:dyDescent="0.2">
      <c r="B4030" t="str">
        <f>VLOOKUP(G4030,PC!B:D,3,FALSE)</f>
        <v>CPV</v>
      </c>
      <c r="C4030" s="22">
        <v>2024</v>
      </c>
      <c r="D4030" t="s">
        <v>109</v>
      </c>
      <c r="E4030" t="s">
        <v>5</v>
      </c>
      <c r="F4030" t="str">
        <f>VLOOKUP(G4030,PC!B:D,2,FALSE)</f>
        <v>COMIDA</v>
      </c>
      <c r="G4030" t="s">
        <v>18</v>
      </c>
      <c r="H4030" s="1">
        <v>261.55</v>
      </c>
    </row>
    <row r="4031" spans="2:8" x14ac:dyDescent="0.2">
      <c r="B4031" t="str">
        <f>VLOOKUP(G4031,PC!B:D,3,FALSE)</f>
        <v>CPV</v>
      </c>
      <c r="C4031" s="22">
        <v>2024</v>
      </c>
      <c r="D4031" t="s">
        <v>109</v>
      </c>
      <c r="E4031" t="s">
        <v>129</v>
      </c>
      <c r="F4031" t="str">
        <f>VLOOKUP(G4031,PC!B:D,2,FALSE)</f>
        <v>OUTROS</v>
      </c>
      <c r="G4031" t="s">
        <v>37</v>
      </c>
      <c r="H4031" s="1">
        <f>291.66+360.18</f>
        <v>651.84</v>
      </c>
    </row>
    <row r="4032" spans="2:8" x14ac:dyDescent="0.2">
      <c r="B4032" t="str">
        <f>VLOOKUP(G4032,PC!B:D,3,FALSE)</f>
        <v>CPV</v>
      </c>
      <c r="C4032" s="22">
        <v>2024</v>
      </c>
      <c r="D4032" t="s">
        <v>109</v>
      </c>
      <c r="E4032" t="s">
        <v>129</v>
      </c>
      <c r="F4032" t="str">
        <f>VLOOKUP(G4032,PC!B:D,2,FALSE)</f>
        <v>COMIDA</v>
      </c>
      <c r="G4032" t="s">
        <v>33</v>
      </c>
      <c r="H4032" s="1">
        <v>60</v>
      </c>
    </row>
    <row r="4033" spans="2:8" x14ac:dyDescent="0.2">
      <c r="B4033" t="str">
        <f>VLOOKUP(G4033,PC!B:D,3,FALSE)</f>
        <v>CPV</v>
      </c>
      <c r="C4033" s="22">
        <v>2024</v>
      </c>
      <c r="D4033" t="s">
        <v>109</v>
      </c>
      <c r="E4033" t="s">
        <v>129</v>
      </c>
      <c r="F4033" t="str">
        <f>VLOOKUP(G4033,PC!B:D,2,FALSE)</f>
        <v>BEBIDAS</v>
      </c>
      <c r="G4033" t="s">
        <v>51</v>
      </c>
      <c r="H4033" s="1">
        <v>99</v>
      </c>
    </row>
    <row r="4034" spans="2:8" x14ac:dyDescent="0.2">
      <c r="B4034" t="str">
        <f>VLOOKUP(G4034,PC!B:D,3,FALSE)</f>
        <v>CPV</v>
      </c>
      <c r="C4034" s="22">
        <v>2024</v>
      </c>
      <c r="D4034" t="s">
        <v>109</v>
      </c>
      <c r="E4034" t="s">
        <v>129</v>
      </c>
      <c r="F4034" t="str">
        <f>VLOOKUP(G4034,PC!B:D,2,FALSE)</f>
        <v>COMIDA</v>
      </c>
      <c r="G4034" t="s">
        <v>12</v>
      </c>
      <c r="H4034" s="1">
        <v>217</v>
      </c>
    </row>
    <row r="4035" spans="2:8" x14ac:dyDescent="0.2">
      <c r="B4035" t="str">
        <f>VLOOKUP(G4035,PC!B:D,3,FALSE)</f>
        <v>CPV</v>
      </c>
      <c r="C4035" s="22">
        <v>2024</v>
      </c>
      <c r="D4035" t="s">
        <v>109</v>
      </c>
      <c r="E4035" t="s">
        <v>129</v>
      </c>
      <c r="F4035" t="str">
        <f>VLOOKUP(G4035,PC!B:D,2,FALSE)</f>
        <v>COMIDA</v>
      </c>
      <c r="G4035" t="s">
        <v>155</v>
      </c>
      <c r="H4035" s="1">
        <v>275</v>
      </c>
    </row>
    <row r="4036" spans="2:8" x14ac:dyDescent="0.2">
      <c r="B4036" t="str">
        <f>VLOOKUP(G4036,PC!B:D,3,FALSE)</f>
        <v>CPV</v>
      </c>
      <c r="C4036" s="22">
        <v>2024</v>
      </c>
      <c r="D4036" t="s">
        <v>109</v>
      </c>
      <c r="E4036" t="s">
        <v>129</v>
      </c>
      <c r="F4036" t="str">
        <f>VLOOKUP(G4036,PC!B:D,2,FALSE)</f>
        <v>COMIDA</v>
      </c>
      <c r="G4036" t="s">
        <v>12</v>
      </c>
      <c r="H4036" s="1">
        <v>400</v>
      </c>
    </row>
    <row r="4037" spans="2:8" x14ac:dyDescent="0.2">
      <c r="B4037" t="str">
        <f>VLOOKUP(G4037,PC!B:D,3,FALSE)</f>
        <v>CPV</v>
      </c>
      <c r="C4037" s="22">
        <v>2024</v>
      </c>
      <c r="D4037" t="s">
        <v>109</v>
      </c>
      <c r="E4037" t="s">
        <v>129</v>
      </c>
      <c r="F4037" t="str">
        <f>VLOOKUP(G4037,PC!B:D,2,FALSE)</f>
        <v>SOBREMESA</v>
      </c>
      <c r="G4037" t="s">
        <v>7</v>
      </c>
      <c r="H4037" s="1">
        <v>282</v>
      </c>
    </row>
    <row r="4038" spans="2:8" x14ac:dyDescent="0.2">
      <c r="B4038" t="str">
        <f>VLOOKUP(G4038,PC!B:D,3,FALSE)</f>
        <v>CPV</v>
      </c>
      <c r="C4038" s="22">
        <v>2024</v>
      </c>
      <c r="D4038" t="s">
        <v>109</v>
      </c>
      <c r="E4038" t="s">
        <v>129</v>
      </c>
      <c r="F4038" t="str">
        <f>VLOOKUP(G4038,PC!B:D,2,FALSE)</f>
        <v>BEBIDAS</v>
      </c>
      <c r="G4038" t="s">
        <v>48</v>
      </c>
      <c r="H4038" s="1">
        <v>204</v>
      </c>
    </row>
    <row r="4039" spans="2:8" x14ac:dyDescent="0.2">
      <c r="B4039" t="str">
        <f>VLOOKUP(G4039,PC!B:D,3,FALSE)</f>
        <v>CPV</v>
      </c>
      <c r="C4039" s="22">
        <v>2024</v>
      </c>
      <c r="D4039" t="s">
        <v>110</v>
      </c>
      <c r="E4039" t="s">
        <v>233</v>
      </c>
      <c r="F4039" t="str">
        <f>VLOOKUP(G4039,PC!B:D,2,FALSE)</f>
        <v>BEBIDAS</v>
      </c>
      <c r="G4039" t="s">
        <v>26</v>
      </c>
      <c r="H4039" s="1">
        <v>264.89</v>
      </c>
    </row>
    <row r="4040" spans="2:8" x14ac:dyDescent="0.2">
      <c r="B4040" t="str">
        <f>VLOOKUP(G4040,PC!B:D,3,FALSE)</f>
        <v>CPV</v>
      </c>
      <c r="C4040" s="22">
        <v>2024</v>
      </c>
      <c r="D4040" t="s">
        <v>110</v>
      </c>
      <c r="E4040" t="s">
        <v>5</v>
      </c>
      <c r="F4040" t="str">
        <f>VLOOKUP(G4040,PC!B:D,2,FALSE)</f>
        <v>COMIDA</v>
      </c>
      <c r="G4040" s="4" t="s">
        <v>18</v>
      </c>
      <c r="H4040" s="1">
        <v>203.5</v>
      </c>
    </row>
    <row r="4041" spans="2:8" x14ac:dyDescent="0.2">
      <c r="B4041" t="str">
        <f>VLOOKUP(G4041,PC!B:D,3,FALSE)</f>
        <v>CPV</v>
      </c>
      <c r="C4041" s="22">
        <v>2024</v>
      </c>
      <c r="D4041" t="s">
        <v>110</v>
      </c>
      <c r="E4041" t="s">
        <v>16</v>
      </c>
      <c r="F4041" t="str">
        <f>VLOOKUP(G4041,PC!B:D,2,FALSE)</f>
        <v>COMIDA</v>
      </c>
      <c r="G4041" s="4" t="s">
        <v>12</v>
      </c>
      <c r="H4041" s="1">
        <v>360.6</v>
      </c>
    </row>
    <row r="4042" spans="2:8" x14ac:dyDescent="0.2">
      <c r="B4042" t="str">
        <f>VLOOKUP(G4042,PC!B:D,3,FALSE)</f>
        <v>CPV</v>
      </c>
      <c r="C4042" s="22">
        <v>2024</v>
      </c>
      <c r="D4042" t="s">
        <v>110</v>
      </c>
      <c r="E4042" t="s">
        <v>226</v>
      </c>
      <c r="F4042" t="str">
        <f>VLOOKUP(G4042,PC!B:D,2,FALSE)</f>
        <v>BEBIDAS</v>
      </c>
      <c r="G4042" s="4" t="s">
        <v>25</v>
      </c>
      <c r="H4042" s="1">
        <f>123+134.19+525.38+749.65</f>
        <v>1532.2199999999998</v>
      </c>
    </row>
    <row r="4043" spans="2:8" x14ac:dyDescent="0.2">
      <c r="B4043" t="str">
        <f>VLOOKUP(G4043,PC!B:D,3,FALSE)</f>
        <v>CPV</v>
      </c>
      <c r="C4043" s="22">
        <v>2024</v>
      </c>
      <c r="D4043" t="s">
        <v>110</v>
      </c>
      <c r="E4043" t="s">
        <v>28</v>
      </c>
      <c r="F4043" t="str">
        <f>VLOOKUP(G4043,PC!B:D,2,FALSE)</f>
        <v>BEBIDAS</v>
      </c>
      <c r="G4043" s="4" t="s">
        <v>26</v>
      </c>
      <c r="H4043" s="1">
        <f>59.04+5121.36</f>
        <v>5180.3999999999996</v>
      </c>
    </row>
    <row r="4044" spans="2:8" x14ac:dyDescent="0.2">
      <c r="B4044" t="str">
        <f>VLOOKUP(G4044,PC!B:D,3,FALSE)</f>
        <v>CPV</v>
      </c>
      <c r="C4044" s="22">
        <v>2024</v>
      </c>
      <c r="D4044" t="s">
        <v>110</v>
      </c>
      <c r="E4044" t="s">
        <v>211</v>
      </c>
      <c r="F4044" t="str">
        <f>VLOOKUP(G4044,PC!B:D,2,FALSE)</f>
        <v>BEBIDAS</v>
      </c>
      <c r="G4044" s="4" t="s">
        <v>26</v>
      </c>
      <c r="H4044" s="1">
        <v>727.69</v>
      </c>
    </row>
    <row r="4045" spans="2:8" x14ac:dyDescent="0.2">
      <c r="B4045" t="str">
        <f>VLOOKUP(G4045,PC!B:D,3,FALSE)</f>
        <v>CPV</v>
      </c>
      <c r="C4045" s="22">
        <v>2024</v>
      </c>
      <c r="D4045" t="s">
        <v>110</v>
      </c>
      <c r="E4045" t="s">
        <v>45</v>
      </c>
      <c r="F4045" t="str">
        <f>VLOOKUP(G4045,PC!B:D,2,FALSE)</f>
        <v>OUTROS</v>
      </c>
      <c r="G4045" s="4" t="s">
        <v>37</v>
      </c>
      <c r="H4045" s="1">
        <v>380.54</v>
      </c>
    </row>
    <row r="4046" spans="2:8" x14ac:dyDescent="0.2">
      <c r="B4046" t="str">
        <f>VLOOKUP(G4046,PC!B:D,3,FALSE)</f>
        <v>CPV</v>
      </c>
      <c r="C4046" s="22">
        <v>2024</v>
      </c>
      <c r="D4046" t="s">
        <v>110</v>
      </c>
      <c r="E4046" t="s">
        <v>20</v>
      </c>
      <c r="F4046" t="str">
        <f>VLOOKUP(G4046,PC!B:D,2,FALSE)</f>
        <v>COMIDA</v>
      </c>
      <c r="G4046" s="4" t="s">
        <v>29</v>
      </c>
      <c r="H4046" s="1">
        <v>135.4</v>
      </c>
    </row>
    <row r="4047" spans="2:8" x14ac:dyDescent="0.2">
      <c r="B4047" t="str">
        <f>VLOOKUP(G4047,PC!B:D,3,FALSE)</f>
        <v>CPV</v>
      </c>
      <c r="C4047" s="22">
        <v>2024</v>
      </c>
      <c r="D4047" t="s">
        <v>110</v>
      </c>
      <c r="E4047" t="s">
        <v>95</v>
      </c>
      <c r="F4047" t="str">
        <f>VLOOKUP(G4047,PC!B:D,2,FALSE)</f>
        <v>BEBIDAS</v>
      </c>
      <c r="G4047" s="4" t="s">
        <v>144</v>
      </c>
      <c r="H4047" s="1">
        <f>687.95</f>
        <v>687.95</v>
      </c>
    </row>
    <row r="4048" spans="2:8" x14ac:dyDescent="0.2">
      <c r="B4048" t="str">
        <f>VLOOKUP(G4048,PC!B:D,3,FALSE)</f>
        <v>CPV</v>
      </c>
      <c r="C4048" s="22">
        <v>2024</v>
      </c>
      <c r="D4048" t="s">
        <v>110</v>
      </c>
      <c r="E4048" t="s">
        <v>45</v>
      </c>
      <c r="F4048" t="str">
        <f>VLOOKUP(G4048,PC!B:D,2,FALSE)</f>
        <v>OUTROS</v>
      </c>
      <c r="G4048" s="4" t="s">
        <v>37</v>
      </c>
      <c r="H4048" s="1">
        <f>562.42+413.79</f>
        <v>976.21</v>
      </c>
    </row>
    <row r="4049" spans="2:8" x14ac:dyDescent="0.2">
      <c r="B4049" t="str">
        <f>VLOOKUP(G4049,PC!B:D,3,FALSE)</f>
        <v>CPV</v>
      </c>
      <c r="C4049" s="22">
        <v>2024</v>
      </c>
      <c r="D4049" t="s">
        <v>110</v>
      </c>
      <c r="E4049" t="s">
        <v>234</v>
      </c>
      <c r="F4049" t="str">
        <f>VLOOKUP(G4049,PC!B:D,2,FALSE)</f>
        <v>HIGIENE</v>
      </c>
      <c r="G4049" s="4" t="s">
        <v>36</v>
      </c>
      <c r="H4049" s="1">
        <v>617.63</v>
      </c>
    </row>
    <row r="4050" spans="2:8" x14ac:dyDescent="0.2">
      <c r="B4050" t="str">
        <f>VLOOKUP(G4050,PC!B:D,3,FALSE)</f>
        <v>CPV</v>
      </c>
      <c r="C4050" s="22">
        <v>2024</v>
      </c>
      <c r="D4050" t="s">
        <v>110</v>
      </c>
      <c r="E4050" t="s">
        <v>78</v>
      </c>
      <c r="F4050" t="str">
        <f>VLOOKUP(G4050,PC!B:D,2,FALSE)</f>
        <v>CIGARRO</v>
      </c>
      <c r="G4050" s="4" t="s">
        <v>82</v>
      </c>
      <c r="H4050" s="1">
        <v>823.95</v>
      </c>
    </row>
    <row r="4051" spans="2:8" x14ac:dyDescent="0.2">
      <c r="B4051" t="str">
        <f>VLOOKUP(G4051,PC!B:D,3,FALSE)</f>
        <v>CPV</v>
      </c>
      <c r="C4051" s="22">
        <v>2024</v>
      </c>
      <c r="D4051" t="s">
        <v>110</v>
      </c>
      <c r="E4051" t="s">
        <v>6</v>
      </c>
      <c r="F4051" t="str">
        <f>VLOOKUP(G4051,PC!B:D,2,FALSE)</f>
        <v>COMIDA</v>
      </c>
      <c r="G4051" s="4" t="s">
        <v>18</v>
      </c>
      <c r="H4051" s="1">
        <v>141.56</v>
      </c>
    </row>
    <row r="4052" spans="2:8" x14ac:dyDescent="0.2">
      <c r="B4052" t="str">
        <f>VLOOKUP(G4052,PC!B:D,3,FALSE)</f>
        <v>CPV</v>
      </c>
      <c r="C4052" s="22">
        <v>2024</v>
      </c>
      <c r="D4052" t="s">
        <v>110</v>
      </c>
      <c r="E4052" t="s">
        <v>235</v>
      </c>
      <c r="F4052" t="str">
        <f>VLOOKUP(G4052,PC!B:D,2,FALSE)</f>
        <v>OUTROS</v>
      </c>
      <c r="G4052" s="4" t="s">
        <v>37</v>
      </c>
      <c r="H4052" s="1">
        <v>148.61000000000001</v>
      </c>
    </row>
    <row r="4053" spans="2:8" x14ac:dyDescent="0.2">
      <c r="B4053" t="str">
        <f>VLOOKUP(G4053,PC!B:D,3,FALSE)</f>
        <v>CPV</v>
      </c>
      <c r="C4053" s="22">
        <v>2024</v>
      </c>
      <c r="D4053" t="s">
        <v>110</v>
      </c>
      <c r="E4053" t="s">
        <v>233</v>
      </c>
      <c r="F4053" t="str">
        <f>VLOOKUP(G4053,PC!B:D,2,FALSE)</f>
        <v>BEBIDAS</v>
      </c>
      <c r="G4053" s="4" t="s">
        <v>26</v>
      </c>
      <c r="H4053" s="1">
        <v>315.89999999999998</v>
      </c>
    </row>
    <row r="4054" spans="2:8" x14ac:dyDescent="0.2">
      <c r="B4054" t="str">
        <f>VLOOKUP(G4054,PC!B:D,3,FALSE)</f>
        <v>CPV</v>
      </c>
      <c r="C4054" s="22">
        <v>2024</v>
      </c>
      <c r="D4054" t="s">
        <v>110</v>
      </c>
      <c r="E4054" t="s">
        <v>156</v>
      </c>
      <c r="F4054" t="str">
        <f>VLOOKUP(G4054,PC!B:D,2,FALSE)</f>
        <v>BEBIDAS</v>
      </c>
      <c r="G4054" s="4" t="s">
        <v>26</v>
      </c>
      <c r="H4054" s="1">
        <f>41.5+506.4+41.5+99.8+456.5</f>
        <v>1145.6999999999998</v>
      </c>
    </row>
    <row r="4055" spans="2:8" x14ac:dyDescent="0.2">
      <c r="B4055" t="str">
        <f>VLOOKUP(G4055,PC!B:D,3,FALSE)</f>
        <v>CPV</v>
      </c>
      <c r="C4055" s="22">
        <v>2024</v>
      </c>
      <c r="D4055" t="s">
        <v>110</v>
      </c>
      <c r="E4055" t="s">
        <v>211</v>
      </c>
      <c r="F4055" t="str">
        <f>VLOOKUP(G4055,PC!B:D,2,FALSE)</f>
        <v>BEBIDAS</v>
      </c>
      <c r="G4055" s="4" t="s">
        <v>26</v>
      </c>
      <c r="H4055" s="1">
        <f>693.54+273.64+481.49</f>
        <v>1448.67</v>
      </c>
    </row>
    <row r="4056" spans="2:8" x14ac:dyDescent="0.2">
      <c r="B4056" t="str">
        <f>VLOOKUP(G4056,PC!B:D,3,FALSE)</f>
        <v>CPV</v>
      </c>
      <c r="C4056" s="22">
        <v>2024</v>
      </c>
      <c r="D4056" t="s">
        <v>110</v>
      </c>
      <c r="E4056" t="s">
        <v>19</v>
      </c>
      <c r="F4056" t="str">
        <f>VLOOKUP(G4056,PC!B:D,2,FALSE)</f>
        <v>COMIDA</v>
      </c>
      <c r="G4056" s="4" t="s">
        <v>145</v>
      </c>
      <c r="H4056" s="1">
        <f>158.16+485.64</f>
        <v>643.79999999999995</v>
      </c>
    </row>
    <row r="4057" spans="2:8" x14ac:dyDescent="0.2">
      <c r="B4057" t="str">
        <f>VLOOKUP(G4057,PC!B:D,3,FALSE)</f>
        <v>CPV</v>
      </c>
      <c r="C4057" s="22">
        <v>2024</v>
      </c>
      <c r="D4057" t="s">
        <v>110</v>
      </c>
      <c r="E4057" t="s">
        <v>19</v>
      </c>
      <c r="F4057" t="str">
        <f>VLOOKUP(G4057,PC!B:D,2,FALSE)</f>
        <v>COMIDA</v>
      </c>
      <c r="G4057" s="4" t="s">
        <v>145</v>
      </c>
      <c r="H4057" s="1">
        <f>164.94+382.47+112.2+92</f>
        <v>751.61000000000013</v>
      </c>
    </row>
    <row r="4058" spans="2:8" x14ac:dyDescent="0.2">
      <c r="B4058" t="str">
        <f>VLOOKUP(G4058,PC!B:D,3,FALSE)</f>
        <v>CPV</v>
      </c>
      <c r="C4058" s="22">
        <v>2024</v>
      </c>
      <c r="D4058" t="s">
        <v>110</v>
      </c>
      <c r="E4058" t="s">
        <v>78</v>
      </c>
      <c r="F4058" t="str">
        <f>VLOOKUP(G4058,PC!B:D,2,FALSE)</f>
        <v>CIGARRO</v>
      </c>
      <c r="G4058" s="4" t="s">
        <v>82</v>
      </c>
      <c r="H4058" s="1">
        <f>736.97</f>
        <v>736.97</v>
      </c>
    </row>
    <row r="4059" spans="2:8" x14ac:dyDescent="0.2">
      <c r="B4059" t="str">
        <f>VLOOKUP(G4059,PC!B:D,3,FALSE)</f>
        <v>CPV</v>
      </c>
      <c r="C4059" s="22">
        <v>2024</v>
      </c>
      <c r="D4059" t="s">
        <v>110</v>
      </c>
      <c r="E4059" t="s">
        <v>236</v>
      </c>
      <c r="F4059" t="str">
        <f>VLOOKUP(G4059,PC!B:D,2,FALSE)</f>
        <v>HIGIENE</v>
      </c>
      <c r="G4059" s="3" t="s">
        <v>36</v>
      </c>
      <c r="H4059" s="1">
        <v>270.14999999999998</v>
      </c>
    </row>
    <row r="4060" spans="2:8" x14ac:dyDescent="0.2">
      <c r="B4060" t="str">
        <f>VLOOKUP(G4060,PC!B:D,3,FALSE)</f>
        <v>CPV</v>
      </c>
      <c r="C4060" s="22">
        <v>2024</v>
      </c>
      <c r="D4060" t="s">
        <v>110</v>
      </c>
      <c r="E4060" t="s">
        <v>129</v>
      </c>
      <c r="F4060" t="str">
        <f>VLOOKUP(G4060,PC!B:D,2,FALSE)</f>
        <v>HIGIENE</v>
      </c>
      <c r="G4060" s="3" t="s">
        <v>36</v>
      </c>
      <c r="H4060" s="1">
        <v>184.72</v>
      </c>
    </row>
    <row r="4061" spans="2:8" x14ac:dyDescent="0.2">
      <c r="B4061" t="str">
        <f>VLOOKUP(G4061,PC!B:D,3,FALSE)</f>
        <v>CPV</v>
      </c>
      <c r="C4061" s="22">
        <v>2024</v>
      </c>
      <c r="D4061" t="s">
        <v>110</v>
      </c>
      <c r="E4061" t="s">
        <v>237</v>
      </c>
      <c r="F4061" t="str">
        <f>VLOOKUP(G4061,PC!B:D,2,FALSE)</f>
        <v>OUTROS</v>
      </c>
      <c r="G4061" s="4" t="s">
        <v>37</v>
      </c>
      <c r="H4061" s="1">
        <v>564.04</v>
      </c>
    </row>
    <row r="4062" spans="2:8" x14ac:dyDescent="0.2">
      <c r="B4062" t="str">
        <f>VLOOKUP(G4062,PC!B:D,3,FALSE)</f>
        <v>CPV</v>
      </c>
      <c r="C4062" s="22">
        <v>2024</v>
      </c>
      <c r="D4062" t="s">
        <v>110</v>
      </c>
      <c r="E4062" t="s">
        <v>227</v>
      </c>
      <c r="F4062" t="str">
        <f>VLOOKUP(G4062,PC!B:D,2,FALSE)</f>
        <v>COMIDA</v>
      </c>
      <c r="G4062" s="4" t="s">
        <v>38</v>
      </c>
      <c r="H4062" s="1">
        <v>1255.29</v>
      </c>
    </row>
    <row r="4063" spans="2:8" x14ac:dyDescent="0.2">
      <c r="B4063" t="str">
        <f>VLOOKUP(G4063,PC!B:D,3,FALSE)</f>
        <v>CPV</v>
      </c>
      <c r="C4063" s="22">
        <v>2024</v>
      </c>
      <c r="D4063" t="s">
        <v>110</v>
      </c>
      <c r="E4063" t="s">
        <v>77</v>
      </c>
      <c r="F4063" t="str">
        <f>VLOOKUP(G4063,PC!B:D,2,FALSE)</f>
        <v>OUTROS</v>
      </c>
      <c r="G4063" s="4" t="s">
        <v>37</v>
      </c>
      <c r="H4063" s="1">
        <v>332.8</v>
      </c>
    </row>
    <row r="4064" spans="2:8" x14ac:dyDescent="0.2">
      <c r="B4064" t="str">
        <f>VLOOKUP(G4064,PC!B:D,3,FALSE)</f>
        <v>CPV</v>
      </c>
      <c r="C4064" s="22">
        <v>2024</v>
      </c>
      <c r="D4064" t="s">
        <v>110</v>
      </c>
      <c r="E4064" t="s">
        <v>100</v>
      </c>
      <c r="F4064" t="str">
        <f>VLOOKUP(G4064,PC!B:D,2,FALSE)</f>
        <v>SOBREMESA</v>
      </c>
      <c r="G4064" s="4" t="s">
        <v>23</v>
      </c>
      <c r="H4064" s="1">
        <v>160.18</v>
      </c>
    </row>
    <row r="4065" spans="2:8" x14ac:dyDescent="0.2">
      <c r="B4065" t="str">
        <f>VLOOKUP(G4065,PC!B:D,3,FALSE)</f>
        <v>CPV</v>
      </c>
      <c r="C4065" s="22">
        <v>2024</v>
      </c>
      <c r="D4065" t="s">
        <v>110</v>
      </c>
      <c r="E4065" t="s">
        <v>208</v>
      </c>
      <c r="F4065" t="str">
        <f>VLOOKUP(G4065,PC!B:D,2,FALSE)</f>
        <v>SOBREMESA</v>
      </c>
      <c r="G4065" s="4" t="s">
        <v>8</v>
      </c>
      <c r="H4065" s="1">
        <v>368.81</v>
      </c>
    </row>
    <row r="4066" spans="2:8" x14ac:dyDescent="0.2">
      <c r="B4066" t="str">
        <f>VLOOKUP(G4066,PC!B:D,3,FALSE)</f>
        <v>CPV</v>
      </c>
      <c r="C4066" s="22">
        <v>2024</v>
      </c>
      <c r="D4066" t="s">
        <v>110</v>
      </c>
      <c r="E4066" t="s">
        <v>77</v>
      </c>
      <c r="F4066" t="str">
        <f>VLOOKUP(G4066,PC!B:D,2,FALSE)</f>
        <v>COMIDA</v>
      </c>
      <c r="G4066" s="4" t="s">
        <v>29</v>
      </c>
      <c r="H4066" s="1">
        <v>318.77999999999997</v>
      </c>
    </row>
    <row r="4067" spans="2:8" x14ac:dyDescent="0.2">
      <c r="B4067" t="str">
        <f>VLOOKUP(G4067,PC!B:D,3,FALSE)</f>
        <v>CPV</v>
      </c>
      <c r="C4067" s="22">
        <v>2024</v>
      </c>
      <c r="D4067" t="s">
        <v>110</v>
      </c>
      <c r="E4067" t="s">
        <v>237</v>
      </c>
      <c r="F4067" t="str">
        <f>VLOOKUP(G4067,PC!B:D,2,FALSE)</f>
        <v>LIMPEZA</v>
      </c>
      <c r="G4067" s="4" t="s">
        <v>43</v>
      </c>
      <c r="H4067" s="1">
        <f>328.9+655.49</f>
        <v>984.39</v>
      </c>
    </row>
    <row r="4068" spans="2:8" x14ac:dyDescent="0.2">
      <c r="B4068" t="str">
        <f>VLOOKUP(G4068,PC!B:D,3,FALSE)</f>
        <v>CPV</v>
      </c>
      <c r="C4068" s="22">
        <v>2024</v>
      </c>
      <c r="D4068" t="s">
        <v>110</v>
      </c>
      <c r="E4068" t="s">
        <v>5</v>
      </c>
      <c r="F4068" t="str">
        <f>VLOOKUP(G4068,PC!B:D,2,FALSE)</f>
        <v>COMIDA</v>
      </c>
      <c r="G4068" s="4" t="s">
        <v>18</v>
      </c>
      <c r="H4068" s="1">
        <v>346.06</v>
      </c>
    </row>
    <row r="4069" spans="2:8" x14ac:dyDescent="0.2">
      <c r="B4069" t="str">
        <f>VLOOKUP(G4069,PC!B:D,3,FALSE)</f>
        <v>CPV</v>
      </c>
      <c r="C4069" s="22">
        <v>2024</v>
      </c>
      <c r="D4069" t="s">
        <v>110</v>
      </c>
      <c r="E4069" t="s">
        <v>228</v>
      </c>
      <c r="F4069" t="str">
        <f>VLOOKUP(G4069,PC!B:D,2,FALSE)</f>
        <v>COMIDA</v>
      </c>
      <c r="G4069" s="4" t="s">
        <v>33</v>
      </c>
      <c r="H4069" s="1">
        <v>568.13</v>
      </c>
    </row>
    <row r="4070" spans="2:8" x14ac:dyDescent="0.2">
      <c r="B4070" t="str">
        <f>VLOOKUP(G4070,PC!B:D,3,FALSE)</f>
        <v>CPV</v>
      </c>
      <c r="C4070" s="22">
        <v>2024</v>
      </c>
      <c r="D4070" t="s">
        <v>110</v>
      </c>
      <c r="E4070" t="s">
        <v>20</v>
      </c>
      <c r="F4070" t="str">
        <f>VLOOKUP(G4070,PC!B:D,2,FALSE)</f>
        <v>COMIDA</v>
      </c>
      <c r="G4070" s="4" t="s">
        <v>29</v>
      </c>
      <c r="H4070" s="1">
        <v>237</v>
      </c>
    </row>
    <row r="4071" spans="2:8" x14ac:dyDescent="0.2">
      <c r="B4071" t="str">
        <f>VLOOKUP(G4071,PC!B:D,3,FALSE)</f>
        <v>CPV</v>
      </c>
      <c r="C4071" s="22">
        <v>2024</v>
      </c>
      <c r="D4071" t="s">
        <v>110</v>
      </c>
      <c r="E4071" t="s">
        <v>16</v>
      </c>
      <c r="F4071" t="str">
        <f>VLOOKUP(G4071,PC!B:D,2,FALSE)</f>
        <v>COMIDA</v>
      </c>
      <c r="G4071" s="4" t="s">
        <v>12</v>
      </c>
      <c r="H4071" s="1">
        <f>564.8+220.54</f>
        <v>785.33999999999992</v>
      </c>
    </row>
    <row r="4072" spans="2:8" x14ac:dyDescent="0.2">
      <c r="B4072" t="str">
        <f>VLOOKUP(G4072,PC!B:D,3,FALSE)</f>
        <v>CPV</v>
      </c>
      <c r="C4072" s="22">
        <v>2024</v>
      </c>
      <c r="D4072" t="s">
        <v>110</v>
      </c>
      <c r="E4072" t="s">
        <v>27</v>
      </c>
      <c r="F4072" t="str">
        <f>VLOOKUP(G4072,PC!B:D,2,FALSE)</f>
        <v>COMIDA</v>
      </c>
      <c r="G4072" s="4" t="s">
        <v>12</v>
      </c>
      <c r="H4072" s="1">
        <f>147.7+228.51</f>
        <v>376.21</v>
      </c>
    </row>
    <row r="4073" spans="2:8" x14ac:dyDescent="0.2">
      <c r="B4073" t="str">
        <f>VLOOKUP(G4073,PC!B:D,3,FALSE)</f>
        <v>CPV</v>
      </c>
      <c r="C4073" s="22">
        <v>2024</v>
      </c>
      <c r="D4073" t="s">
        <v>110</v>
      </c>
      <c r="E4073" t="s">
        <v>212</v>
      </c>
      <c r="F4073" t="str">
        <f>VLOOKUP(G4073,PC!B:D,2,FALSE)</f>
        <v>COMIDA</v>
      </c>
      <c r="G4073" s="4" t="s">
        <v>33</v>
      </c>
      <c r="H4073" s="1">
        <f>183.58+151.15</f>
        <v>334.73</v>
      </c>
    </row>
    <row r="4074" spans="2:8" x14ac:dyDescent="0.2">
      <c r="B4074" t="str">
        <f>VLOOKUP(G4074,PC!B:D,3,FALSE)</f>
        <v>CPV</v>
      </c>
      <c r="C4074" s="22">
        <v>2024</v>
      </c>
      <c r="D4074" t="s">
        <v>110</v>
      </c>
      <c r="E4074" t="s">
        <v>24</v>
      </c>
      <c r="F4074" t="str">
        <f>VLOOKUP(G4074,PC!B:D,2,FALSE)</f>
        <v>COMIDA</v>
      </c>
      <c r="G4074" s="4" t="s">
        <v>33</v>
      </c>
      <c r="H4074" s="1">
        <f>197.5+309.94</f>
        <v>507.44</v>
      </c>
    </row>
    <row r="4075" spans="2:8" x14ac:dyDescent="0.2">
      <c r="B4075" t="str">
        <f>VLOOKUP(G4075,PC!B:D,3,FALSE)</f>
        <v>CPV</v>
      </c>
      <c r="C4075" s="22">
        <v>2024</v>
      </c>
      <c r="D4075" t="s">
        <v>110</v>
      </c>
      <c r="E4075" t="s">
        <v>226</v>
      </c>
      <c r="F4075" t="str">
        <f>VLOOKUP(G4075,PC!B:D,2,FALSE)</f>
        <v>BEBIDAS</v>
      </c>
      <c r="G4075" s="4" t="s">
        <v>25</v>
      </c>
      <c r="H4075" s="1">
        <f>2256.49+45.48+1087.36+19.65+683.68+769.32+153.98+499.71+271.76+756.38+172.52+338+564.23+711.94</f>
        <v>8330.5</v>
      </c>
    </row>
    <row r="4076" spans="2:8" x14ac:dyDescent="0.2">
      <c r="B4076" t="str">
        <f>VLOOKUP(G4076,PC!B:D,3,FALSE)</f>
        <v>CPV</v>
      </c>
      <c r="C4076" s="22">
        <v>2024</v>
      </c>
      <c r="D4076" t="s">
        <v>110</v>
      </c>
      <c r="E4076" t="s">
        <v>28</v>
      </c>
      <c r="F4076" t="str">
        <f>VLOOKUP(G4076,PC!B:D,2,FALSE)</f>
        <v>BEBIDAS</v>
      </c>
      <c r="G4076" s="4" t="s">
        <v>26</v>
      </c>
      <c r="H4076" s="1">
        <f>4720.01+231.2+3968.22+116.54+2460.83+229.83+961.37+1229.56+121.95+178.5+3794.59+29.97</f>
        <v>18042.570000000003</v>
      </c>
    </row>
    <row r="4077" spans="2:8" x14ac:dyDescent="0.2">
      <c r="B4077" t="str">
        <f>VLOOKUP(G4077,PC!B:D,3,FALSE)</f>
        <v>CPV</v>
      </c>
      <c r="C4077" s="22">
        <v>2024</v>
      </c>
      <c r="D4077" t="s">
        <v>110</v>
      </c>
      <c r="E4077" t="s">
        <v>49</v>
      </c>
      <c r="F4077" t="str">
        <f>VLOOKUP(G4077,PC!B:D,2,FALSE)</f>
        <v>CIGARRO</v>
      </c>
      <c r="G4077" s="4" t="s">
        <v>52</v>
      </c>
      <c r="H4077" s="1">
        <f>6861+0.68+6122.41+8873.42+6508.12</f>
        <v>28365.63</v>
      </c>
    </row>
    <row r="4078" spans="2:8" x14ac:dyDescent="0.2">
      <c r="B4078" t="str">
        <f>VLOOKUP(G4078,PC!B:D,3,FALSE)</f>
        <v>CPV</v>
      </c>
      <c r="C4078" s="22">
        <v>2024</v>
      </c>
      <c r="D4078" t="s">
        <v>110</v>
      </c>
      <c r="E4078" t="s">
        <v>30</v>
      </c>
      <c r="F4078" t="str">
        <f>VLOOKUP(G4078,PC!B:D,2,FALSE)</f>
        <v>SOBREMESA</v>
      </c>
      <c r="G4078" s="4" t="s">
        <v>23</v>
      </c>
      <c r="H4078" s="1">
        <v>308.08999999999997</v>
      </c>
    </row>
    <row r="4079" spans="2:8" x14ac:dyDescent="0.2">
      <c r="B4079" t="str">
        <f>VLOOKUP(G4079,PC!B:D,3,FALSE)</f>
        <v>CPV</v>
      </c>
      <c r="C4079" s="22">
        <v>2024</v>
      </c>
      <c r="D4079" t="s">
        <v>110</v>
      </c>
      <c r="E4079" t="s">
        <v>21</v>
      </c>
      <c r="F4079" t="str">
        <f>VLOOKUP(G4079,PC!B:D,2,FALSE)</f>
        <v>SOBREMESA</v>
      </c>
      <c r="G4079" s="4" t="s">
        <v>23</v>
      </c>
      <c r="H4079" s="1">
        <f>184.51+65.16</f>
        <v>249.67</v>
      </c>
    </row>
    <row r="4080" spans="2:8" x14ac:dyDescent="0.2">
      <c r="B4080" t="str">
        <f>VLOOKUP(G4080,PC!B:D,3,FALSE)</f>
        <v>RECEITA</v>
      </c>
      <c r="C4080" s="22">
        <v>2024</v>
      </c>
      <c r="D4080" t="s">
        <v>110</v>
      </c>
      <c r="F4080" t="str">
        <f>VLOOKUP(G4080,PC!B:D,2,FALSE)</f>
        <v>RECEITA</v>
      </c>
      <c r="G4080" s="4" t="s">
        <v>137</v>
      </c>
      <c r="H4080" s="1">
        <f>15649.39-341.05</f>
        <v>15308.34</v>
      </c>
    </row>
    <row r="4081" spans="2:8" x14ac:dyDescent="0.2">
      <c r="B4081" t="str">
        <f>VLOOKUP(G4081,PC!B:D,3,FALSE)</f>
        <v>DESCONTO DE FATURAMENTO</v>
      </c>
      <c r="C4081" s="22">
        <v>2024</v>
      </c>
      <c r="D4081" t="s">
        <v>110</v>
      </c>
      <c r="F4081" t="str">
        <f>VLOOKUP(G4081,PC!B:D,2,FALSE)</f>
        <v>OUTROS DESCONTOS</v>
      </c>
      <c r="G4081" s="4" t="s">
        <v>63</v>
      </c>
      <c r="H4081" s="1">
        <f>H4080-15015.44</f>
        <v>292.89999999999964</v>
      </c>
    </row>
    <row r="4082" spans="2:8" x14ac:dyDescent="0.2">
      <c r="B4082" t="str">
        <f>VLOOKUP(G4082,PC!B:D,3,FALSE)</f>
        <v>RECEITA</v>
      </c>
      <c r="C4082" s="22">
        <v>2024</v>
      </c>
      <c r="D4082" t="s">
        <v>110</v>
      </c>
      <c r="F4082" t="str">
        <f>VLOOKUP(G4082,PC!B:D,2,FALSE)</f>
        <v>RECEITA</v>
      </c>
      <c r="G4082" s="4" t="s">
        <v>136</v>
      </c>
      <c r="H4082" s="1">
        <f>31493.79-74</f>
        <v>31419.79</v>
      </c>
    </row>
    <row r="4083" spans="2:8" x14ac:dyDescent="0.2">
      <c r="B4083" t="str">
        <f>VLOOKUP(G4083,PC!B:D,3,FALSE)</f>
        <v>DESCONTO DE FATURAMENTO</v>
      </c>
      <c r="C4083" s="22">
        <v>2024</v>
      </c>
      <c r="D4083" t="s">
        <v>110</v>
      </c>
      <c r="F4083" t="str">
        <f>VLOOKUP(G4083,PC!B:D,2,FALSE)</f>
        <v>OUTROS DESCONTOS</v>
      </c>
      <c r="G4083" s="4" t="s">
        <v>63</v>
      </c>
      <c r="H4083" s="1">
        <f>H4082-31076.68</f>
        <v>343.11000000000058</v>
      </c>
    </row>
    <row r="4084" spans="2:8" x14ac:dyDescent="0.2">
      <c r="B4084" t="e">
        <f>VLOOKUP(G4084,PC!B:D,3,FALSE)</f>
        <v>#N/A</v>
      </c>
      <c r="C4084" s="22">
        <v>2024</v>
      </c>
      <c r="D4084" t="s">
        <v>110</v>
      </c>
      <c r="F4084" t="e">
        <f>VLOOKUP(G4084,PC!B:D,2,FALSE)</f>
        <v>#N/A</v>
      </c>
      <c r="G4084" s="4" t="s">
        <v>232</v>
      </c>
      <c r="H4084" s="1">
        <f>3810.16-12</f>
        <v>3798.16</v>
      </c>
    </row>
    <row r="4085" spans="2:8" x14ac:dyDescent="0.2">
      <c r="B4085" t="str">
        <f>VLOOKUP(G4085,PC!B:D,3,FALSE)</f>
        <v>DESCONTO DE FATURAMENTO</v>
      </c>
      <c r="C4085" s="22">
        <v>2024</v>
      </c>
      <c r="D4085" t="s">
        <v>110</v>
      </c>
      <c r="F4085" t="str">
        <f>VLOOKUP(G4085,PC!B:D,2,FALSE)</f>
        <v>OUTROS DESCONTOS</v>
      </c>
      <c r="G4085" s="4" t="s">
        <v>63</v>
      </c>
      <c r="H4085" s="1">
        <f>H4084-3778.99</f>
        <v>19.170000000000073</v>
      </c>
    </row>
    <row r="4086" spans="2:8" x14ac:dyDescent="0.2">
      <c r="B4086" t="str">
        <f>VLOOKUP(G4086,PC!B:D,3,FALSE)</f>
        <v>DESPESA OPERACIONAL</v>
      </c>
      <c r="C4086" s="22">
        <v>2024</v>
      </c>
      <c r="D4086" t="s">
        <v>110</v>
      </c>
      <c r="F4086" t="str">
        <f>VLOOKUP(G4086,PC!B:D,2,FALSE)</f>
        <v>DESPESA OPERACIONAL</v>
      </c>
      <c r="G4086" s="4" t="s">
        <v>73</v>
      </c>
      <c r="H4086" s="1">
        <f>642.16+277.58+459.67+276.6+353.94+858.12</f>
        <v>2868.07</v>
      </c>
    </row>
    <row r="4087" spans="2:8" x14ac:dyDescent="0.2">
      <c r="B4087" t="str">
        <f>VLOOKUP(G4087,PC!B:D,3,FALSE)</f>
        <v>RECEITA</v>
      </c>
      <c r="C4087" s="22">
        <v>2024</v>
      </c>
      <c r="D4087" t="s">
        <v>110</v>
      </c>
      <c r="F4087" t="str">
        <f>VLOOKUP(G4087,PC!B:D,2,FALSE)</f>
        <v>RECEITA</v>
      </c>
      <c r="G4087" s="4" t="s">
        <v>64</v>
      </c>
      <c r="H4087" s="1">
        <f>18.38+7.56+5.9+9.83+5.92+12.24</f>
        <v>59.83</v>
      </c>
    </row>
    <row r="4088" spans="2:8" x14ac:dyDescent="0.2">
      <c r="B4088" t="str">
        <f>VLOOKUP(G4088,PC!B:D,3,FALSE)</f>
        <v>CPV</v>
      </c>
      <c r="C4088" s="22">
        <v>2024</v>
      </c>
      <c r="D4088" t="s">
        <v>110</v>
      </c>
      <c r="E4088" t="s">
        <v>129</v>
      </c>
      <c r="F4088" t="str">
        <f>VLOOKUP(G4088,PC!B:D,2,FALSE)</f>
        <v>OUTROS</v>
      </c>
      <c r="G4088" s="4" t="s">
        <v>37</v>
      </c>
      <c r="H4088" s="1">
        <v>1181.95</v>
      </c>
    </row>
    <row r="4089" spans="2:8" x14ac:dyDescent="0.2">
      <c r="B4089" t="str">
        <f>VLOOKUP(G4089,PC!B:D,3,FALSE)</f>
        <v>CPV</v>
      </c>
      <c r="C4089" s="22">
        <v>2024</v>
      </c>
      <c r="D4089" t="s">
        <v>110</v>
      </c>
      <c r="E4089" t="s">
        <v>129</v>
      </c>
      <c r="F4089" t="str">
        <f>VLOOKUP(G4089,PC!B:D,2,FALSE)</f>
        <v>CIGARRO</v>
      </c>
      <c r="G4089" s="4" t="s">
        <v>57</v>
      </c>
      <c r="H4089" s="1">
        <v>1037</v>
      </c>
    </row>
    <row r="4090" spans="2:8" x14ac:dyDescent="0.2">
      <c r="B4090" t="str">
        <f>VLOOKUP(G4090,PC!B:D,3,FALSE)</f>
        <v>CPV</v>
      </c>
      <c r="C4090" s="22">
        <v>2024</v>
      </c>
      <c r="D4090" t="s">
        <v>110</v>
      </c>
      <c r="E4090" t="s">
        <v>129</v>
      </c>
      <c r="F4090" t="str">
        <f>VLOOKUP(G4090,PC!B:D,2,FALSE)</f>
        <v>OUTROS</v>
      </c>
      <c r="G4090" s="4" t="s">
        <v>149</v>
      </c>
      <c r="H4090" s="1">
        <v>270.5</v>
      </c>
    </row>
    <row r="4091" spans="2:8" x14ac:dyDescent="0.2">
      <c r="B4091" t="str">
        <f>VLOOKUP(G4091,PC!B:D,3,FALSE)</f>
        <v>CPV</v>
      </c>
      <c r="C4091" s="22">
        <v>2024</v>
      </c>
      <c r="D4091" t="s">
        <v>110</v>
      </c>
      <c r="E4091" t="s">
        <v>129</v>
      </c>
      <c r="F4091" t="str">
        <f>VLOOKUP(G4091,PC!B:D,2,FALSE)</f>
        <v>SOBREMESA</v>
      </c>
      <c r="G4091" s="4" t="s">
        <v>7</v>
      </c>
      <c r="H4091" s="1">
        <v>79</v>
      </c>
    </row>
    <row r="4092" spans="2:8" x14ac:dyDescent="0.2">
      <c r="B4092" t="str">
        <f>VLOOKUP(G4092,PC!B:D,3,FALSE)</f>
        <v>CPV</v>
      </c>
      <c r="C4092" s="22">
        <v>2024</v>
      </c>
      <c r="D4092" t="s">
        <v>110</v>
      </c>
      <c r="E4092" t="s">
        <v>129</v>
      </c>
      <c r="F4092" t="str">
        <f>VLOOKUP(G4092,PC!B:D,2,FALSE)</f>
        <v>BEBIDAS</v>
      </c>
      <c r="G4092" s="45" t="s">
        <v>48</v>
      </c>
      <c r="H4092" s="1">
        <v>204</v>
      </c>
    </row>
    <row r="4093" spans="2:8" x14ac:dyDescent="0.2">
      <c r="B4093" t="str">
        <f>VLOOKUP(G4093,PC!B:D,3,FALSE)</f>
        <v>SERV. PUBLICOS</v>
      </c>
      <c r="C4093" s="22">
        <v>2024</v>
      </c>
      <c r="D4093" t="s">
        <v>110</v>
      </c>
      <c r="F4093" t="str">
        <f>VLOOKUP(G4093,PC!B:D,2,FALSE)</f>
        <v>SERV. PUBLICOS</v>
      </c>
      <c r="G4093" s="4" t="s">
        <v>104</v>
      </c>
      <c r="H4093" s="1">
        <v>300</v>
      </c>
    </row>
    <row r="4094" spans="2:8" x14ac:dyDescent="0.2">
      <c r="B4094" t="str">
        <f>VLOOKUP(G4094,PC!B:D,3,FALSE)</f>
        <v>CPV</v>
      </c>
      <c r="C4094" s="22">
        <v>2024</v>
      </c>
      <c r="D4094" t="s">
        <v>110</v>
      </c>
      <c r="E4094" t="s">
        <v>129</v>
      </c>
      <c r="F4094" t="str">
        <f>VLOOKUP(G4094,PC!B:D,2,FALSE)</f>
        <v>OUTROS</v>
      </c>
      <c r="G4094" s="4" t="s">
        <v>37</v>
      </c>
      <c r="H4094" s="1">
        <v>203.26</v>
      </c>
    </row>
    <row r="4095" spans="2:8" x14ac:dyDescent="0.2">
      <c r="B4095" t="str">
        <f>VLOOKUP(G4095,PC!B:D,3,FALSE)</f>
        <v>CPV</v>
      </c>
      <c r="C4095" s="22">
        <v>2024</v>
      </c>
      <c r="D4095" t="s">
        <v>110</v>
      </c>
      <c r="E4095" t="s">
        <v>129</v>
      </c>
      <c r="F4095" t="str">
        <f>VLOOKUP(G4095,PC!B:D,2,FALSE)</f>
        <v>OUTROS</v>
      </c>
      <c r="G4095" s="4" t="s">
        <v>37</v>
      </c>
      <c r="H4095" s="1">
        <v>612.97</v>
      </c>
    </row>
    <row r="4096" spans="2:8" x14ac:dyDescent="0.2">
      <c r="B4096" t="str">
        <f>VLOOKUP(G4096,PC!B:D,3,FALSE)</f>
        <v>CPV</v>
      </c>
      <c r="C4096" s="22">
        <v>2024</v>
      </c>
      <c r="D4096" t="s">
        <v>110</v>
      </c>
      <c r="E4096" t="s">
        <v>129</v>
      </c>
      <c r="F4096" t="str">
        <f>VLOOKUP(G4096,PC!B:D,2,FALSE)</f>
        <v>SOBREMESA</v>
      </c>
      <c r="G4096" s="4" t="s">
        <v>7</v>
      </c>
      <c r="H4096" s="1">
        <v>198</v>
      </c>
    </row>
    <row r="4097" spans="2:8" x14ac:dyDescent="0.2">
      <c r="B4097" t="str">
        <f>VLOOKUP(G4097,PC!B:D,3,FALSE)</f>
        <v>CPV</v>
      </c>
      <c r="C4097" s="22">
        <v>2024</v>
      </c>
      <c r="D4097" t="s">
        <v>110</v>
      </c>
      <c r="E4097" t="s">
        <v>129</v>
      </c>
      <c r="F4097" t="str">
        <f>VLOOKUP(G4097,PC!B:D,2,FALSE)</f>
        <v>COMIDA</v>
      </c>
      <c r="G4097" s="4" t="s">
        <v>12</v>
      </c>
      <c r="H4097" s="1">
        <v>600</v>
      </c>
    </row>
    <row r="4098" spans="2:8" x14ac:dyDescent="0.2">
      <c r="B4098" t="str">
        <f>VLOOKUP(G4098,PC!B:D,3,FALSE)</f>
        <v>CPV</v>
      </c>
      <c r="C4098" s="22">
        <v>2024</v>
      </c>
      <c r="D4098" t="s">
        <v>110</v>
      </c>
      <c r="E4098" t="s">
        <v>129</v>
      </c>
      <c r="F4098" t="str">
        <f>VLOOKUP(G4098,PC!B:D,2,FALSE)</f>
        <v>COMIDA</v>
      </c>
      <c r="G4098" s="4" t="s">
        <v>33</v>
      </c>
      <c r="H4098" s="1">
        <v>270</v>
      </c>
    </row>
    <row r="4099" spans="2:8" x14ac:dyDescent="0.2">
      <c r="B4099" t="str">
        <f>VLOOKUP(G4099,PC!B:D,3,FALSE)</f>
        <v>DESPESA OPERACIONAL</v>
      </c>
      <c r="C4099" s="22">
        <v>2024</v>
      </c>
      <c r="D4099" t="s">
        <v>110</v>
      </c>
      <c r="F4099" t="str">
        <f>VLOOKUP(G4099,PC!B:D,2,FALSE)</f>
        <v>DESPESA OPERACIONAL</v>
      </c>
      <c r="G4099" s="4" t="s">
        <v>70</v>
      </c>
      <c r="H4099" s="1">
        <v>95</v>
      </c>
    </row>
    <row r="4100" spans="2:8" x14ac:dyDescent="0.2">
      <c r="B4100" t="str">
        <f>VLOOKUP(G4100,PC!B:D,3,FALSE)</f>
        <v>CPV</v>
      </c>
      <c r="C4100" s="22">
        <v>2024</v>
      </c>
      <c r="D4100" t="s">
        <v>110</v>
      </c>
      <c r="E4100" t="s">
        <v>129</v>
      </c>
      <c r="F4100" t="str">
        <f>VLOOKUP(G4100,PC!B:D,2,FALSE)</f>
        <v>OUTROS</v>
      </c>
      <c r="G4100" s="4" t="s">
        <v>58</v>
      </c>
      <c r="H4100" s="1">
        <v>192</v>
      </c>
    </row>
    <row r="4101" spans="2:8" x14ac:dyDescent="0.2">
      <c r="B4101" t="str">
        <f>VLOOKUP(G4101,PC!B:D,3,FALSE)</f>
        <v>CPV</v>
      </c>
      <c r="C4101" s="22">
        <v>2024</v>
      </c>
      <c r="D4101" t="s">
        <v>110</v>
      </c>
      <c r="E4101" t="s">
        <v>129</v>
      </c>
      <c r="F4101" t="str">
        <f>VLOOKUP(G4101,PC!B:D,2,FALSE)</f>
        <v>SOBREMESA</v>
      </c>
      <c r="G4101" s="4" t="s">
        <v>7</v>
      </c>
      <c r="H4101" s="1">
        <v>154</v>
      </c>
    </row>
    <row r="4102" spans="2:8" x14ac:dyDescent="0.2">
      <c r="B4102" t="str">
        <f>VLOOKUP(G4102,PC!B:D,3,FALSE)</f>
        <v>CPV</v>
      </c>
      <c r="C4102" s="22">
        <v>2024</v>
      </c>
      <c r="D4102" t="s">
        <v>110</v>
      </c>
      <c r="E4102" t="s">
        <v>129</v>
      </c>
      <c r="F4102" t="str">
        <f>VLOOKUP(G4102,PC!B:D,2,FALSE)</f>
        <v>COMIDA</v>
      </c>
      <c r="G4102" s="4" t="s">
        <v>12</v>
      </c>
      <c r="H4102" s="1">
        <v>97</v>
      </c>
    </row>
    <row r="4103" spans="2:8" x14ac:dyDescent="0.2">
      <c r="B4103" t="str">
        <f>VLOOKUP(G4103,PC!B:D,3,FALSE)</f>
        <v>CPV</v>
      </c>
      <c r="C4103" s="22">
        <v>2024</v>
      </c>
      <c r="D4103" t="s">
        <v>110</v>
      </c>
      <c r="E4103" t="s">
        <v>129</v>
      </c>
      <c r="F4103" t="str">
        <f>VLOOKUP(G4103,PC!B:D,2,FALSE)</f>
        <v>COMIDA</v>
      </c>
      <c r="G4103" s="4" t="s">
        <v>12</v>
      </c>
      <c r="H4103" s="1">
        <v>400</v>
      </c>
    </row>
    <row r="4104" spans="2:8" x14ac:dyDescent="0.2">
      <c r="B4104" t="str">
        <f>VLOOKUP(G4104,PC!B:D,3,FALSE)</f>
        <v>CPV</v>
      </c>
      <c r="C4104" s="22">
        <v>2024</v>
      </c>
      <c r="D4104" t="s">
        <v>110</v>
      </c>
      <c r="E4104" t="s">
        <v>129</v>
      </c>
      <c r="F4104" t="str">
        <f>VLOOKUP(G4104,PC!B:D,2,FALSE)</f>
        <v>COMIDA</v>
      </c>
      <c r="G4104" s="4" t="s">
        <v>33</v>
      </c>
      <c r="H4104" s="1">
        <v>405</v>
      </c>
    </row>
    <row r="4105" spans="2:8" x14ac:dyDescent="0.2">
      <c r="B4105" t="str">
        <f>VLOOKUP(G4105,PC!B:D,3,FALSE)</f>
        <v>CPV</v>
      </c>
      <c r="C4105" s="22">
        <v>2024</v>
      </c>
      <c r="D4105" t="s">
        <v>110</v>
      </c>
      <c r="E4105" t="s">
        <v>129</v>
      </c>
      <c r="F4105" t="str">
        <f>VLOOKUP(G4105,PC!B:D,2,FALSE)</f>
        <v>BEBIDAS</v>
      </c>
      <c r="G4105" s="4" t="s">
        <v>39</v>
      </c>
      <c r="H4105" s="1">
        <v>131.9</v>
      </c>
    </row>
    <row r="4106" spans="2:8" x14ac:dyDescent="0.2">
      <c r="B4106" t="str">
        <f>VLOOKUP(G4106,PC!B:D,3,FALSE)</f>
        <v>CPV</v>
      </c>
      <c r="C4106" s="22">
        <v>2024</v>
      </c>
      <c r="D4106" t="s">
        <v>110</v>
      </c>
      <c r="E4106" t="s">
        <v>129</v>
      </c>
      <c r="F4106" t="str">
        <f>VLOOKUP(G4106,PC!B:D,2,FALSE)</f>
        <v>COMIDA</v>
      </c>
      <c r="G4106" s="4" t="s">
        <v>12</v>
      </c>
      <c r="H4106" s="1">
        <v>87.5</v>
      </c>
    </row>
    <row r="4107" spans="2:8" x14ac:dyDescent="0.2">
      <c r="B4107" t="str">
        <f>VLOOKUP(G4107,PC!B:D,3,FALSE)</f>
        <v>CPV</v>
      </c>
      <c r="C4107" s="22">
        <v>2024</v>
      </c>
      <c r="D4107" t="s">
        <v>110</v>
      </c>
      <c r="E4107" t="s">
        <v>129</v>
      </c>
      <c r="F4107" t="str">
        <f>VLOOKUP(G4107,PC!B:D,2,FALSE)</f>
        <v>SOBREMESA</v>
      </c>
      <c r="G4107" s="4" t="s">
        <v>7</v>
      </c>
      <c r="H4107" s="1">
        <v>30</v>
      </c>
    </row>
    <row r="4108" spans="2:8" x14ac:dyDescent="0.2">
      <c r="B4108" t="str">
        <f>VLOOKUP(G4108,PC!B:D,3,FALSE)</f>
        <v>CPV</v>
      </c>
      <c r="C4108" s="22">
        <v>2024</v>
      </c>
      <c r="D4108" t="s">
        <v>110</v>
      </c>
      <c r="E4108" t="s">
        <v>129</v>
      </c>
      <c r="F4108" t="str">
        <f>VLOOKUP(G4108,PC!B:D,2,FALSE)</f>
        <v>CIGARRO</v>
      </c>
      <c r="G4108" s="4" t="s">
        <v>57</v>
      </c>
      <c r="H4108" s="1">
        <v>1062</v>
      </c>
    </row>
    <row r="4109" spans="2:8" x14ac:dyDescent="0.2">
      <c r="B4109" t="str">
        <f>VLOOKUP(G4109,PC!B:D,3,FALSE)</f>
        <v>CPV</v>
      </c>
      <c r="C4109" s="22">
        <v>2024</v>
      </c>
      <c r="D4109" t="s">
        <v>110</v>
      </c>
      <c r="E4109" t="s">
        <v>129</v>
      </c>
      <c r="F4109" t="str">
        <f>VLOOKUP(G4109,PC!B:D,2,FALSE)</f>
        <v>SOBREMESA</v>
      </c>
      <c r="G4109" s="4" t="s">
        <v>23</v>
      </c>
      <c r="H4109" s="1">
        <v>236.7</v>
      </c>
    </row>
    <row r="4110" spans="2:8" x14ac:dyDescent="0.2">
      <c r="B4110" t="str">
        <f>VLOOKUP(G4110,PC!B:D,3,FALSE)</f>
        <v>CPV</v>
      </c>
      <c r="C4110" s="22">
        <v>2024</v>
      </c>
      <c r="D4110" t="s">
        <v>110</v>
      </c>
      <c r="E4110" t="s">
        <v>129</v>
      </c>
      <c r="F4110" t="str">
        <f>VLOOKUP(G4110,PC!B:D,2,FALSE)</f>
        <v>SOBREMESA</v>
      </c>
      <c r="G4110" s="4" t="s">
        <v>7</v>
      </c>
      <c r="H4110" s="1">
        <v>52</v>
      </c>
    </row>
    <row r="4111" spans="2:8" x14ac:dyDescent="0.2">
      <c r="B4111" t="str">
        <f>VLOOKUP(G4111,PC!B:D,3,FALSE)</f>
        <v>CPV</v>
      </c>
      <c r="C4111" s="22">
        <v>2024</v>
      </c>
      <c r="D4111" t="s">
        <v>110</v>
      </c>
      <c r="E4111" t="s">
        <v>129</v>
      </c>
      <c r="F4111" t="str">
        <f>VLOOKUP(G4111,PC!B:D,2,FALSE)</f>
        <v>COMIDA</v>
      </c>
      <c r="G4111" s="4" t="s">
        <v>33</v>
      </c>
      <c r="H4111" s="1">
        <v>48</v>
      </c>
    </row>
    <row r="4112" spans="2:8" x14ac:dyDescent="0.2">
      <c r="B4112" t="str">
        <f>VLOOKUP(G4112,PC!B:D,3,FALSE)</f>
        <v>CPV</v>
      </c>
      <c r="C4112" s="22">
        <v>2024</v>
      </c>
      <c r="D4112" t="s">
        <v>110</v>
      </c>
      <c r="E4112" t="s">
        <v>129</v>
      </c>
      <c r="F4112" t="str">
        <f>VLOOKUP(G4112,PC!B:D,2,FALSE)</f>
        <v>COMIDA</v>
      </c>
      <c r="G4112" s="4" t="s">
        <v>22</v>
      </c>
      <c r="H4112" s="1">
        <v>77</v>
      </c>
    </row>
    <row r="4113" spans="2:8" x14ac:dyDescent="0.2">
      <c r="B4113" t="str">
        <f>VLOOKUP(G4113,PC!B:D,3,FALSE)</f>
        <v>CPV</v>
      </c>
      <c r="C4113" s="22">
        <v>2024</v>
      </c>
      <c r="D4113" t="s">
        <v>110</v>
      </c>
      <c r="E4113" t="s">
        <v>129</v>
      </c>
      <c r="F4113" t="str">
        <f>VLOOKUP(G4113,PC!B:D,2,FALSE)</f>
        <v>CIGARRO</v>
      </c>
      <c r="G4113" s="4" t="s">
        <v>57</v>
      </c>
      <c r="H4113" s="1">
        <v>1113</v>
      </c>
    </row>
    <row r="4114" spans="2:8" x14ac:dyDescent="0.2">
      <c r="B4114" t="str">
        <f>VLOOKUP(G4114,PC!B:D,3,FALSE)</f>
        <v>CPV</v>
      </c>
      <c r="C4114" s="22">
        <v>2024</v>
      </c>
      <c r="D4114" t="s">
        <v>110</v>
      </c>
      <c r="E4114" t="s">
        <v>129</v>
      </c>
      <c r="F4114" t="str">
        <f>VLOOKUP(G4114,PC!B:D,2,FALSE)</f>
        <v>COMIDA</v>
      </c>
      <c r="G4114" s="4" t="s">
        <v>29</v>
      </c>
      <c r="H4114" s="1">
        <v>113.22</v>
      </c>
    </row>
    <row r="4115" spans="2:8" x14ac:dyDescent="0.2">
      <c r="B4115" t="str">
        <f>VLOOKUP(G4115,PC!B:D,3,FALSE)</f>
        <v>CPV</v>
      </c>
      <c r="C4115" s="22">
        <v>2024</v>
      </c>
      <c r="D4115" t="s">
        <v>110</v>
      </c>
      <c r="E4115" t="s">
        <v>129</v>
      </c>
      <c r="F4115" t="str">
        <f>VLOOKUP(G4115,PC!B:D,2,FALSE)</f>
        <v>OUTROS</v>
      </c>
      <c r="G4115" s="4" t="s">
        <v>37</v>
      </c>
      <c r="H4115" s="1">
        <v>385.26</v>
      </c>
    </row>
    <row r="4116" spans="2:8" x14ac:dyDescent="0.2">
      <c r="B4116" t="str">
        <f>VLOOKUP(G4116,PC!B:D,3,FALSE)</f>
        <v>CPV</v>
      </c>
      <c r="C4116" s="22">
        <v>2024</v>
      </c>
      <c r="D4116" t="s">
        <v>110</v>
      </c>
      <c r="E4116" t="s">
        <v>129</v>
      </c>
      <c r="F4116" t="str">
        <f>VLOOKUP(G4116,PC!B:D,2,FALSE)</f>
        <v>COMIDA</v>
      </c>
      <c r="G4116" s="4" t="s">
        <v>155</v>
      </c>
      <c r="H4116" s="1">
        <v>840</v>
      </c>
    </row>
    <row r="4117" spans="2:8" x14ac:dyDescent="0.2">
      <c r="B4117" t="str">
        <f>VLOOKUP(G4117,PC!B:D,3,FALSE)</f>
        <v>CPV</v>
      </c>
      <c r="C4117" s="22">
        <v>2024</v>
      </c>
      <c r="D4117" t="s">
        <v>110</v>
      </c>
      <c r="E4117" t="s">
        <v>129</v>
      </c>
      <c r="F4117" t="str">
        <f>VLOOKUP(G4117,PC!B:D,2,FALSE)</f>
        <v>BEBIDAS</v>
      </c>
      <c r="G4117" s="4" t="s">
        <v>51</v>
      </c>
      <c r="H4117" s="1">
        <v>551.4</v>
      </c>
    </row>
    <row r="4118" spans="2:8" x14ac:dyDescent="0.2">
      <c r="B4118" t="str">
        <f>VLOOKUP(G4118,PC!B:D,3,FALSE)</f>
        <v>CPV</v>
      </c>
      <c r="C4118" s="22">
        <v>2024</v>
      </c>
      <c r="D4118" t="s">
        <v>110</v>
      </c>
      <c r="E4118" t="s">
        <v>129</v>
      </c>
      <c r="F4118" t="str">
        <f>VLOOKUP(G4118,PC!B:D,2,FALSE)</f>
        <v>COMIDA</v>
      </c>
      <c r="G4118" s="4" t="s">
        <v>33</v>
      </c>
      <c r="H4118" s="1">
        <v>60</v>
      </c>
    </row>
    <row r="4119" spans="2:8" x14ac:dyDescent="0.2">
      <c r="B4119" t="str">
        <f>VLOOKUP(G4119,PC!B:D,3,FALSE)</f>
        <v>CPV</v>
      </c>
      <c r="C4119" s="22">
        <v>2024</v>
      </c>
      <c r="D4119" t="s">
        <v>110</v>
      </c>
      <c r="E4119" t="s">
        <v>129</v>
      </c>
      <c r="F4119" t="str">
        <f>VLOOKUP(G4119,PC!B:D,2,FALSE)</f>
        <v>COMIDA</v>
      </c>
      <c r="G4119" s="4" t="s">
        <v>12</v>
      </c>
      <c r="H4119" s="1">
        <v>262.5</v>
      </c>
    </row>
    <row r="4120" spans="2:8" x14ac:dyDescent="0.2">
      <c r="B4120" t="str">
        <f>VLOOKUP(G4120,PC!B:D,3,FALSE)</f>
        <v>CPV</v>
      </c>
      <c r="C4120" s="22">
        <v>2024</v>
      </c>
      <c r="D4120" t="s">
        <v>110</v>
      </c>
      <c r="E4120" t="s">
        <v>129</v>
      </c>
      <c r="F4120" t="str">
        <f>VLOOKUP(G4120,PC!B:D,2,FALSE)</f>
        <v>SOBREMESA</v>
      </c>
      <c r="G4120" s="4" t="s">
        <v>7</v>
      </c>
      <c r="H4120" s="1">
        <v>196</v>
      </c>
    </row>
    <row r="4121" spans="2:8" x14ac:dyDescent="0.2">
      <c r="B4121" t="str">
        <f>VLOOKUP(G4121,PC!B:D,3,FALSE)</f>
        <v>CPV</v>
      </c>
      <c r="C4121" s="22">
        <v>2024</v>
      </c>
      <c r="D4121" t="s">
        <v>110</v>
      </c>
      <c r="E4121" t="s">
        <v>129</v>
      </c>
      <c r="F4121" t="str">
        <f>VLOOKUP(G4121,PC!B:D,2,FALSE)</f>
        <v>COMIDA</v>
      </c>
      <c r="G4121" s="4" t="s">
        <v>155</v>
      </c>
      <c r="H4121" s="1">
        <v>205</v>
      </c>
    </row>
    <row r="4122" spans="2:8" x14ac:dyDescent="0.2">
      <c r="B4122" t="str">
        <f>VLOOKUP(G4122,PC!B:D,3,FALSE)</f>
        <v>CPV</v>
      </c>
      <c r="C4122" s="22">
        <v>2024</v>
      </c>
      <c r="D4122" t="s">
        <v>110</v>
      </c>
      <c r="E4122" t="s">
        <v>129</v>
      </c>
      <c r="F4122" t="str">
        <f>VLOOKUP(G4122,PC!B:D,2,FALSE)</f>
        <v>SOBREMESA</v>
      </c>
      <c r="G4122" s="4" t="s">
        <v>7</v>
      </c>
      <c r="H4122" s="1">
        <v>58</v>
      </c>
    </row>
    <row r="4123" spans="2:8" x14ac:dyDescent="0.2">
      <c r="B4123" t="str">
        <f>VLOOKUP(G4123,PC!B:D,3,FALSE)</f>
        <v>CPV</v>
      </c>
      <c r="C4123" s="22">
        <v>2024</v>
      </c>
      <c r="D4123" t="s">
        <v>110</v>
      </c>
      <c r="E4123" t="s">
        <v>129</v>
      </c>
      <c r="F4123" t="str">
        <f>VLOOKUP(G4123,PC!B:D,2,FALSE)</f>
        <v>CIGARRO</v>
      </c>
      <c r="G4123" s="4" t="s">
        <v>57</v>
      </c>
      <c r="H4123" s="1">
        <v>1254</v>
      </c>
    </row>
    <row r="4124" spans="2:8" x14ac:dyDescent="0.2">
      <c r="B4124" t="str">
        <f>VLOOKUP(G4124,PC!B:D,3,FALSE)</f>
        <v>CPV</v>
      </c>
      <c r="C4124" s="22">
        <v>2024</v>
      </c>
      <c r="D4124" t="s">
        <v>110</v>
      </c>
      <c r="E4124" t="s">
        <v>129</v>
      </c>
      <c r="F4124" t="str">
        <f>VLOOKUP(G4124,PC!B:D,2,FALSE)</f>
        <v>OUTROS</v>
      </c>
      <c r="G4124" s="4" t="s">
        <v>58</v>
      </c>
      <c r="H4124" s="1">
        <v>192</v>
      </c>
    </row>
    <row r="4125" spans="2:8" x14ac:dyDescent="0.2">
      <c r="B4125" t="str">
        <f>VLOOKUP(G4125,PC!B:D,3,FALSE)</f>
        <v>CPV</v>
      </c>
      <c r="C4125" s="22">
        <v>2024</v>
      </c>
      <c r="D4125" t="s">
        <v>110</v>
      </c>
      <c r="E4125" t="s">
        <v>129</v>
      </c>
      <c r="F4125" t="str">
        <f>VLOOKUP(G4125,PC!B:D,2,FALSE)</f>
        <v>COMIDA</v>
      </c>
      <c r="G4125" s="4" t="s">
        <v>155</v>
      </c>
      <c r="H4125" s="1">
        <v>410</v>
      </c>
    </row>
    <row r="4126" spans="2:8" x14ac:dyDescent="0.2">
      <c r="B4126" t="str">
        <f>VLOOKUP(G4126,PC!B:D,3,FALSE)</f>
        <v>CPV</v>
      </c>
      <c r="C4126" s="22">
        <v>2024</v>
      </c>
      <c r="D4126" t="s">
        <v>110</v>
      </c>
      <c r="E4126" t="s">
        <v>129</v>
      </c>
      <c r="F4126" t="str">
        <f>VLOOKUP(G4126,PC!B:D,2,FALSE)</f>
        <v>COMIDA</v>
      </c>
      <c r="G4126" s="4" t="s">
        <v>155</v>
      </c>
      <c r="H4126" s="1">
        <v>470</v>
      </c>
    </row>
    <row r="4127" spans="2:8" x14ac:dyDescent="0.2">
      <c r="B4127" t="str">
        <f>VLOOKUP(G4127,PC!B:D,3,FALSE)</f>
        <v>CPV</v>
      </c>
      <c r="C4127" s="22">
        <v>2024</v>
      </c>
      <c r="D4127" t="s">
        <v>110</v>
      </c>
      <c r="E4127" t="s">
        <v>129</v>
      </c>
      <c r="F4127" t="str">
        <f>VLOOKUP(G4127,PC!B:D,2,FALSE)</f>
        <v>CIGARRO</v>
      </c>
      <c r="G4127" s="4" t="s">
        <v>57</v>
      </c>
      <c r="H4127" s="1">
        <v>402</v>
      </c>
    </row>
    <row r="4128" spans="2:8" x14ac:dyDescent="0.2">
      <c r="B4128" t="str">
        <f>VLOOKUP(G4128,PC!B:D,3,FALSE)</f>
        <v>CPV</v>
      </c>
      <c r="C4128" s="22">
        <v>2024</v>
      </c>
      <c r="D4128" t="s">
        <v>110</v>
      </c>
      <c r="E4128" t="s">
        <v>129</v>
      </c>
      <c r="F4128" t="str">
        <f>VLOOKUP(G4128,PC!B:D,2,FALSE)</f>
        <v>BEBIDAS</v>
      </c>
      <c r="G4128" s="4" t="s">
        <v>48</v>
      </c>
      <c r="H4128" s="1">
        <f>211.2+306+204</f>
        <v>721.2</v>
      </c>
    </row>
    <row r="4129" spans="2:8" x14ac:dyDescent="0.2">
      <c r="B4129" t="str">
        <f>VLOOKUP(G4129,PC!B:D,3,FALSE)</f>
        <v>CPV</v>
      </c>
      <c r="C4129" s="22">
        <v>2024</v>
      </c>
      <c r="D4129" t="s">
        <v>110</v>
      </c>
      <c r="E4129" t="s">
        <v>129</v>
      </c>
      <c r="F4129" t="str">
        <f>VLOOKUP(G4129,PC!B:D,2,FALSE)</f>
        <v>LIMPEZA</v>
      </c>
      <c r="G4129" s="4" t="s">
        <v>43</v>
      </c>
      <c r="H4129" s="1">
        <v>516</v>
      </c>
    </row>
    <row r="4130" spans="2:8" x14ac:dyDescent="0.2">
      <c r="B4130" t="str">
        <f>VLOOKUP(G4130,PC!B:D,3,FALSE)</f>
        <v>CPV</v>
      </c>
      <c r="C4130" s="22">
        <v>2024</v>
      </c>
      <c r="D4130" t="s">
        <v>110</v>
      </c>
      <c r="E4130" t="s">
        <v>129</v>
      </c>
      <c r="F4130" t="str">
        <f>VLOOKUP(G4130,PC!B:D,2,FALSE)</f>
        <v>SOBREMESA</v>
      </c>
      <c r="G4130" s="4" t="s">
        <v>75</v>
      </c>
      <c r="H4130" s="1">
        <f>416.88+520</f>
        <v>936.88</v>
      </c>
    </row>
    <row r="4131" spans="2:8" x14ac:dyDescent="0.2">
      <c r="B4131" t="str">
        <f>VLOOKUP(G4131,PC!B:D,3,FALSE)</f>
        <v>SERV. PUBLICOS</v>
      </c>
      <c r="C4131" s="22">
        <v>2024</v>
      </c>
      <c r="D4131" t="s">
        <v>110</v>
      </c>
      <c r="F4131" t="str">
        <f>VLOOKUP(G4131,PC!B:D,2,FALSE)</f>
        <v>SERV. PUBLICOS</v>
      </c>
      <c r="G4131" s="4" t="s">
        <v>91</v>
      </c>
      <c r="H4131" s="1">
        <v>523.65</v>
      </c>
    </row>
    <row r="4132" spans="2:8" x14ac:dyDescent="0.2">
      <c r="B4132" t="str">
        <f>VLOOKUP(G4132,PC!B:D,3,FALSE)</f>
        <v>DESPESA OPERACIONAL</v>
      </c>
      <c r="C4132" s="22">
        <v>2024</v>
      </c>
      <c r="D4132" t="s">
        <v>110</v>
      </c>
      <c r="F4132" t="str">
        <f>VLOOKUP(G4132,PC!B:D,2,FALSE)</f>
        <v>DESPESA OPERACIONAL</v>
      </c>
      <c r="G4132" s="4" t="s">
        <v>70</v>
      </c>
      <c r="H4132" s="1">
        <v>107</v>
      </c>
    </row>
    <row r="4133" spans="2:8" x14ac:dyDescent="0.2">
      <c r="B4133" t="str">
        <f>VLOOKUP(G4133,PC!B:D,3,FALSE)</f>
        <v>RECEITA</v>
      </c>
      <c r="C4133" s="22">
        <v>2024</v>
      </c>
      <c r="D4133" t="s">
        <v>110</v>
      </c>
      <c r="F4133" t="str">
        <f>VLOOKUP(G4133,PC!B:D,2,FALSE)</f>
        <v>RECEITA</v>
      </c>
      <c r="G4133" s="4" t="s">
        <v>54</v>
      </c>
      <c r="H4133" s="1">
        <f>107+39+400+79+50+1750+70+80+35+1050+10+22+2050+270+55+500+320+135.5+204+288+2600+500+100+850+300+36+415+1200+600+750+2800+200</f>
        <v>17865.5</v>
      </c>
    </row>
    <row r="4134" spans="2:8" x14ac:dyDescent="0.2">
      <c r="B4134" t="str">
        <f>VLOOKUP(G4134,PC!B:D,3,FALSE)</f>
        <v>DESPESA PESSOAL</v>
      </c>
      <c r="C4134" s="22">
        <v>2024</v>
      </c>
      <c r="D4134" t="s">
        <v>110</v>
      </c>
      <c r="F4134" t="str">
        <f>VLOOKUP(G4134,PC!B:D,2,FALSE)</f>
        <v>DESPESA PESSOAL</v>
      </c>
      <c r="G4134" s="4" t="s">
        <v>68</v>
      </c>
      <c r="H4134" s="1">
        <v>80</v>
      </c>
    </row>
    <row r="4135" spans="2:8" x14ac:dyDescent="0.2">
      <c r="B4135" t="str">
        <f>VLOOKUP(G4135,PC!B:D,3,FALSE)</f>
        <v>CPV</v>
      </c>
      <c r="C4135" s="22">
        <v>2024</v>
      </c>
      <c r="D4135" t="s">
        <v>110</v>
      </c>
      <c r="E4135" t="s">
        <v>129</v>
      </c>
      <c r="F4135" t="str">
        <f>VLOOKUP(G4135,PC!B:D,2,FALSE)</f>
        <v>COMIDA</v>
      </c>
      <c r="G4135" s="4" t="s">
        <v>12</v>
      </c>
      <c r="H4135" s="1">
        <v>22</v>
      </c>
    </row>
    <row r="4136" spans="2:8" x14ac:dyDescent="0.2">
      <c r="B4136" t="str">
        <f>VLOOKUP(G4136,PC!B:D,3,FALSE)</f>
        <v>CPV</v>
      </c>
      <c r="C4136" s="22">
        <v>2024</v>
      </c>
      <c r="D4136" t="s">
        <v>110</v>
      </c>
      <c r="E4136" t="s">
        <v>129</v>
      </c>
      <c r="F4136" t="str">
        <f>VLOOKUP(G4136,PC!B:D,2,FALSE)</f>
        <v>COMIDA</v>
      </c>
      <c r="G4136" s="4" t="s">
        <v>146</v>
      </c>
      <c r="H4136" s="1">
        <v>35</v>
      </c>
    </row>
    <row r="4137" spans="2:8" x14ac:dyDescent="0.2">
      <c r="B4137" t="str">
        <f>VLOOKUP(G4137,PC!B:D,3,FALSE)</f>
        <v>CPV</v>
      </c>
      <c r="C4137" s="22">
        <v>2024</v>
      </c>
      <c r="D4137" t="s">
        <v>110</v>
      </c>
      <c r="E4137" t="s">
        <v>129</v>
      </c>
      <c r="F4137" t="str">
        <f>VLOOKUP(G4137,PC!B:D,2,FALSE)</f>
        <v>COMIDA</v>
      </c>
      <c r="G4137" s="4" t="s">
        <v>12</v>
      </c>
      <c r="H4137" s="1">
        <v>288</v>
      </c>
    </row>
    <row r="4138" spans="2:8" x14ac:dyDescent="0.2">
      <c r="B4138" t="str">
        <f>VLOOKUP(G4138,PC!B:D,3,FALSE)</f>
        <v>DESPESA PESSOAL</v>
      </c>
      <c r="C4138" s="22">
        <v>2024</v>
      </c>
      <c r="D4138" t="s">
        <v>110</v>
      </c>
      <c r="F4138" t="str">
        <f>VLOOKUP(G4138,PC!B:D,2,FALSE)</f>
        <v>DESPESA PESSOAL</v>
      </c>
      <c r="G4138" s="4" t="s">
        <v>56</v>
      </c>
      <c r="H4138" s="1">
        <v>415</v>
      </c>
    </row>
    <row r="4139" spans="2:8" x14ac:dyDescent="0.2">
      <c r="B4139" t="str">
        <f>VLOOKUP(G4139,PC!B:D,3,FALSE)</f>
        <v>RECEITA</v>
      </c>
      <c r="C4139" s="22">
        <v>2024</v>
      </c>
      <c r="D4139" t="s">
        <v>110</v>
      </c>
      <c r="F4139" t="str">
        <f>VLOOKUP(G4139,PC!B:D,2,FALSE)</f>
        <v>RECEITA</v>
      </c>
      <c r="G4139" s="4" t="s">
        <v>54</v>
      </c>
      <c r="H4139" s="1">
        <f>800+100+45+1550+40+370+600+1050+2400+198+40+95+135+87.5+300+52+1300+44+40+900+1900+55+550+204</f>
        <v>12855.5</v>
      </c>
    </row>
    <row r="4140" spans="2:8" x14ac:dyDescent="0.2">
      <c r="B4140" t="str">
        <f>VLOOKUP(G4140,PC!B:D,3,FALSE)</f>
        <v>RECEITA</v>
      </c>
      <c r="C4140" s="22">
        <v>2024</v>
      </c>
      <c r="D4140" t="s">
        <v>110</v>
      </c>
      <c r="F4140" t="str">
        <f>VLOOKUP(G4140,PC!B:D,2,FALSE)</f>
        <v>RECEITA</v>
      </c>
      <c r="G4140" s="4" t="s">
        <v>59</v>
      </c>
      <c r="H4140" s="50">
        <v>3090</v>
      </c>
    </row>
    <row r="4141" spans="2:8" x14ac:dyDescent="0.2">
      <c r="B4141" t="e">
        <f>VLOOKUP(G4141,PC!B:D,3,FALSE)</f>
        <v>#N/A</v>
      </c>
      <c r="C4141" s="22">
        <v>2024</v>
      </c>
      <c r="D4141" t="s">
        <v>110</v>
      </c>
      <c r="F4141" t="e">
        <f>VLOOKUP(G4141,PC!B:D,2,FALSE)</f>
        <v>#N/A</v>
      </c>
      <c r="G4141" s="4" t="s">
        <v>231</v>
      </c>
      <c r="H4141" s="1">
        <v>45</v>
      </c>
    </row>
    <row r="4142" spans="2:8" x14ac:dyDescent="0.2">
      <c r="B4142" t="str">
        <f>VLOOKUP(G4142,PC!B:D,3,FALSE)</f>
        <v>DESPESA PESSOAL</v>
      </c>
      <c r="C4142" s="22">
        <v>2024</v>
      </c>
      <c r="D4142" t="s">
        <v>110</v>
      </c>
      <c r="F4142" t="str">
        <f>VLOOKUP(G4142,PC!B:D,2,FALSE)</f>
        <v>DESPESA PESSOAL</v>
      </c>
      <c r="G4142" s="4" t="s">
        <v>68</v>
      </c>
      <c r="H4142" s="1">
        <f>100+40</f>
        <v>140</v>
      </c>
    </row>
    <row r="4143" spans="2:8" x14ac:dyDescent="0.2">
      <c r="B4143" t="str">
        <f>VLOOKUP(G4143,PC!B:D,3,FALSE)</f>
        <v>CPV</v>
      </c>
      <c r="C4143" s="22">
        <v>2024</v>
      </c>
      <c r="D4143" t="s">
        <v>110</v>
      </c>
      <c r="E4143" t="s">
        <v>129</v>
      </c>
      <c r="F4143" t="str">
        <f>VLOOKUP(G4143,PC!B:D,2,FALSE)</f>
        <v>COMIDA</v>
      </c>
      <c r="G4143" s="4" t="s">
        <v>12</v>
      </c>
      <c r="H4143" s="1">
        <v>40</v>
      </c>
    </row>
    <row r="4144" spans="2:8" x14ac:dyDescent="0.2">
      <c r="B4144" t="str">
        <f>VLOOKUP(G4144,PC!B:D,3,FALSE)</f>
        <v>RECEITA</v>
      </c>
      <c r="C4144" s="22">
        <v>2024</v>
      </c>
      <c r="D4144" t="s">
        <v>110</v>
      </c>
      <c r="F4144" t="str">
        <f>VLOOKUP(G4144,PC!B:D,2,FALSE)</f>
        <v>RECEITA</v>
      </c>
      <c r="G4144" s="4" t="s">
        <v>54</v>
      </c>
      <c r="H4144" s="1">
        <f>236.7+82.5+99.8+2000+58+48+40+1200+144+2000+2000+1100+1200+6000+650+250+240+650+20+1500+159+75+192+350+30</f>
        <v>20325</v>
      </c>
    </row>
    <row r="4145" spans="2:8" x14ac:dyDescent="0.2">
      <c r="B4145" t="e">
        <f>VLOOKUP(G4145,PC!B:D,3,FALSE)</f>
        <v>#N/A</v>
      </c>
      <c r="C4145" s="22">
        <v>2024</v>
      </c>
      <c r="D4145" t="s">
        <v>110</v>
      </c>
      <c r="F4145" t="e">
        <f>VLOOKUP(G4145,PC!B:D,2,FALSE)</f>
        <v>#N/A</v>
      </c>
      <c r="G4145" s="4" t="s">
        <v>157</v>
      </c>
      <c r="H4145" s="1">
        <v>192.59</v>
      </c>
    </row>
    <row r="4146" spans="2:8" x14ac:dyDescent="0.2">
      <c r="B4146" t="str">
        <f>VLOOKUP(G4146,PC!B:D,3,FALSE)</f>
        <v>DESPESA PESSOAL</v>
      </c>
      <c r="C4146" s="22">
        <v>2024</v>
      </c>
      <c r="D4146" t="s">
        <v>110</v>
      </c>
      <c r="F4146" t="str">
        <f>VLOOKUP(G4146,PC!B:D,2,FALSE)</f>
        <v>DESPESA PESSOAL</v>
      </c>
      <c r="G4146" s="4" t="s">
        <v>115</v>
      </c>
      <c r="H4146" s="1">
        <v>108</v>
      </c>
    </row>
    <row r="4147" spans="2:8" x14ac:dyDescent="0.2">
      <c r="B4147" t="str">
        <f>VLOOKUP(G4147,PC!B:D,3,FALSE)</f>
        <v>DESPESA FINANCEIRA</v>
      </c>
      <c r="C4147" s="22">
        <v>2024</v>
      </c>
      <c r="D4147" t="s">
        <v>110</v>
      </c>
      <c r="F4147" t="str">
        <f>VLOOKUP(G4147,PC!B:D,2,FALSE)</f>
        <v>DESPESA FINANCEIRA</v>
      </c>
      <c r="G4147" s="4" t="s">
        <v>90</v>
      </c>
      <c r="H4147" s="1">
        <v>721.06</v>
      </c>
    </row>
    <row r="4148" spans="2:8" x14ac:dyDescent="0.2">
      <c r="B4148" t="str">
        <f>VLOOKUP(G4148,PC!B:D,3,FALSE)</f>
        <v>DESCONTO DE FATURAMENTO</v>
      </c>
      <c r="C4148" s="22">
        <v>2024</v>
      </c>
      <c r="D4148" t="s">
        <v>110</v>
      </c>
      <c r="F4148" t="str">
        <f>VLOOKUP(G4148,PC!B:D,2,FALSE)</f>
        <v>IMPOSTO</v>
      </c>
      <c r="G4148" s="4" t="s">
        <v>88</v>
      </c>
      <c r="H4148" s="1">
        <v>4976.22</v>
      </c>
    </row>
    <row r="4149" spans="2:8" x14ac:dyDescent="0.2">
      <c r="B4149" t="str">
        <f>VLOOKUP(G4149,PC!B:D,3,FALSE)</f>
        <v>SERV.TERCEIROS</v>
      </c>
      <c r="C4149" s="22">
        <v>2024</v>
      </c>
      <c r="D4149" t="s">
        <v>110</v>
      </c>
      <c r="F4149" t="str">
        <f>VLOOKUP(G4149,PC!B:D,2,FALSE)</f>
        <v>SERV.TERCEIROS</v>
      </c>
      <c r="G4149" s="4" t="s">
        <v>60</v>
      </c>
      <c r="H4149" s="1">
        <v>440</v>
      </c>
    </row>
    <row r="4150" spans="2:8" x14ac:dyDescent="0.2">
      <c r="B4150" t="str">
        <f>VLOOKUP(G4150,PC!B:D,3,FALSE)</f>
        <v>CPV</v>
      </c>
      <c r="C4150" s="22">
        <v>2024</v>
      </c>
      <c r="D4150" t="s">
        <v>110</v>
      </c>
      <c r="E4150" t="s">
        <v>129</v>
      </c>
      <c r="F4150" t="str">
        <f>VLOOKUP(G4150,PC!B:D,2,FALSE)</f>
        <v>OUTROS</v>
      </c>
      <c r="G4150" s="4" t="s">
        <v>37</v>
      </c>
      <c r="H4150" s="1">
        <v>180</v>
      </c>
    </row>
    <row r="4151" spans="2:8" x14ac:dyDescent="0.2">
      <c r="B4151" t="str">
        <f>VLOOKUP(G4151,PC!B:D,3,FALSE)</f>
        <v>CPV</v>
      </c>
      <c r="C4151" s="22">
        <v>2024</v>
      </c>
      <c r="D4151" t="s">
        <v>110</v>
      </c>
      <c r="E4151" t="s">
        <v>129</v>
      </c>
      <c r="F4151" t="str">
        <f>VLOOKUP(G4151,PC!B:D,2,FALSE)</f>
        <v>OUTROS</v>
      </c>
      <c r="G4151" s="4" t="s">
        <v>37</v>
      </c>
      <c r="H4151" s="1">
        <v>132</v>
      </c>
    </row>
    <row r="4152" spans="2:8" x14ac:dyDescent="0.2">
      <c r="B4152" t="str">
        <f>VLOOKUP(G4152,PC!B:D,3,FALSE)</f>
        <v>DESPESA OPERACIONAL</v>
      </c>
      <c r="C4152" s="22">
        <v>2024</v>
      </c>
      <c r="D4152" t="s">
        <v>110</v>
      </c>
      <c r="F4152" t="str">
        <f>VLOOKUP(G4152,PC!B:D,2,FALSE)</f>
        <v>DESPESA OPERACIONAL</v>
      </c>
      <c r="G4152" s="4" t="s">
        <v>70</v>
      </c>
      <c r="H4152" s="1">
        <v>159</v>
      </c>
    </row>
    <row r="4153" spans="2:8" x14ac:dyDescent="0.2">
      <c r="B4153" t="str">
        <f>VLOOKUP(G4153,PC!B:D,3,FALSE)</f>
        <v>CPV</v>
      </c>
      <c r="C4153" s="22">
        <v>2024</v>
      </c>
      <c r="D4153" t="s">
        <v>110</v>
      </c>
      <c r="E4153" t="s">
        <v>129</v>
      </c>
      <c r="F4153" t="str">
        <f>VLOOKUP(G4153,PC!B:D,2,FALSE)</f>
        <v>COMIDA</v>
      </c>
      <c r="G4153" s="4" t="s">
        <v>33</v>
      </c>
      <c r="H4153" s="1">
        <v>1200</v>
      </c>
    </row>
    <row r="4154" spans="2:8" x14ac:dyDescent="0.2">
      <c r="B4154" t="str">
        <f>VLOOKUP(G4154,PC!B:D,3,FALSE)</f>
        <v>RECEITA</v>
      </c>
      <c r="C4154" s="22">
        <v>2024</v>
      </c>
      <c r="D4154" t="s">
        <v>110</v>
      </c>
      <c r="F4154" t="str">
        <f>VLOOKUP(G4154,PC!B:D,2,FALSE)</f>
        <v>RECEITA</v>
      </c>
      <c r="G4154" s="4" t="s">
        <v>54</v>
      </c>
      <c r="H4154" s="1">
        <f>100+1700+79+37+215+350+200+72+1850+650+400+60+237+130+20+2100+180+1150+2100+99+1850+200+450+1400+200+45</f>
        <v>15874</v>
      </c>
    </row>
    <row r="4155" spans="2:8" x14ac:dyDescent="0.2">
      <c r="B4155" t="e">
        <f>VLOOKUP(G4155,PC!B:D,3,FALSE)</f>
        <v>#N/A</v>
      </c>
      <c r="C4155" s="22">
        <v>2024</v>
      </c>
      <c r="D4155" t="s">
        <v>110</v>
      </c>
      <c r="F4155" t="e">
        <f>VLOOKUP(G4155,PC!B:D,2,FALSE)</f>
        <v>#N/A</v>
      </c>
      <c r="G4155" s="4" t="s">
        <v>231</v>
      </c>
      <c r="H4155" s="1">
        <v>45</v>
      </c>
    </row>
    <row r="4156" spans="2:8" x14ac:dyDescent="0.2">
      <c r="B4156" t="str">
        <f>VLOOKUP(G4156,PC!B:D,3,FALSE)</f>
        <v>CPV</v>
      </c>
      <c r="C4156" s="22">
        <v>2024</v>
      </c>
      <c r="D4156" t="s">
        <v>110</v>
      </c>
      <c r="E4156" t="s">
        <v>129</v>
      </c>
      <c r="F4156" t="str">
        <f>VLOOKUP(G4156,PC!B:D,2,FALSE)</f>
        <v>OUTROS</v>
      </c>
      <c r="G4156" s="4" t="s">
        <v>37</v>
      </c>
      <c r="H4156" s="1">
        <v>72</v>
      </c>
    </row>
    <row r="4157" spans="2:8" x14ac:dyDescent="0.2">
      <c r="B4157" t="str">
        <f>VLOOKUP(G4157,PC!B:D,3,FALSE)</f>
        <v>CPV</v>
      </c>
      <c r="C4157" s="22">
        <v>2024</v>
      </c>
      <c r="D4157" t="s">
        <v>110</v>
      </c>
      <c r="E4157" t="s">
        <v>129</v>
      </c>
      <c r="F4157" t="str">
        <f>VLOOKUP(G4157,PC!B:D,2,FALSE)</f>
        <v>COMIDA</v>
      </c>
      <c r="G4157" s="4" t="s">
        <v>33</v>
      </c>
      <c r="H4157" s="1">
        <v>130</v>
      </c>
    </row>
    <row r="4158" spans="2:8" x14ac:dyDescent="0.2">
      <c r="B4158" t="str">
        <f>VLOOKUP(G4158,PC!B:D,3,FALSE)</f>
        <v>CPV</v>
      </c>
      <c r="C4158" s="22">
        <v>2024</v>
      </c>
      <c r="D4158" t="s">
        <v>110</v>
      </c>
      <c r="E4158" t="s">
        <v>129</v>
      </c>
      <c r="F4158" t="str">
        <f>VLOOKUP(G4158,PC!B:D,2,FALSE)</f>
        <v>OUTROS</v>
      </c>
      <c r="G4158" s="4" t="s">
        <v>37</v>
      </c>
      <c r="H4158" s="1">
        <v>40</v>
      </c>
    </row>
    <row r="4159" spans="2:8" x14ac:dyDescent="0.2">
      <c r="B4159" t="str">
        <f>VLOOKUP(G4159,PC!B:D,3,FALSE)</f>
        <v>CPV</v>
      </c>
      <c r="C4159" s="22">
        <v>2024</v>
      </c>
      <c r="D4159" t="s">
        <v>110</v>
      </c>
      <c r="E4159" t="s">
        <v>129</v>
      </c>
      <c r="F4159" t="str">
        <f>VLOOKUP(G4159,PC!B:D,2,FALSE)</f>
        <v>COMIDA</v>
      </c>
      <c r="G4159" s="4" t="s">
        <v>33</v>
      </c>
      <c r="H4159" s="1">
        <v>100</v>
      </c>
    </row>
    <row r="4160" spans="2:8" x14ac:dyDescent="0.2">
      <c r="B4160" t="str">
        <f>VLOOKUP(G4160,PC!B:D,3,FALSE)</f>
        <v>RECEITA</v>
      </c>
      <c r="C4160" s="22">
        <v>2024</v>
      </c>
      <c r="D4160" t="s">
        <v>110</v>
      </c>
      <c r="F4160" t="str">
        <f>VLOOKUP(G4160,PC!B:D,2,FALSE)</f>
        <v>RECEITA</v>
      </c>
      <c r="G4160" s="4" t="s">
        <v>54</v>
      </c>
      <c r="H4160" s="1">
        <f>1400+150+2500+196+152+400+205+262+26+48+58+1200+135+31+25+54+963.57+1050+44+31+27+643+2750</f>
        <v>12350.57</v>
      </c>
    </row>
    <row r="4161" spans="2:8" x14ac:dyDescent="0.2">
      <c r="B4161" t="str">
        <f>VLOOKUP(G4161,PC!B:D,3,FALSE)</f>
        <v>DESPESA OPERACIONAL</v>
      </c>
      <c r="C4161" s="22">
        <v>2024</v>
      </c>
      <c r="D4161" t="s">
        <v>110</v>
      </c>
      <c r="F4161" t="str">
        <f>VLOOKUP(G4161,PC!B:D,2,FALSE)</f>
        <v>DESPESA OPERACIONAL</v>
      </c>
      <c r="G4161" s="4" t="s">
        <v>70</v>
      </c>
      <c r="H4161" s="1">
        <v>152</v>
      </c>
    </row>
    <row r="4162" spans="2:8" x14ac:dyDescent="0.2">
      <c r="B4162" t="str">
        <f>VLOOKUP(G4162,PC!B:D,3,FALSE)</f>
        <v>DESPESA OPERACIONAL</v>
      </c>
      <c r="C4162" s="22">
        <v>2024</v>
      </c>
      <c r="D4162" t="s">
        <v>110</v>
      </c>
      <c r="F4162" t="str">
        <f>VLOOKUP(G4162,PC!B:D,2,FALSE)</f>
        <v>DESPESA OPERACIONAL</v>
      </c>
      <c r="G4162" s="4" t="s">
        <v>79</v>
      </c>
      <c r="H4162" s="1">
        <v>26</v>
      </c>
    </row>
    <row r="4163" spans="2:8" x14ac:dyDescent="0.2">
      <c r="B4163" t="str">
        <f>VLOOKUP(G4163,PC!B:D,3,FALSE)</f>
        <v>CPV</v>
      </c>
      <c r="C4163" s="22">
        <v>2024</v>
      </c>
      <c r="D4163" t="s">
        <v>110</v>
      </c>
      <c r="E4163" t="s">
        <v>129</v>
      </c>
      <c r="F4163" t="str">
        <f>VLOOKUP(G4163,PC!B:D,2,FALSE)</f>
        <v>COMIDA</v>
      </c>
      <c r="G4163" s="4" t="s">
        <v>12</v>
      </c>
      <c r="H4163" s="1">
        <v>48</v>
      </c>
    </row>
    <row r="4164" spans="2:8" x14ac:dyDescent="0.2">
      <c r="B4164" t="str">
        <f>VLOOKUP(G4164,PC!B:D,3,FALSE)</f>
        <v>CPV</v>
      </c>
      <c r="C4164" s="22">
        <v>2024</v>
      </c>
      <c r="D4164" t="s">
        <v>110</v>
      </c>
      <c r="E4164" t="s">
        <v>129</v>
      </c>
      <c r="F4164" t="str">
        <f>VLOOKUP(G4164,PC!B:D,2,FALSE)</f>
        <v>COMIDA</v>
      </c>
      <c r="G4164" s="4" t="s">
        <v>146</v>
      </c>
      <c r="H4164" s="1">
        <v>25</v>
      </c>
    </row>
    <row r="4165" spans="2:8" x14ac:dyDescent="0.2">
      <c r="B4165" t="str">
        <f>VLOOKUP(G4165,PC!B:D,3,FALSE)</f>
        <v>CPV</v>
      </c>
      <c r="C4165" s="22">
        <v>2024</v>
      </c>
      <c r="D4165" t="s">
        <v>110</v>
      </c>
      <c r="E4165" t="s">
        <v>129</v>
      </c>
      <c r="F4165" t="str">
        <f>VLOOKUP(G4165,PC!B:D,2,FALSE)</f>
        <v>COMIDA</v>
      </c>
      <c r="G4165" s="4" t="s">
        <v>12</v>
      </c>
      <c r="H4165" s="1">
        <v>135</v>
      </c>
    </row>
    <row r="4166" spans="2:8" x14ac:dyDescent="0.2">
      <c r="B4166" t="str">
        <f>VLOOKUP(G4166,PC!B:D,3,FALSE)</f>
        <v>CPV</v>
      </c>
      <c r="C4166" s="22">
        <v>2024</v>
      </c>
      <c r="D4166" t="s">
        <v>110</v>
      </c>
      <c r="E4166" t="s">
        <v>129</v>
      </c>
      <c r="F4166" t="str">
        <f>VLOOKUP(G4166,PC!B:D,2,FALSE)</f>
        <v>COMIDA</v>
      </c>
      <c r="G4166" s="4" t="s">
        <v>18</v>
      </c>
      <c r="H4166" s="1">
        <v>27.5</v>
      </c>
    </row>
    <row r="4167" spans="2:8" x14ac:dyDescent="0.2">
      <c r="B4167" t="str">
        <f>VLOOKUP(G4167,PC!B:D,3,FALSE)</f>
        <v>DESPESA OPERACIONAL</v>
      </c>
      <c r="C4167" s="22">
        <v>2024</v>
      </c>
      <c r="D4167" t="s">
        <v>110</v>
      </c>
      <c r="F4167" t="str">
        <f>VLOOKUP(G4167,PC!B:D,2,FALSE)</f>
        <v>DESPESA OPERACIONAL</v>
      </c>
      <c r="G4167" s="4" t="s">
        <v>79</v>
      </c>
      <c r="H4167" s="1">
        <v>31</v>
      </c>
    </row>
    <row r="4168" spans="2:8" x14ac:dyDescent="0.2">
      <c r="B4168" t="str">
        <f>VLOOKUP(G4168,PC!B:D,3,FALSE)</f>
        <v>RECEITA</v>
      </c>
      <c r="C4168" s="22">
        <v>2024</v>
      </c>
      <c r="D4168" t="s">
        <v>110</v>
      </c>
      <c r="F4168" t="str">
        <f>VLOOKUP(G4168,PC!B:D,2,FALSE)</f>
        <v>RECEITA</v>
      </c>
      <c r="G4168" s="4" t="s">
        <v>54</v>
      </c>
      <c r="H4168" s="1">
        <f>31+146+350+211+800+86+2100+1850+450+1000+34+2850+750+1900</f>
        <v>12558</v>
      </c>
    </row>
    <row r="4169" spans="2:8" x14ac:dyDescent="0.2">
      <c r="B4169" t="str">
        <f>VLOOKUP(G4169,PC!B:D,3,FALSE)</f>
        <v>DESPESA OPERACIONAL</v>
      </c>
      <c r="C4169" s="22">
        <v>2024</v>
      </c>
      <c r="D4169" t="s">
        <v>110</v>
      </c>
      <c r="F4169" t="str">
        <f>VLOOKUP(G4169,PC!B:D,2,FALSE)</f>
        <v>DESPESA OPERACIONAL</v>
      </c>
      <c r="G4169" s="4" t="s">
        <v>79</v>
      </c>
      <c r="H4169" s="1">
        <f>31+34</f>
        <v>65</v>
      </c>
    </row>
    <row r="4170" spans="2:8" x14ac:dyDescent="0.2">
      <c r="B4170" t="str">
        <f>VLOOKUP(G4170,PC!B:D,3,FALSE)</f>
        <v>CPV</v>
      </c>
      <c r="C4170" s="22">
        <v>2024</v>
      </c>
      <c r="D4170" t="s">
        <v>110</v>
      </c>
      <c r="F4170" t="str">
        <f>VLOOKUP(G4170,PC!B:D,2,FALSE)</f>
        <v>OUTROS</v>
      </c>
      <c r="G4170" s="4" t="s">
        <v>37</v>
      </c>
      <c r="H4170" s="1">
        <v>86</v>
      </c>
    </row>
    <row r="4171" spans="2:8" x14ac:dyDescent="0.2">
      <c r="B4171" t="str">
        <f>VLOOKUP(G4171,PC!B:D,3,FALSE)</f>
        <v>DESPESA PESSOAL</v>
      </c>
      <c r="C4171" s="22">
        <v>2024</v>
      </c>
      <c r="D4171" t="s">
        <v>110</v>
      </c>
      <c r="F4171" t="str">
        <f>VLOOKUP(G4171,PC!B:D,2,FALSE)</f>
        <v>DESPESA PESSOAL</v>
      </c>
      <c r="G4171" s="4" t="s">
        <v>56</v>
      </c>
      <c r="H4171" s="1">
        <f>4*450</f>
        <v>1800</v>
      </c>
    </row>
    <row r="4172" spans="2:8" x14ac:dyDescent="0.2">
      <c r="B4172" t="str">
        <f>VLOOKUP(G4172,PC!B:D,3,FALSE)</f>
        <v>DESPESA PESSOAL</v>
      </c>
      <c r="C4172" s="22">
        <v>2024</v>
      </c>
      <c r="D4172" t="s">
        <v>110</v>
      </c>
      <c r="F4172" t="str">
        <f>VLOOKUP(G4172,PC!B:D,2,FALSE)</f>
        <v>DESPESA PESSOAL</v>
      </c>
      <c r="G4172" s="4" t="s">
        <v>56</v>
      </c>
      <c r="H4172" s="1">
        <f>4*350</f>
        <v>1400</v>
      </c>
    </row>
    <row r="4173" spans="2:8" x14ac:dyDescent="0.2">
      <c r="B4173" t="str">
        <f>VLOOKUP(G4173,PC!B:D,3,FALSE)</f>
        <v>DESPESA PESSOAL</v>
      </c>
      <c r="C4173" s="22">
        <v>2024</v>
      </c>
      <c r="D4173" t="s">
        <v>110</v>
      </c>
      <c r="F4173" t="str">
        <f>VLOOKUP(G4173,PC!B:D,2,FALSE)</f>
        <v>DESPESA PESSOAL</v>
      </c>
      <c r="G4173" s="4" t="s">
        <v>124</v>
      </c>
      <c r="H4173" s="1">
        <v>2400</v>
      </c>
    </row>
    <row r="4174" spans="2:8" x14ac:dyDescent="0.2">
      <c r="B4174" t="str">
        <f>VLOOKUP(G4174,PC!B:D,3,FALSE)</f>
        <v>DESPESA PESSOAL</v>
      </c>
      <c r="C4174" s="22">
        <v>2024</v>
      </c>
      <c r="D4174" t="s">
        <v>110</v>
      </c>
      <c r="F4174" t="str">
        <f>VLOOKUP(G4174,PC!B:D,2,FALSE)</f>
        <v>DESPESA PESSOAL</v>
      </c>
      <c r="G4174" s="4" t="s">
        <v>56</v>
      </c>
      <c r="H4174" s="1">
        <v>1200</v>
      </c>
    </row>
    <row r="4175" spans="2:8" x14ac:dyDescent="0.2">
      <c r="B4175" t="str">
        <f>VLOOKUP(G4175,PC!B:D,3,FALSE)</f>
        <v>RECEITA</v>
      </c>
      <c r="C4175" s="22">
        <v>2024</v>
      </c>
      <c r="D4175" t="s">
        <v>110</v>
      </c>
      <c r="F4175" t="str">
        <f>VLOOKUP(G4175,PC!B:D,2,FALSE)</f>
        <v>RECEITA</v>
      </c>
      <c r="G4175" s="4" t="s">
        <v>137</v>
      </c>
      <c r="H4175" s="1">
        <v>101.15</v>
      </c>
    </row>
    <row r="4176" spans="2:8" x14ac:dyDescent="0.2">
      <c r="B4176" t="str">
        <f>VLOOKUP(G4176,PC!B:D,3,FALSE)</f>
        <v>RECEITA</v>
      </c>
      <c r="C4176" s="22">
        <v>2024</v>
      </c>
      <c r="D4176" t="s">
        <v>110</v>
      </c>
      <c r="F4176" t="str">
        <f>VLOOKUP(G4176,PC!B:D,2,FALSE)</f>
        <v>RECEITA</v>
      </c>
      <c r="G4176" s="4" t="s">
        <v>136</v>
      </c>
      <c r="H4176" s="1">
        <v>461.1</v>
      </c>
    </row>
    <row r="4177" spans="2:8" x14ac:dyDescent="0.2">
      <c r="B4177" t="str">
        <f>VLOOKUP(G4177,PC!B:D,3,FALSE)</f>
        <v>DESPESA PESSOAL</v>
      </c>
      <c r="C4177" s="22">
        <v>2024</v>
      </c>
      <c r="D4177" t="s">
        <v>110</v>
      </c>
      <c r="F4177" t="str">
        <f>VLOOKUP(G4177,PC!B:D,2,FALSE)</f>
        <v>DESPESA PESSOAL</v>
      </c>
      <c r="G4177" s="4" t="s">
        <v>68</v>
      </c>
      <c r="H4177" s="1">
        <v>1860</v>
      </c>
    </row>
    <row r="4178" spans="2:8" x14ac:dyDescent="0.2">
      <c r="B4178" t="str">
        <f>VLOOKUP(G4178,PC!B:D,3,FALSE)</f>
        <v>CPV</v>
      </c>
      <c r="C4178" s="22">
        <v>2024</v>
      </c>
      <c r="D4178" t="s">
        <v>111</v>
      </c>
      <c r="E4178" t="s">
        <v>238</v>
      </c>
      <c r="F4178" t="str">
        <f>VLOOKUP(G4178,PC!B:D,2,FALSE)</f>
        <v>SOBREMESA</v>
      </c>
      <c r="G4178" s="4" t="s">
        <v>7</v>
      </c>
      <c r="H4178" s="1">
        <v>482.5</v>
      </c>
    </row>
    <row r="4179" spans="2:8" x14ac:dyDescent="0.2">
      <c r="B4179" t="str">
        <f>VLOOKUP(G4179,PC!B:D,3,FALSE)</f>
        <v>CPV</v>
      </c>
      <c r="C4179" s="22">
        <v>2024</v>
      </c>
      <c r="D4179" t="s">
        <v>111</v>
      </c>
      <c r="E4179" t="s">
        <v>20</v>
      </c>
      <c r="F4179" t="str">
        <f>VLOOKUP(G4179,PC!B:D,2,FALSE)</f>
        <v>COMIDA</v>
      </c>
      <c r="G4179" s="4" t="s">
        <v>29</v>
      </c>
      <c r="H4179" s="1">
        <v>104.3</v>
      </c>
    </row>
    <row r="4180" spans="2:8" x14ac:dyDescent="0.2">
      <c r="B4180" t="str">
        <f>VLOOKUP(G4180,PC!B:D,3,FALSE)</f>
        <v>CPV</v>
      </c>
      <c r="C4180" s="22">
        <v>2024</v>
      </c>
      <c r="D4180" t="s">
        <v>111</v>
      </c>
      <c r="E4180" t="s">
        <v>19</v>
      </c>
      <c r="F4180" t="str">
        <f>VLOOKUP(G4180,PC!B:D,2,FALSE)</f>
        <v>COMIDA</v>
      </c>
      <c r="G4180" s="4" t="s">
        <v>34</v>
      </c>
      <c r="H4180" s="1">
        <v>92</v>
      </c>
    </row>
    <row r="4181" spans="2:8" x14ac:dyDescent="0.2">
      <c r="B4181" t="str">
        <f>VLOOKUP(G4181,PC!B:D,3,FALSE)</f>
        <v>CPV</v>
      </c>
      <c r="C4181" s="22">
        <v>2024</v>
      </c>
      <c r="D4181" t="s">
        <v>111</v>
      </c>
      <c r="E4181" t="s">
        <v>156</v>
      </c>
      <c r="F4181" t="str">
        <f>VLOOKUP(G4181,PC!B:D,2,FALSE)</f>
        <v>BEBIDAS</v>
      </c>
      <c r="G4181" s="4" t="s">
        <v>26</v>
      </c>
      <c r="H4181" s="1">
        <f>537.99</f>
        <v>537.99</v>
      </c>
    </row>
    <row r="4182" spans="2:8" x14ac:dyDescent="0.2">
      <c r="B4182" t="str">
        <f>VLOOKUP(G4182,PC!B:D,3,FALSE)</f>
        <v>RECEITA</v>
      </c>
      <c r="C4182" s="22">
        <v>2024</v>
      </c>
      <c r="D4182" t="s">
        <v>111</v>
      </c>
      <c r="F4182" t="str">
        <f>VLOOKUP(G4182,PC!B:D,2,FALSE)</f>
        <v>RECEITA</v>
      </c>
      <c r="G4182" s="4" t="s">
        <v>83</v>
      </c>
      <c r="H4182" s="1">
        <v>68.989999999999995</v>
      </c>
    </row>
    <row r="4183" spans="2:8" x14ac:dyDescent="0.2">
      <c r="B4183" t="str">
        <f>VLOOKUP(G4183,PC!B:D,3,FALSE)</f>
        <v>CPV</v>
      </c>
      <c r="C4183" s="22">
        <v>2024</v>
      </c>
      <c r="D4183" t="s">
        <v>111</v>
      </c>
      <c r="E4183" t="s">
        <v>21</v>
      </c>
      <c r="F4183" t="str">
        <f>VLOOKUP(G4183,PC!B:D,2,FALSE)</f>
        <v>SOBREMESA</v>
      </c>
      <c r="G4183" s="4" t="s">
        <v>23</v>
      </c>
      <c r="H4183" s="1">
        <v>405.12</v>
      </c>
    </row>
    <row r="4184" spans="2:8" x14ac:dyDescent="0.2">
      <c r="B4184" t="str">
        <f>VLOOKUP(G4184,PC!B:D,3,FALSE)</f>
        <v>CPV</v>
      </c>
      <c r="C4184" s="22">
        <v>2024</v>
      </c>
      <c r="D4184" t="s">
        <v>111</v>
      </c>
      <c r="E4184" t="s">
        <v>45</v>
      </c>
      <c r="F4184" t="str">
        <f>VLOOKUP(G4184,PC!B:D,2,FALSE)</f>
        <v>COMIDA</v>
      </c>
      <c r="G4184" s="4" t="s">
        <v>38</v>
      </c>
      <c r="H4184" s="1">
        <v>385.06</v>
      </c>
    </row>
    <row r="4185" spans="2:8" x14ac:dyDescent="0.2">
      <c r="B4185" t="str">
        <f>VLOOKUP(G4185,PC!B:D,3,FALSE)</f>
        <v>CPV</v>
      </c>
      <c r="C4185" s="22">
        <v>2024</v>
      </c>
      <c r="D4185" t="s">
        <v>111</v>
      </c>
      <c r="E4185" t="s">
        <v>129</v>
      </c>
      <c r="F4185" t="str">
        <f>VLOOKUP(G4185,PC!B:D,2,FALSE)</f>
        <v>COMIDA</v>
      </c>
      <c r="G4185" s="4" t="s">
        <v>22</v>
      </c>
      <c r="H4185" s="1">
        <v>109.8</v>
      </c>
    </row>
    <row r="4186" spans="2:8" x14ac:dyDescent="0.2">
      <c r="B4186" t="str">
        <f>VLOOKUP(G4186,PC!B:D,3,FALSE)</f>
        <v>CPV</v>
      </c>
      <c r="C4186" s="22">
        <v>2024</v>
      </c>
      <c r="D4186" t="s">
        <v>111</v>
      </c>
      <c r="E4186" t="s">
        <v>227</v>
      </c>
      <c r="F4186" t="str">
        <f>VLOOKUP(G4186,PC!B:D,2,FALSE)</f>
        <v>OUTROS</v>
      </c>
      <c r="G4186" s="4" t="s">
        <v>37</v>
      </c>
      <c r="H4186" s="1">
        <v>961.24</v>
      </c>
    </row>
    <row r="4187" spans="2:8" x14ac:dyDescent="0.2">
      <c r="B4187" t="str">
        <f>VLOOKUP(G4187,PC!B:D,3,FALSE)</f>
        <v>CPV</v>
      </c>
      <c r="C4187" s="22">
        <v>2024</v>
      </c>
      <c r="D4187" t="s">
        <v>111</v>
      </c>
      <c r="E4187" t="s">
        <v>100</v>
      </c>
      <c r="F4187" t="str">
        <f>VLOOKUP(G4187,PC!B:D,2,FALSE)</f>
        <v>SOBREMESA</v>
      </c>
      <c r="G4187" s="4" t="s">
        <v>8</v>
      </c>
      <c r="H4187" s="1">
        <v>187.39</v>
      </c>
    </row>
    <row r="4188" spans="2:8" x14ac:dyDescent="0.2">
      <c r="B4188" t="str">
        <f>VLOOKUP(G4188,PC!B:D,3,FALSE)</f>
        <v>CPV</v>
      </c>
      <c r="C4188" s="22">
        <v>2024</v>
      </c>
      <c r="D4188" t="s">
        <v>111</v>
      </c>
      <c r="E4188" t="s">
        <v>156</v>
      </c>
      <c r="F4188" t="str">
        <f>VLOOKUP(G4188,PC!B:D,2,FALSE)</f>
        <v>BEBIDAS</v>
      </c>
      <c r="G4188" s="4" t="s">
        <v>26</v>
      </c>
      <c r="H4188" s="1">
        <v>454.15</v>
      </c>
    </row>
    <row r="4189" spans="2:8" x14ac:dyDescent="0.2">
      <c r="B4189" t="str">
        <f>VLOOKUP(G4189,PC!B:D,3,FALSE)</f>
        <v>RECEITA</v>
      </c>
      <c r="C4189" s="22">
        <v>2024</v>
      </c>
      <c r="D4189" t="s">
        <v>111</v>
      </c>
      <c r="F4189" t="str">
        <f>VLOOKUP(G4189,PC!B:D,2,FALSE)</f>
        <v>RECEITA</v>
      </c>
      <c r="G4189" s="4" t="s">
        <v>83</v>
      </c>
      <c r="H4189" s="1">
        <v>49.15</v>
      </c>
    </row>
    <row r="4190" spans="2:8" x14ac:dyDescent="0.2">
      <c r="B4190" t="str">
        <f>VLOOKUP(G4190,PC!B:D,3,FALSE)</f>
        <v>CPV</v>
      </c>
      <c r="C4190" s="22">
        <v>2024</v>
      </c>
      <c r="D4190" t="s">
        <v>111</v>
      </c>
      <c r="E4190" t="s">
        <v>20</v>
      </c>
      <c r="F4190" t="str">
        <f>VLOOKUP(G4190,PC!B:D,2,FALSE)</f>
        <v>COMIDA</v>
      </c>
      <c r="G4190" s="4" t="s">
        <v>29</v>
      </c>
      <c r="H4190" s="1">
        <v>86</v>
      </c>
    </row>
    <row r="4191" spans="2:8" x14ac:dyDescent="0.2">
      <c r="B4191" t="str">
        <f>VLOOKUP(G4191,PC!B:D,3,FALSE)</f>
        <v>CPV</v>
      </c>
      <c r="C4191" s="22">
        <v>2024</v>
      </c>
      <c r="D4191" t="s">
        <v>111</v>
      </c>
      <c r="E4191" t="s">
        <v>165</v>
      </c>
      <c r="F4191" t="str">
        <f>VLOOKUP(G4191,PC!B:D,2,FALSE)</f>
        <v>COMIDA</v>
      </c>
      <c r="G4191" s="4" t="s">
        <v>33</v>
      </c>
      <c r="H4191" s="1">
        <v>617.84</v>
      </c>
    </row>
    <row r="4192" spans="2:8" x14ac:dyDescent="0.2">
      <c r="B4192" t="str">
        <f>VLOOKUP(G4192,PC!B:D,3,FALSE)</f>
        <v>CPV</v>
      </c>
      <c r="C4192" s="22">
        <v>2024</v>
      </c>
      <c r="D4192" t="s">
        <v>111</v>
      </c>
      <c r="E4192" t="s">
        <v>228</v>
      </c>
      <c r="F4192" t="str">
        <f>VLOOKUP(G4192,PC!B:D,2,FALSE)</f>
        <v>SOBREMESA</v>
      </c>
      <c r="G4192" s="4" t="s">
        <v>7</v>
      </c>
      <c r="H4192" s="1">
        <v>191.75</v>
      </c>
    </row>
    <row r="4193" spans="2:8" x14ac:dyDescent="0.2">
      <c r="B4193" t="str">
        <f>VLOOKUP(G4193,PC!B:D,3,FALSE)</f>
        <v>CPV</v>
      </c>
      <c r="C4193" s="22">
        <v>2024</v>
      </c>
      <c r="D4193" t="s">
        <v>111</v>
      </c>
      <c r="E4193" t="s">
        <v>45</v>
      </c>
      <c r="F4193" t="str">
        <f>VLOOKUP(G4193,PC!B:D,2,FALSE)</f>
        <v>HIGIENE</v>
      </c>
      <c r="G4193" s="4" t="s">
        <v>36</v>
      </c>
      <c r="H4193" s="1">
        <v>758.14</v>
      </c>
    </row>
    <row r="4194" spans="2:8" x14ac:dyDescent="0.2">
      <c r="B4194" t="str">
        <f>VLOOKUP(G4194,PC!B:D,3,FALSE)</f>
        <v>CPV</v>
      </c>
      <c r="C4194" s="22">
        <v>2024</v>
      </c>
      <c r="D4194" t="s">
        <v>111</v>
      </c>
      <c r="E4194" t="s">
        <v>45</v>
      </c>
      <c r="F4194" t="str">
        <f>VLOOKUP(G4194,PC!B:D,2,FALSE)</f>
        <v>BEBIDAS</v>
      </c>
      <c r="G4194" s="4" t="s">
        <v>51</v>
      </c>
      <c r="H4194" s="1">
        <v>331.82</v>
      </c>
    </row>
    <row r="4195" spans="2:8" x14ac:dyDescent="0.2">
      <c r="B4195" t="str">
        <f>VLOOKUP(G4195,PC!B:D,3,FALSE)</f>
        <v>CPV</v>
      </c>
      <c r="C4195" s="22">
        <v>2024</v>
      </c>
      <c r="D4195" t="s">
        <v>111</v>
      </c>
      <c r="E4195" t="s">
        <v>16</v>
      </c>
      <c r="F4195" t="str">
        <f>VLOOKUP(G4195,PC!B:D,2,FALSE)</f>
        <v>COMIDA</v>
      </c>
      <c r="G4195" s="4" t="s">
        <v>33</v>
      </c>
      <c r="H4195" s="1">
        <f>221.97+662.75</f>
        <v>884.72</v>
      </c>
    </row>
    <row r="4196" spans="2:8" x14ac:dyDescent="0.2">
      <c r="B4196" t="str">
        <f>VLOOKUP(G4196,PC!B:D,3,FALSE)</f>
        <v>CPV</v>
      </c>
      <c r="C4196" s="22">
        <v>2024</v>
      </c>
      <c r="D4196" t="s">
        <v>111</v>
      </c>
      <c r="E4196" t="s">
        <v>236</v>
      </c>
      <c r="F4196" t="str">
        <f>VLOOKUP(G4196,PC!B:D,2,FALSE)</f>
        <v>LIMPEZA</v>
      </c>
      <c r="G4196" s="4" t="s">
        <v>43</v>
      </c>
      <c r="H4196" s="1">
        <v>239.64</v>
      </c>
    </row>
    <row r="4197" spans="2:8" x14ac:dyDescent="0.2">
      <c r="B4197" t="str">
        <f>VLOOKUP(G4197,PC!B:D,3,FALSE)</f>
        <v>CPV</v>
      </c>
      <c r="C4197" s="22">
        <v>2024</v>
      </c>
      <c r="D4197" t="s">
        <v>111</v>
      </c>
      <c r="E4197" t="s">
        <v>239</v>
      </c>
      <c r="F4197" t="str">
        <f>VLOOKUP(G4197,PC!B:D,2,FALSE)</f>
        <v>BEBIDAS</v>
      </c>
      <c r="G4197" s="4" t="s">
        <v>26</v>
      </c>
      <c r="H4197" s="1">
        <v>762.8</v>
      </c>
    </row>
    <row r="4198" spans="2:8" x14ac:dyDescent="0.2">
      <c r="B4198" t="str">
        <f>VLOOKUP(G4198,PC!B:D,3,FALSE)</f>
        <v>CPV</v>
      </c>
      <c r="C4198" s="22">
        <v>2024</v>
      </c>
      <c r="D4198" t="s">
        <v>111</v>
      </c>
      <c r="E4198" t="s">
        <v>19</v>
      </c>
      <c r="F4198" t="str">
        <f>VLOOKUP(G4198,PC!B:D,2,FALSE)</f>
        <v>COMIDA</v>
      </c>
      <c r="G4198" s="4" t="s">
        <v>18</v>
      </c>
      <c r="H4198" s="1">
        <v>403.33</v>
      </c>
    </row>
    <row r="4199" spans="2:8" x14ac:dyDescent="0.2">
      <c r="B4199" t="str">
        <f>VLOOKUP(G4199,PC!B:D,3,FALSE)</f>
        <v>CPV</v>
      </c>
      <c r="C4199" s="22">
        <v>2024</v>
      </c>
      <c r="D4199" t="s">
        <v>111</v>
      </c>
      <c r="E4199" t="s">
        <v>10</v>
      </c>
      <c r="F4199" t="str">
        <f>VLOOKUP(G4199,PC!B:D,2,FALSE)</f>
        <v>COMIDA</v>
      </c>
      <c r="G4199" s="4" t="s">
        <v>33</v>
      </c>
      <c r="H4199" s="1">
        <v>455.15</v>
      </c>
    </row>
    <row r="4200" spans="2:8" x14ac:dyDescent="0.2">
      <c r="B4200" t="str">
        <f>VLOOKUP(G4200,PC!B:D,3,FALSE)</f>
        <v>CPV</v>
      </c>
      <c r="C4200" s="22">
        <v>2024</v>
      </c>
      <c r="D4200" t="s">
        <v>111</v>
      </c>
      <c r="E4200" t="s">
        <v>156</v>
      </c>
      <c r="F4200" t="str">
        <f>VLOOKUP(G4200,PC!B:D,2,FALSE)</f>
        <v>BEBIDAS</v>
      </c>
      <c r="G4200" s="4" t="s">
        <v>41</v>
      </c>
      <c r="H4200" s="1">
        <v>100</v>
      </c>
    </row>
    <row r="4201" spans="2:8" x14ac:dyDescent="0.2">
      <c r="B4201" t="str">
        <f>VLOOKUP(G4201,PC!B:D,3,FALSE)</f>
        <v>CPV</v>
      </c>
      <c r="C4201" s="22">
        <v>2024</v>
      </c>
      <c r="D4201" t="s">
        <v>111</v>
      </c>
      <c r="E4201" t="s">
        <v>78</v>
      </c>
      <c r="F4201" t="str">
        <f>VLOOKUP(G4201,PC!B:D,2,FALSE)</f>
        <v>CIGARRO</v>
      </c>
      <c r="G4201" s="4" t="s">
        <v>82</v>
      </c>
      <c r="H4201" s="1">
        <v>572.82000000000005</v>
      </c>
    </row>
    <row r="4202" spans="2:8" x14ac:dyDescent="0.2">
      <c r="B4202" t="str">
        <f>VLOOKUP(G4202,PC!B:D,3,FALSE)</f>
        <v>CPV</v>
      </c>
      <c r="C4202" s="22">
        <v>2024</v>
      </c>
      <c r="D4202" t="s">
        <v>111</v>
      </c>
      <c r="E4202" t="s">
        <v>19</v>
      </c>
      <c r="F4202" t="str">
        <f>VLOOKUP(G4202,PC!B:D,2,FALSE)</f>
        <v>COMIDA</v>
      </c>
      <c r="G4202" s="4" t="s">
        <v>145</v>
      </c>
      <c r="H4202" s="1">
        <v>293.2</v>
      </c>
    </row>
    <row r="4203" spans="2:8" x14ac:dyDescent="0.2">
      <c r="B4203" t="str">
        <f>VLOOKUP(G4203,PC!B:D,3,FALSE)</f>
        <v>CPV</v>
      </c>
      <c r="C4203" s="22">
        <v>2024</v>
      </c>
      <c r="D4203" t="s">
        <v>111</v>
      </c>
      <c r="E4203" t="s">
        <v>19</v>
      </c>
      <c r="F4203" t="str">
        <f>VLOOKUP(G4203,PC!B:D,2,FALSE)</f>
        <v>COMIDA</v>
      </c>
      <c r="G4203" s="4" t="s">
        <v>145</v>
      </c>
      <c r="H4203" s="1">
        <f>178.47</f>
        <v>178.47</v>
      </c>
    </row>
    <row r="4204" spans="2:8" x14ac:dyDescent="0.2">
      <c r="B4204" t="str">
        <f>VLOOKUP(G4204,PC!B:D,3,FALSE)</f>
        <v>CPV</v>
      </c>
      <c r="C4204" s="22">
        <v>2024</v>
      </c>
      <c r="D4204" t="s">
        <v>111</v>
      </c>
      <c r="E4204" t="s">
        <v>19</v>
      </c>
      <c r="F4204" t="str">
        <f>VLOOKUP(G4204,PC!B:D,2,FALSE)</f>
        <v>COMIDA</v>
      </c>
      <c r="G4204" s="4" t="s">
        <v>22</v>
      </c>
      <c r="H4204" s="1">
        <v>558.29999999999995</v>
      </c>
    </row>
    <row r="4205" spans="2:8" x14ac:dyDescent="0.2">
      <c r="B4205" t="str">
        <f>VLOOKUP(G4205,PC!B:D,3,FALSE)</f>
        <v>CPV</v>
      </c>
      <c r="C4205" s="22">
        <v>2024</v>
      </c>
      <c r="D4205" t="s">
        <v>111</v>
      </c>
      <c r="E4205" t="s">
        <v>30</v>
      </c>
      <c r="F4205" t="str">
        <f>VLOOKUP(G4205,PC!B:D,2,FALSE)</f>
        <v>SOBREMESA</v>
      </c>
      <c r="G4205" s="4" t="s">
        <v>23</v>
      </c>
      <c r="H4205" s="1">
        <v>606.48</v>
      </c>
    </row>
    <row r="4206" spans="2:8" x14ac:dyDescent="0.2">
      <c r="B4206" t="str">
        <f>VLOOKUP(G4206,PC!B:D,3,FALSE)</f>
        <v>CPV</v>
      </c>
      <c r="C4206" s="22">
        <v>2024</v>
      </c>
      <c r="D4206" t="s">
        <v>111</v>
      </c>
      <c r="E4206" t="s">
        <v>166</v>
      </c>
      <c r="F4206" t="str">
        <f>VLOOKUP(G4206,PC!B:D,2,FALSE)</f>
        <v>OUTROS</v>
      </c>
      <c r="G4206" s="4" t="s">
        <v>37</v>
      </c>
      <c r="H4206" s="1">
        <f>109.36+189.31</f>
        <v>298.67</v>
      </c>
    </row>
    <row r="4207" spans="2:8" x14ac:dyDescent="0.2">
      <c r="B4207" t="str">
        <f>VLOOKUP(G4207,PC!B:D,3,FALSE)</f>
        <v>CPV</v>
      </c>
      <c r="C4207" s="22">
        <v>2024</v>
      </c>
      <c r="D4207" t="s">
        <v>111</v>
      </c>
      <c r="E4207" t="s">
        <v>97</v>
      </c>
      <c r="F4207" t="str">
        <f>VLOOKUP(G4207,PC!B:D,2,FALSE)</f>
        <v>OUTROS</v>
      </c>
      <c r="G4207" s="4" t="s">
        <v>37</v>
      </c>
      <c r="H4207" s="1">
        <v>674.39</v>
      </c>
    </row>
    <row r="4208" spans="2:8" x14ac:dyDescent="0.2">
      <c r="B4208" t="str">
        <f>VLOOKUP(G4208,PC!B:D,3,FALSE)</f>
        <v>CPV</v>
      </c>
      <c r="C4208" s="22">
        <v>2024</v>
      </c>
      <c r="D4208" t="s">
        <v>111</v>
      </c>
      <c r="E4208" t="s">
        <v>97</v>
      </c>
      <c r="F4208" t="str">
        <f>VLOOKUP(G4208,PC!B:D,2,FALSE)</f>
        <v>OUTROS</v>
      </c>
      <c r="G4208" s="4" t="s">
        <v>37</v>
      </c>
      <c r="H4208" s="1">
        <v>111.34</v>
      </c>
    </row>
    <row r="4209" spans="2:8" x14ac:dyDescent="0.2">
      <c r="B4209" t="str">
        <f>VLOOKUP(G4209,PC!B:D,3,FALSE)</f>
        <v>CPV</v>
      </c>
      <c r="C4209" s="22">
        <v>2024</v>
      </c>
      <c r="D4209" t="s">
        <v>111</v>
      </c>
      <c r="E4209" t="s">
        <v>227</v>
      </c>
      <c r="F4209" t="str">
        <f>VLOOKUP(G4209,PC!B:D,2,FALSE)</f>
        <v>BEBIDAS</v>
      </c>
      <c r="G4209" s="4" t="s">
        <v>48</v>
      </c>
      <c r="H4209" s="1">
        <v>91.96</v>
      </c>
    </row>
    <row r="4210" spans="2:8" x14ac:dyDescent="0.2">
      <c r="B4210" t="str">
        <f>VLOOKUP(G4210,PC!B:D,3,FALSE)</f>
        <v>CPV</v>
      </c>
      <c r="C4210" s="22">
        <v>2024</v>
      </c>
      <c r="D4210" t="s">
        <v>111</v>
      </c>
      <c r="E4210" t="s">
        <v>227</v>
      </c>
      <c r="F4210" t="str">
        <f>VLOOKUP(G4210,PC!B:D,2,FALSE)</f>
        <v>COMIDA</v>
      </c>
      <c r="G4210" s="4" t="s">
        <v>38</v>
      </c>
      <c r="H4210" s="1">
        <v>300</v>
      </c>
    </row>
    <row r="4211" spans="2:8" x14ac:dyDescent="0.2">
      <c r="B4211" t="str">
        <f>VLOOKUP(G4211,PC!B:D,3,FALSE)</f>
        <v>CPV</v>
      </c>
      <c r="C4211" s="22">
        <v>2024</v>
      </c>
      <c r="D4211" t="s">
        <v>111</v>
      </c>
      <c r="E4211" t="s">
        <v>227</v>
      </c>
      <c r="F4211" t="str">
        <f>VLOOKUP(G4211,PC!B:D,2,FALSE)</f>
        <v>HIGIENE</v>
      </c>
      <c r="G4211" s="4" t="s">
        <v>36</v>
      </c>
      <c r="H4211" s="1">
        <v>300</v>
      </c>
    </row>
    <row r="4212" spans="2:8" x14ac:dyDescent="0.2">
      <c r="B4212" t="str">
        <f>VLOOKUP(G4212,PC!B:D,3,FALSE)</f>
        <v>CPV</v>
      </c>
      <c r="C4212" s="22">
        <v>2024</v>
      </c>
      <c r="D4212" t="s">
        <v>111</v>
      </c>
      <c r="E4212" t="s">
        <v>227</v>
      </c>
      <c r="F4212" t="str">
        <f>VLOOKUP(G4212,PC!B:D,2,FALSE)</f>
        <v>LIMPEZA</v>
      </c>
      <c r="G4212" s="4" t="s">
        <v>43</v>
      </c>
      <c r="H4212" s="1">
        <v>400</v>
      </c>
    </row>
    <row r="4213" spans="2:8" x14ac:dyDescent="0.2">
      <c r="B4213" t="str">
        <f>VLOOKUP(G4213,PC!B:D,3,FALSE)</f>
        <v>CPV</v>
      </c>
      <c r="C4213" s="22">
        <v>2024</v>
      </c>
      <c r="D4213" t="s">
        <v>111</v>
      </c>
      <c r="E4213" t="s">
        <v>227</v>
      </c>
      <c r="F4213" t="str">
        <f>VLOOKUP(G4213,PC!B:D,2,FALSE)</f>
        <v>BEBIDAS</v>
      </c>
      <c r="G4213" s="4" t="s">
        <v>48</v>
      </c>
      <c r="H4213" s="1">
        <v>591.88</v>
      </c>
    </row>
    <row r="4214" spans="2:8" x14ac:dyDescent="0.2">
      <c r="B4214" t="str">
        <f>VLOOKUP(G4214,PC!B:D,3,FALSE)</f>
        <v>CPV</v>
      </c>
      <c r="C4214" s="22">
        <v>2024</v>
      </c>
      <c r="D4214" t="s">
        <v>111</v>
      </c>
      <c r="E4214" t="s">
        <v>21</v>
      </c>
      <c r="F4214" t="str">
        <f>VLOOKUP(G4214,PC!B:D,2,FALSE)</f>
        <v>SOBREMESA</v>
      </c>
      <c r="G4214" s="4" t="s">
        <v>23</v>
      </c>
      <c r="H4214" s="1">
        <f>139+156.29+271.81</f>
        <v>567.09999999999991</v>
      </c>
    </row>
    <row r="4215" spans="2:8" x14ac:dyDescent="0.2">
      <c r="B4215" t="str">
        <f>VLOOKUP(G4215,PC!B:D,3,FALSE)</f>
        <v>CPV</v>
      </c>
      <c r="C4215" s="22">
        <v>2024</v>
      </c>
      <c r="D4215" t="s">
        <v>111</v>
      </c>
      <c r="E4215" t="s">
        <v>19</v>
      </c>
      <c r="F4215" t="str">
        <f>VLOOKUP(G4215,PC!B:D,2,FALSE)</f>
        <v>COMIDA</v>
      </c>
      <c r="G4215" s="4" t="s">
        <v>145</v>
      </c>
      <c r="H4215" s="1">
        <v>109.2</v>
      </c>
    </row>
    <row r="4216" spans="2:8" x14ac:dyDescent="0.2">
      <c r="B4216" t="str">
        <f>VLOOKUP(G4216,PC!B:D,3,FALSE)</f>
        <v>CPV</v>
      </c>
      <c r="C4216" s="22">
        <v>2024</v>
      </c>
      <c r="D4216" t="s">
        <v>111</v>
      </c>
      <c r="E4216" t="s">
        <v>234</v>
      </c>
      <c r="F4216" t="str">
        <f>VLOOKUP(G4216,PC!B:D,2,FALSE)</f>
        <v>SOBREMESA</v>
      </c>
      <c r="G4216" s="4" t="s">
        <v>8</v>
      </c>
      <c r="H4216" s="1">
        <v>702</v>
      </c>
    </row>
    <row r="4217" spans="2:8" x14ac:dyDescent="0.2">
      <c r="B4217" t="str">
        <f>VLOOKUP(G4217,PC!B:D,3,FALSE)</f>
        <v>CPV</v>
      </c>
      <c r="C4217" s="22">
        <v>2024</v>
      </c>
      <c r="D4217" t="s">
        <v>111</v>
      </c>
      <c r="E4217" t="s">
        <v>45</v>
      </c>
      <c r="F4217" t="str">
        <f>VLOOKUP(G4217,PC!B:D,2,FALSE)</f>
        <v>COMIDA</v>
      </c>
      <c r="G4217" s="4" t="s">
        <v>38</v>
      </c>
      <c r="H4217" s="1">
        <f>571.12+457.75</f>
        <v>1028.8699999999999</v>
      </c>
    </row>
    <row r="4218" spans="2:8" x14ac:dyDescent="0.2">
      <c r="B4218" t="str">
        <f>VLOOKUP(G4218,PC!B:D,3,FALSE)</f>
        <v>CPV</v>
      </c>
      <c r="C4218" s="22">
        <v>2024</v>
      </c>
      <c r="D4218" t="s">
        <v>111</v>
      </c>
      <c r="E4218" t="s">
        <v>45</v>
      </c>
      <c r="F4218" t="str">
        <f>VLOOKUP(G4218,PC!B:D,2,FALSE)</f>
        <v>HIGIENE</v>
      </c>
      <c r="G4218" s="4" t="s">
        <v>36</v>
      </c>
      <c r="H4218" s="1">
        <v>734.32</v>
      </c>
    </row>
    <row r="4219" spans="2:8" x14ac:dyDescent="0.2">
      <c r="B4219" t="str">
        <f>VLOOKUP(G4219,PC!B:D,3,FALSE)</f>
        <v>CPV</v>
      </c>
      <c r="C4219" s="22">
        <v>2024</v>
      </c>
      <c r="D4219" t="s">
        <v>111</v>
      </c>
      <c r="E4219" t="s">
        <v>226</v>
      </c>
      <c r="F4219" t="str">
        <f>VLOOKUP(G4219,PC!B:D,2,FALSE)</f>
        <v>BEBIDAS</v>
      </c>
      <c r="G4219" s="4" t="s">
        <v>25</v>
      </c>
      <c r="H4219" s="1">
        <f>816.18+375.34+406.83+690.03+1116.49+281.68+14.13+1208.51+856.17+863.55+597.52+603.17+665.16+2171.53</f>
        <v>10666.29</v>
      </c>
    </row>
    <row r="4220" spans="2:8" x14ac:dyDescent="0.2">
      <c r="B4220" t="str">
        <f>VLOOKUP(G4220,PC!B:D,3,FALSE)</f>
        <v>CPV</v>
      </c>
      <c r="C4220" s="22">
        <v>2024</v>
      </c>
      <c r="D4220" t="s">
        <v>111</v>
      </c>
      <c r="E4220" t="s">
        <v>28</v>
      </c>
      <c r="F4220" t="str">
        <f>VLOOKUP(G4220,PC!B:D,2,FALSE)</f>
        <v>BEBIDAS</v>
      </c>
      <c r="G4220" s="4" t="s">
        <v>26</v>
      </c>
      <c r="H4220" s="1">
        <f>2001.62+4330.75+4759.99+4839.71+1805.72+4221.88+46.42+411.13+3615.18+1986</f>
        <v>28018.400000000001</v>
      </c>
    </row>
    <row r="4221" spans="2:8" x14ac:dyDescent="0.2">
      <c r="B4221" t="str">
        <f>VLOOKUP(G4221,PC!B:D,3,FALSE)</f>
        <v>RECEITA</v>
      </c>
      <c r="C4221" s="22">
        <v>2024</v>
      </c>
      <c r="D4221" t="s">
        <v>111</v>
      </c>
      <c r="F4221" t="str">
        <f>VLOOKUP(G4221,PC!B:D,2,FALSE)</f>
        <v>RECEITA</v>
      </c>
      <c r="G4221" s="4" t="s">
        <v>83</v>
      </c>
      <c r="H4221" s="1">
        <v>75.95</v>
      </c>
    </row>
    <row r="4222" spans="2:8" x14ac:dyDescent="0.2">
      <c r="B4222" t="str">
        <f>VLOOKUP(G4222,PC!B:D,3,FALSE)</f>
        <v>CPV</v>
      </c>
      <c r="C4222" s="22">
        <v>2024</v>
      </c>
      <c r="D4222" t="s">
        <v>111</v>
      </c>
      <c r="E4222" t="s">
        <v>24</v>
      </c>
      <c r="F4222" t="str">
        <f>VLOOKUP(G4222,PC!B:D,2,FALSE)</f>
        <v>COMIDA</v>
      </c>
      <c r="G4222" s="4" t="s">
        <v>33</v>
      </c>
      <c r="H4222" s="1">
        <f>123.37+172.31+347.53+377.4+332.24+525.7</f>
        <v>1878.55</v>
      </c>
    </row>
    <row r="4223" spans="2:8" x14ac:dyDescent="0.2">
      <c r="B4223" t="str">
        <f>VLOOKUP(G4223,PC!B:D,3,FALSE)</f>
        <v>CPV</v>
      </c>
      <c r="C4223" s="22">
        <v>2024</v>
      </c>
      <c r="D4223" t="s">
        <v>111</v>
      </c>
      <c r="E4223" t="s">
        <v>27</v>
      </c>
      <c r="F4223" t="str">
        <f>VLOOKUP(G4223,PC!B:D,2,FALSE)</f>
        <v>COMIDA</v>
      </c>
      <c r="G4223" s="4" t="s">
        <v>12</v>
      </c>
      <c r="H4223" s="1">
        <f>382.14+211.58</f>
        <v>593.72</v>
      </c>
    </row>
    <row r="4224" spans="2:8" x14ac:dyDescent="0.2">
      <c r="B4224" t="str">
        <f>VLOOKUP(G4224,PC!B:D,3,FALSE)</f>
        <v>RECEITA</v>
      </c>
      <c r="C4224" s="22">
        <v>2024</v>
      </c>
      <c r="D4224" t="s">
        <v>111</v>
      </c>
      <c r="F4224" t="str">
        <f>VLOOKUP(G4224,PC!B:D,2,FALSE)</f>
        <v>RECEITA</v>
      </c>
      <c r="G4224" s="4" t="s">
        <v>83</v>
      </c>
      <c r="H4224" s="1">
        <v>68</v>
      </c>
    </row>
    <row r="4225" spans="2:8" x14ac:dyDescent="0.2">
      <c r="B4225" t="str">
        <f>VLOOKUP(G4225,PC!B:D,3,FALSE)</f>
        <v>CPV</v>
      </c>
      <c r="C4225" s="22">
        <v>2024</v>
      </c>
      <c r="D4225" t="s">
        <v>111</v>
      </c>
      <c r="E4225" t="s">
        <v>211</v>
      </c>
      <c r="F4225" t="str">
        <f>VLOOKUP(G4225,PC!B:D,2,FALSE)</f>
        <v>BEBIDAS</v>
      </c>
      <c r="G4225" s="4" t="s">
        <v>26</v>
      </c>
      <c r="H4225" s="1">
        <f>332.97+2020.42+701.05+272.43</f>
        <v>3326.8700000000003</v>
      </c>
    </row>
    <row r="4226" spans="2:8" x14ac:dyDescent="0.2">
      <c r="B4226" t="str">
        <f>VLOOKUP(G4226,PC!B:D,3,FALSE)</f>
        <v>CPV</v>
      </c>
      <c r="C4226" s="22">
        <v>2024</v>
      </c>
      <c r="D4226" t="s">
        <v>111</v>
      </c>
      <c r="E4226" t="s">
        <v>6</v>
      </c>
      <c r="F4226" t="str">
        <f>VLOOKUP(G4226,PC!B:D,2,FALSE)</f>
        <v>COMIDA</v>
      </c>
      <c r="G4226" s="4" t="s">
        <v>18</v>
      </c>
      <c r="H4226" s="1">
        <f>77.4+143.6</f>
        <v>221</v>
      </c>
    </row>
    <row r="4227" spans="2:8" x14ac:dyDescent="0.2">
      <c r="B4227" t="str">
        <f>VLOOKUP(G4227,PC!B:D,3,FALSE)</f>
        <v>CPV</v>
      </c>
      <c r="C4227" s="22">
        <v>2024</v>
      </c>
      <c r="D4227" t="s">
        <v>111</v>
      </c>
      <c r="E4227" t="s">
        <v>49</v>
      </c>
      <c r="F4227" t="str">
        <f>VLOOKUP(G4227,PC!B:D,2,FALSE)</f>
        <v>CIGARRO</v>
      </c>
      <c r="G4227" s="4" t="s">
        <v>52</v>
      </c>
      <c r="H4227" s="1">
        <f>5849.72+4999.65+4765.18+7398.38+3055.47+2654.96</f>
        <v>28723.360000000001</v>
      </c>
    </row>
    <row r="4228" spans="2:8" x14ac:dyDescent="0.2">
      <c r="B4228" t="str">
        <f>VLOOKUP(G4228,PC!B:D,3,FALSE)</f>
        <v>CPV</v>
      </c>
      <c r="C4228" s="22">
        <v>2024</v>
      </c>
      <c r="D4228" t="s">
        <v>111</v>
      </c>
      <c r="E4228" t="s">
        <v>24</v>
      </c>
      <c r="F4228" t="str">
        <f>VLOOKUP(G4228,PC!B:D,2,FALSE)</f>
        <v>COMIDA</v>
      </c>
      <c r="G4228" s="4" t="s">
        <v>33</v>
      </c>
      <c r="H4228" s="1">
        <v>372.41</v>
      </c>
    </row>
    <row r="4229" spans="2:8" x14ac:dyDescent="0.2">
      <c r="B4229" t="str">
        <f>VLOOKUP(G4229,PC!B:D,3,FALSE)</f>
        <v>CPV</v>
      </c>
      <c r="C4229" s="22">
        <v>2024</v>
      </c>
      <c r="D4229" t="s">
        <v>111</v>
      </c>
      <c r="E4229" t="s">
        <v>227</v>
      </c>
      <c r="F4229" t="str">
        <f>VLOOKUP(G4229,PC!B:D,2,FALSE)</f>
        <v>LIMPEZA</v>
      </c>
      <c r="G4229" s="4" t="s">
        <v>43</v>
      </c>
      <c r="H4229" s="1">
        <v>1291.05</v>
      </c>
    </row>
    <row r="4230" spans="2:8" x14ac:dyDescent="0.2">
      <c r="B4230" t="str">
        <f>VLOOKUP(G4230,PC!B:D,3,FALSE)</f>
        <v>CPV</v>
      </c>
      <c r="C4230" s="22">
        <v>2024</v>
      </c>
      <c r="D4230" t="s">
        <v>111</v>
      </c>
      <c r="E4230" t="s">
        <v>226</v>
      </c>
      <c r="F4230" t="str">
        <f>VLOOKUP(G4230,PC!B:D,2,FALSE)</f>
        <v>BEBIDAS</v>
      </c>
      <c r="G4230" s="4" t="s">
        <v>25</v>
      </c>
      <c r="H4230" s="1">
        <f>483.14+955.68</f>
        <v>1438.82</v>
      </c>
    </row>
    <row r="4231" spans="2:8" x14ac:dyDescent="0.2">
      <c r="B4231" t="str">
        <f>VLOOKUP(G4231,PC!B:D,3,FALSE)</f>
        <v>CPV</v>
      </c>
      <c r="C4231" s="22">
        <v>2024</v>
      </c>
      <c r="D4231" t="s">
        <v>111</v>
      </c>
      <c r="E4231" t="s">
        <v>237</v>
      </c>
      <c r="F4231" t="str">
        <f>VLOOKUP(G4231,PC!B:D,2,FALSE)</f>
        <v>HIGIENE</v>
      </c>
      <c r="G4231" s="4" t="s">
        <v>36</v>
      </c>
      <c r="H4231" s="1">
        <f>366.68+249.42</f>
        <v>616.1</v>
      </c>
    </row>
    <row r="4232" spans="2:8" x14ac:dyDescent="0.2">
      <c r="B4232" t="str">
        <f>VLOOKUP(G4232,PC!B:D,3,FALSE)</f>
        <v>CPV</v>
      </c>
      <c r="C4232" s="22">
        <v>2024</v>
      </c>
      <c r="D4232" t="s">
        <v>111</v>
      </c>
      <c r="E4232" t="s">
        <v>20</v>
      </c>
      <c r="F4232" t="str">
        <f>VLOOKUP(G4232,PC!B:D,2,FALSE)</f>
        <v>COMIDA</v>
      </c>
      <c r="G4232" s="4" t="s">
        <v>29</v>
      </c>
      <c r="H4232" s="1">
        <v>100.9</v>
      </c>
    </row>
    <row r="4233" spans="2:8" x14ac:dyDescent="0.2">
      <c r="B4233" t="str">
        <f>VLOOKUP(G4233,PC!B:D,3,FALSE)</f>
        <v>CPV</v>
      </c>
      <c r="C4233" s="22">
        <v>2024</v>
      </c>
      <c r="D4233" t="s">
        <v>111</v>
      </c>
      <c r="E4233" t="s">
        <v>19</v>
      </c>
      <c r="F4233" t="str">
        <f>VLOOKUP(G4233,PC!B:D,2,FALSE)</f>
        <v>COMIDA</v>
      </c>
      <c r="G4233" s="4" t="s">
        <v>145</v>
      </c>
      <c r="H4233" s="1">
        <v>109.2</v>
      </c>
    </row>
    <row r="4234" spans="2:8" x14ac:dyDescent="0.2">
      <c r="B4234" t="str">
        <f>VLOOKUP(G4234,PC!B:D,3,FALSE)</f>
        <v>CPV</v>
      </c>
      <c r="C4234" s="22">
        <v>2024</v>
      </c>
      <c r="D4234" t="s">
        <v>111</v>
      </c>
      <c r="E4234" t="s">
        <v>28</v>
      </c>
      <c r="F4234" t="str">
        <f>VLOOKUP(G4234,PC!B:D,2,FALSE)</f>
        <v>BEBIDAS</v>
      </c>
      <c r="G4234" s="4" t="s">
        <v>26</v>
      </c>
      <c r="H4234" s="1">
        <v>6193.89</v>
      </c>
    </row>
    <row r="4235" spans="2:8" x14ac:dyDescent="0.2">
      <c r="B4235" t="str">
        <f>VLOOKUP(G4235,PC!B:D,3,FALSE)</f>
        <v>CPV</v>
      </c>
      <c r="C4235" s="22">
        <v>2024</v>
      </c>
      <c r="D4235" t="s">
        <v>111</v>
      </c>
      <c r="E4235" t="s">
        <v>28</v>
      </c>
      <c r="F4235" t="str">
        <f>VLOOKUP(G4235,PC!B:D,2,FALSE)</f>
        <v>BEBIDAS</v>
      </c>
      <c r="G4235" s="4" t="s">
        <v>26</v>
      </c>
      <c r="H4235" s="1">
        <v>1752.81</v>
      </c>
    </row>
    <row r="4236" spans="2:8" x14ac:dyDescent="0.2">
      <c r="B4236" t="str">
        <f>VLOOKUP(G4236,PC!B:D,3,FALSE)</f>
        <v>CPV</v>
      </c>
      <c r="C4236" s="22">
        <v>2024</v>
      </c>
      <c r="D4236" t="s">
        <v>111</v>
      </c>
      <c r="E4236" t="s">
        <v>45</v>
      </c>
      <c r="F4236" t="str">
        <f>VLOOKUP(G4236,PC!B:D,2,FALSE)</f>
        <v>OUTROS</v>
      </c>
      <c r="G4236" s="4" t="s">
        <v>37</v>
      </c>
      <c r="H4236" s="1">
        <v>914.94</v>
      </c>
    </row>
    <row r="4237" spans="2:8" x14ac:dyDescent="0.2">
      <c r="B4237" t="str">
        <f>VLOOKUP(G4237,PC!B:D,3,FALSE)</f>
        <v>CPV</v>
      </c>
      <c r="C4237" s="22">
        <v>2024</v>
      </c>
      <c r="D4237" t="s">
        <v>111</v>
      </c>
      <c r="E4237" t="s">
        <v>239</v>
      </c>
      <c r="F4237" t="str">
        <f>VLOOKUP(G4237,PC!B:D,2,FALSE)</f>
        <v>BEBIDAS</v>
      </c>
      <c r="G4237" s="4" t="s">
        <v>26</v>
      </c>
      <c r="H4237" s="1">
        <v>710.9</v>
      </c>
    </row>
    <row r="4238" spans="2:8" x14ac:dyDescent="0.2">
      <c r="B4238" t="str">
        <f>VLOOKUP(G4238,PC!B:D,3,FALSE)</f>
        <v>CPV</v>
      </c>
      <c r="C4238" s="22">
        <v>2024</v>
      </c>
      <c r="D4238" t="s">
        <v>111</v>
      </c>
      <c r="E4238" t="s">
        <v>5</v>
      </c>
      <c r="F4238" t="str">
        <f>VLOOKUP(G4238,PC!B:D,2,FALSE)</f>
        <v>COMIDA</v>
      </c>
      <c r="G4238" s="4" t="s">
        <v>18</v>
      </c>
      <c r="H4238" s="1">
        <v>329.94</v>
      </c>
    </row>
    <row r="4239" spans="2:8" x14ac:dyDescent="0.2">
      <c r="B4239" t="str">
        <f>VLOOKUP(G4239,PC!B:D,3,FALSE)</f>
        <v>CPV</v>
      </c>
      <c r="C4239" s="22">
        <v>2024</v>
      </c>
      <c r="D4239" t="s">
        <v>111</v>
      </c>
      <c r="E4239" t="s">
        <v>129</v>
      </c>
      <c r="F4239" t="str">
        <f>VLOOKUP(G4239,PC!B:D,2,FALSE)</f>
        <v>SOBREMESA</v>
      </c>
      <c r="G4239" s="4" t="s">
        <v>7</v>
      </c>
      <c r="H4239" s="1">
        <v>175</v>
      </c>
    </row>
    <row r="4240" spans="2:8" x14ac:dyDescent="0.2">
      <c r="B4240" t="str">
        <f>VLOOKUP(G4240,PC!B:D,3,FALSE)</f>
        <v>CPV</v>
      </c>
      <c r="C4240" s="22">
        <v>2024</v>
      </c>
      <c r="D4240" t="s">
        <v>111</v>
      </c>
      <c r="E4240" t="s">
        <v>129</v>
      </c>
      <c r="F4240" t="str">
        <f>VLOOKUP(G4240,PC!B:D,2,FALSE)</f>
        <v>COMIDA</v>
      </c>
      <c r="G4240" s="4" t="s">
        <v>33</v>
      </c>
      <c r="H4240" s="1">
        <v>60</v>
      </c>
    </row>
    <row r="4241" spans="2:8" x14ac:dyDescent="0.2">
      <c r="B4241" t="str">
        <f>VLOOKUP(G4241,PC!B:D,3,FALSE)</f>
        <v>CPV</v>
      </c>
      <c r="C4241" s="22">
        <v>2024</v>
      </c>
      <c r="D4241" t="s">
        <v>111</v>
      </c>
      <c r="E4241" t="s">
        <v>129</v>
      </c>
      <c r="F4241" t="str">
        <f>VLOOKUP(G4241,PC!B:D,2,FALSE)</f>
        <v>SOBREMESA</v>
      </c>
      <c r="G4241" s="4" t="s">
        <v>7</v>
      </c>
      <c r="H4241" s="1">
        <v>36</v>
      </c>
    </row>
    <row r="4242" spans="2:8" x14ac:dyDescent="0.2">
      <c r="B4242" t="str">
        <f>VLOOKUP(G4242,PC!B:D,3,FALSE)</f>
        <v>DESPESA OPERACIONAL</v>
      </c>
      <c r="C4242" s="22">
        <v>2024</v>
      </c>
      <c r="D4242" t="s">
        <v>111</v>
      </c>
      <c r="F4242" t="str">
        <f>VLOOKUP(G4242,PC!B:D,2,FALSE)</f>
        <v>MANUTENÇÃO MÁQUINAS</v>
      </c>
      <c r="G4242" t="s">
        <v>147</v>
      </c>
      <c r="H4242" s="1">
        <v>280</v>
      </c>
    </row>
    <row r="4243" spans="2:8" x14ac:dyDescent="0.2">
      <c r="B4243" t="str">
        <f>VLOOKUP(G4243,PC!B:D,3,FALSE)</f>
        <v>CPV</v>
      </c>
      <c r="C4243" s="22">
        <v>2024</v>
      </c>
      <c r="D4243" t="s">
        <v>111</v>
      </c>
      <c r="E4243" t="s">
        <v>129</v>
      </c>
      <c r="F4243" t="str">
        <f>VLOOKUP(G4243,PC!B:D,2,FALSE)</f>
        <v>CIGARRO</v>
      </c>
      <c r="G4243" s="4" t="s">
        <v>57</v>
      </c>
      <c r="H4243" s="1">
        <v>1047</v>
      </c>
    </row>
    <row r="4244" spans="2:8" x14ac:dyDescent="0.2">
      <c r="B4244" t="str">
        <f>VLOOKUP(G4244,PC!B:D,3,FALSE)</f>
        <v>CPV</v>
      </c>
      <c r="C4244" s="22">
        <v>2024</v>
      </c>
      <c r="D4244" t="s">
        <v>111</v>
      </c>
      <c r="E4244" t="s">
        <v>129</v>
      </c>
      <c r="F4244" t="str">
        <f>VLOOKUP(G4244,PC!B:D,2,FALSE)</f>
        <v>BEBIDAS</v>
      </c>
      <c r="G4244" s="4" t="s">
        <v>25</v>
      </c>
      <c r="H4244" s="1">
        <v>308</v>
      </c>
    </row>
    <row r="4245" spans="2:8" x14ac:dyDescent="0.2">
      <c r="B4245" t="str">
        <f>VLOOKUP(G4245,PC!B:D,3,FALSE)</f>
        <v>DESPESA OPERACIONAL</v>
      </c>
      <c r="C4245" s="22">
        <v>2024</v>
      </c>
      <c r="D4245" t="s">
        <v>111</v>
      </c>
      <c r="F4245" t="str">
        <f>VLOOKUP(G4245,PC!B:D,2,FALSE)</f>
        <v>MANUTENÇÃO MÁQUINAS</v>
      </c>
      <c r="G4245" s="4" t="s">
        <v>147</v>
      </c>
      <c r="H4245" s="1">
        <v>140</v>
      </c>
    </row>
    <row r="4246" spans="2:8" x14ac:dyDescent="0.2">
      <c r="B4246" t="str">
        <f>VLOOKUP(G4246,PC!B:D,3,FALSE)</f>
        <v>CPV</v>
      </c>
      <c r="C4246" s="22">
        <v>2024</v>
      </c>
      <c r="D4246" t="s">
        <v>111</v>
      </c>
      <c r="E4246" t="s">
        <v>129</v>
      </c>
      <c r="F4246" t="str">
        <f>VLOOKUP(G4246,PC!B:D,2,FALSE)</f>
        <v>BEBIDAS</v>
      </c>
      <c r="G4246" s="4" t="s">
        <v>48</v>
      </c>
      <c r="H4246" s="1">
        <v>211.2</v>
      </c>
    </row>
    <row r="4247" spans="2:8" x14ac:dyDescent="0.2">
      <c r="B4247" t="str">
        <f>VLOOKUP(G4247,PC!B:D,3,FALSE)</f>
        <v>CPV</v>
      </c>
      <c r="C4247" s="22">
        <v>2024</v>
      </c>
      <c r="D4247" t="s">
        <v>111</v>
      </c>
      <c r="E4247" t="s">
        <v>129</v>
      </c>
      <c r="F4247" t="str">
        <f>VLOOKUP(G4247,PC!B:D,2,FALSE)</f>
        <v>SOBREMESA</v>
      </c>
      <c r="G4247" s="4" t="s">
        <v>7</v>
      </c>
      <c r="H4247" s="1">
        <v>240</v>
      </c>
    </row>
    <row r="4248" spans="2:8" x14ac:dyDescent="0.2">
      <c r="B4248" t="str">
        <f>VLOOKUP(G4248,PC!B:D,3,FALSE)</f>
        <v>CPV</v>
      </c>
      <c r="C4248" s="22">
        <v>2024</v>
      </c>
      <c r="D4248" t="s">
        <v>111</v>
      </c>
      <c r="F4248" t="str">
        <f>VLOOKUP(G4248,PC!B:D,2,FALSE)</f>
        <v>COMIDA</v>
      </c>
      <c r="G4248" s="4" t="s">
        <v>12</v>
      </c>
      <c r="H4248" s="1">
        <v>600</v>
      </c>
    </row>
    <row r="4249" spans="2:8" x14ac:dyDescent="0.2">
      <c r="B4249" t="str">
        <f>VLOOKUP(G4249,PC!B:D,3,FALSE)</f>
        <v>CPV</v>
      </c>
      <c r="C4249" s="22">
        <v>2024</v>
      </c>
      <c r="D4249" t="s">
        <v>111</v>
      </c>
      <c r="F4249" t="str">
        <f>VLOOKUP(G4249,PC!B:D,2,FALSE)</f>
        <v>OUTROS</v>
      </c>
      <c r="G4249" s="4" t="s">
        <v>37</v>
      </c>
      <c r="H4249" s="1">
        <v>167.65</v>
      </c>
    </row>
    <row r="4250" spans="2:8" x14ac:dyDescent="0.2">
      <c r="B4250" t="str">
        <f>VLOOKUP(G4250,PC!B:D,3,FALSE)</f>
        <v>CPV</v>
      </c>
      <c r="C4250" s="22">
        <v>2024</v>
      </c>
      <c r="D4250" t="s">
        <v>111</v>
      </c>
      <c r="E4250" t="s">
        <v>129</v>
      </c>
      <c r="F4250" t="str">
        <f>VLOOKUP(G4250,PC!B:D,2,FALSE)</f>
        <v>OUTROS</v>
      </c>
      <c r="G4250" s="4" t="s">
        <v>37</v>
      </c>
      <c r="H4250" s="1">
        <f>249.93+508+643+588.8</f>
        <v>1989.73</v>
      </c>
    </row>
    <row r="4251" spans="2:8" x14ac:dyDescent="0.2">
      <c r="B4251" t="str">
        <f>VLOOKUP(G4251,PC!B:D,3,FALSE)</f>
        <v>CPV</v>
      </c>
      <c r="C4251" s="22">
        <v>2024</v>
      </c>
      <c r="D4251" t="s">
        <v>111</v>
      </c>
      <c r="E4251" t="s">
        <v>129</v>
      </c>
      <c r="F4251" t="str">
        <f>VLOOKUP(G4251,PC!B:D,2,FALSE)</f>
        <v>OUTROS</v>
      </c>
      <c r="G4251" s="4" t="s">
        <v>37</v>
      </c>
      <c r="H4251" s="1">
        <f>149+504+555+634+334+187.86</f>
        <v>2363.86</v>
      </c>
    </row>
    <row r="4252" spans="2:8" x14ac:dyDescent="0.2">
      <c r="B4252" t="str">
        <f>VLOOKUP(G4252,PC!B:D,3,FALSE)</f>
        <v>CPV</v>
      </c>
      <c r="C4252" s="22">
        <v>2024</v>
      </c>
      <c r="D4252" t="s">
        <v>111</v>
      </c>
      <c r="E4252" t="s">
        <v>129</v>
      </c>
      <c r="F4252" t="str">
        <f>VLOOKUP(G4252,PC!B:D,2,FALSE)</f>
        <v>BEBIDAS</v>
      </c>
      <c r="G4252" s="4" t="s">
        <v>48</v>
      </c>
      <c r="H4252" s="1">
        <v>422.4</v>
      </c>
    </row>
    <row r="4253" spans="2:8" x14ac:dyDescent="0.2">
      <c r="B4253" t="str">
        <f>VLOOKUP(G4253,PC!B:D,3,FALSE)</f>
        <v>CPV</v>
      </c>
      <c r="C4253" s="22">
        <v>2024</v>
      </c>
      <c r="D4253" t="s">
        <v>111</v>
      </c>
      <c r="E4253" t="s">
        <v>129</v>
      </c>
      <c r="F4253" t="str">
        <f>VLOOKUP(G4253,PC!B:D,2,FALSE)</f>
        <v>COMIDA</v>
      </c>
      <c r="G4253" s="4" t="s">
        <v>155</v>
      </c>
      <c r="H4253" s="1">
        <v>455</v>
      </c>
    </row>
    <row r="4254" spans="2:8" x14ac:dyDescent="0.2">
      <c r="B4254" t="str">
        <f>VLOOKUP(G4254,PC!B:D,3,FALSE)</f>
        <v>CPV</v>
      </c>
      <c r="C4254" s="22">
        <v>2024</v>
      </c>
      <c r="D4254" t="s">
        <v>111</v>
      </c>
      <c r="E4254" t="s">
        <v>129</v>
      </c>
      <c r="F4254" t="str">
        <f>VLOOKUP(G4254,PC!B:D,2,FALSE)</f>
        <v>OUTROS</v>
      </c>
      <c r="G4254" s="4" t="s">
        <v>58</v>
      </c>
      <c r="H4254" s="1">
        <v>192</v>
      </c>
    </row>
    <row r="4255" spans="2:8" x14ac:dyDescent="0.2">
      <c r="B4255" t="str">
        <f>VLOOKUP(G4255,PC!B:D,3,FALSE)</f>
        <v>CPV</v>
      </c>
      <c r="C4255" s="22">
        <v>2024</v>
      </c>
      <c r="D4255" t="s">
        <v>111</v>
      </c>
      <c r="E4255" t="s">
        <v>129</v>
      </c>
      <c r="F4255" t="str">
        <f>VLOOKUP(G4255,PC!B:D,2,FALSE)</f>
        <v>SOBREMESA</v>
      </c>
      <c r="G4255" s="4" t="s">
        <v>75</v>
      </c>
      <c r="H4255" s="1">
        <v>1373.32</v>
      </c>
    </row>
    <row r="4256" spans="2:8" x14ac:dyDescent="0.2">
      <c r="B4256" t="str">
        <f>VLOOKUP(G4256,PC!B:D,3,FALSE)</f>
        <v>CPV</v>
      </c>
      <c r="C4256" s="22">
        <v>2024</v>
      </c>
      <c r="D4256" t="s">
        <v>111</v>
      </c>
      <c r="E4256" t="s">
        <v>129</v>
      </c>
      <c r="F4256" t="str">
        <f>VLOOKUP(G4256,PC!B:D,2,FALSE)</f>
        <v>SOBREMESA</v>
      </c>
      <c r="G4256" s="4" t="s">
        <v>75</v>
      </c>
      <c r="H4256" s="1">
        <v>925.6</v>
      </c>
    </row>
    <row r="4257" spans="2:8" x14ac:dyDescent="0.2">
      <c r="B4257" t="str">
        <f>VLOOKUP(G4257,PC!B:D,3,FALSE)</f>
        <v>CPV</v>
      </c>
      <c r="C4257" s="22">
        <v>2024</v>
      </c>
      <c r="D4257" t="s">
        <v>111</v>
      </c>
      <c r="E4257" t="s">
        <v>129</v>
      </c>
      <c r="F4257" t="str">
        <f>VLOOKUP(G4257,PC!B:D,2,FALSE)</f>
        <v>CIGARRO</v>
      </c>
      <c r="G4257" s="4" t="s">
        <v>57</v>
      </c>
      <c r="H4257" s="1">
        <v>922</v>
      </c>
    </row>
    <row r="4258" spans="2:8" x14ac:dyDescent="0.2">
      <c r="B4258" t="str">
        <f>VLOOKUP(G4258,PC!B:D,3,FALSE)</f>
        <v>CPV</v>
      </c>
      <c r="C4258" s="22">
        <v>2024</v>
      </c>
      <c r="D4258" t="s">
        <v>111</v>
      </c>
      <c r="E4258" t="s">
        <v>129</v>
      </c>
      <c r="F4258" t="str">
        <f>VLOOKUP(G4258,PC!B:D,2,FALSE)</f>
        <v>BEBIDAS</v>
      </c>
      <c r="G4258" s="4" t="s">
        <v>48</v>
      </c>
      <c r="H4258" s="1">
        <v>316.8</v>
      </c>
    </row>
    <row r="4259" spans="2:8" x14ac:dyDescent="0.2">
      <c r="B4259" t="str">
        <f>VLOOKUP(G4259,PC!B:D,3,FALSE)</f>
        <v>CPV</v>
      </c>
      <c r="C4259" s="22">
        <v>2024</v>
      </c>
      <c r="D4259" t="s">
        <v>111</v>
      </c>
      <c r="E4259" t="s">
        <v>129</v>
      </c>
      <c r="F4259" t="str">
        <f>VLOOKUP(G4259,PC!B:D,2,FALSE)</f>
        <v>BEBIDAS</v>
      </c>
      <c r="G4259" s="4" t="s">
        <v>51</v>
      </c>
      <c r="H4259" s="1">
        <v>231</v>
      </c>
    </row>
    <row r="4260" spans="2:8" x14ac:dyDescent="0.2">
      <c r="B4260" t="str">
        <f>VLOOKUP(G4260,PC!B:D,3,FALSE)</f>
        <v>CPV</v>
      </c>
      <c r="C4260" s="22">
        <v>2024</v>
      </c>
      <c r="D4260" t="s">
        <v>111</v>
      </c>
      <c r="E4260" t="s">
        <v>129</v>
      </c>
      <c r="F4260" t="str">
        <f>VLOOKUP(G4260,PC!B:D,2,FALSE)</f>
        <v>SOBREMESA</v>
      </c>
      <c r="G4260" s="4" t="s">
        <v>7</v>
      </c>
      <c r="H4260" s="1">
        <v>52</v>
      </c>
    </row>
    <row r="4261" spans="2:8" x14ac:dyDescent="0.2">
      <c r="B4261" t="str">
        <f>VLOOKUP(G4261,PC!B:D,3,FALSE)</f>
        <v>CPV</v>
      </c>
      <c r="C4261" s="22">
        <v>2024</v>
      </c>
      <c r="D4261" t="s">
        <v>111</v>
      </c>
      <c r="E4261" t="s">
        <v>129</v>
      </c>
      <c r="F4261" t="str">
        <f>VLOOKUP(G4261,PC!B:D,2,FALSE)</f>
        <v>COMIDA</v>
      </c>
      <c r="G4261" s="4" t="s">
        <v>33</v>
      </c>
      <c r="H4261" s="1">
        <v>48</v>
      </c>
    </row>
    <row r="4262" spans="2:8" x14ac:dyDescent="0.2">
      <c r="B4262" t="str">
        <f>VLOOKUP(G4262,PC!B:D,3,FALSE)</f>
        <v>CPV</v>
      </c>
      <c r="C4262" s="22">
        <v>2024</v>
      </c>
      <c r="D4262" t="s">
        <v>111</v>
      </c>
      <c r="E4262" t="s">
        <v>129</v>
      </c>
      <c r="F4262" t="str">
        <f>VLOOKUP(G4262,PC!B:D,2,FALSE)</f>
        <v>COMIDA</v>
      </c>
      <c r="G4262" s="4" t="s">
        <v>12</v>
      </c>
      <c r="H4262" s="1">
        <v>300</v>
      </c>
    </row>
    <row r="4263" spans="2:8" x14ac:dyDescent="0.2">
      <c r="B4263" t="str">
        <f>VLOOKUP(G4263,PC!B:D,3,FALSE)</f>
        <v>CPV</v>
      </c>
      <c r="C4263" s="22">
        <v>2024</v>
      </c>
      <c r="D4263" t="s">
        <v>111</v>
      </c>
      <c r="E4263" t="s">
        <v>129</v>
      </c>
      <c r="F4263" t="str">
        <f>VLOOKUP(G4263,PC!B:D,2,FALSE)</f>
        <v>SOBREMESA</v>
      </c>
      <c r="G4263" s="4" t="s">
        <v>7</v>
      </c>
      <c r="H4263" s="1">
        <v>175</v>
      </c>
    </row>
    <row r="4264" spans="2:8" x14ac:dyDescent="0.2">
      <c r="B4264" t="str">
        <f>VLOOKUP(G4264,PC!B:D,3,FALSE)</f>
        <v>CPV</v>
      </c>
      <c r="C4264" s="22">
        <v>2024</v>
      </c>
      <c r="D4264" t="s">
        <v>111</v>
      </c>
      <c r="E4264" t="s">
        <v>129</v>
      </c>
      <c r="F4264" t="str">
        <f>VLOOKUP(G4264,PC!B:D,2,FALSE)</f>
        <v>COMIDA</v>
      </c>
      <c r="G4264" s="4" t="s">
        <v>12</v>
      </c>
      <c r="H4264" s="1">
        <v>67</v>
      </c>
    </row>
    <row r="4265" spans="2:8" x14ac:dyDescent="0.2">
      <c r="B4265" t="str">
        <f>VLOOKUP(G4265,PC!B:D,3,FALSE)</f>
        <v>CPV</v>
      </c>
      <c r="C4265" s="22">
        <v>2024</v>
      </c>
      <c r="D4265" t="s">
        <v>111</v>
      </c>
      <c r="E4265" t="s">
        <v>129</v>
      </c>
      <c r="F4265" t="str">
        <f>VLOOKUP(G4265,PC!B:D,2,FALSE)</f>
        <v>SOBREMESA</v>
      </c>
      <c r="G4265" s="4" t="s">
        <v>23</v>
      </c>
      <c r="H4265" s="1">
        <v>67</v>
      </c>
    </row>
    <row r="4266" spans="2:8" x14ac:dyDescent="0.2">
      <c r="B4266" t="str">
        <f>VLOOKUP(G4266,PC!B:D,3,FALSE)</f>
        <v>CPV</v>
      </c>
      <c r="C4266" s="22">
        <v>2024</v>
      </c>
      <c r="D4266" t="s">
        <v>111</v>
      </c>
      <c r="E4266" t="s">
        <v>129</v>
      </c>
      <c r="F4266" t="str">
        <f>VLOOKUP(G4266,PC!B:D,2,FALSE)</f>
        <v>COMIDA</v>
      </c>
      <c r="G4266" s="4" t="s">
        <v>12</v>
      </c>
      <c r="H4266" s="1">
        <v>141</v>
      </c>
    </row>
    <row r="4267" spans="2:8" x14ac:dyDescent="0.2">
      <c r="B4267" t="str">
        <f>VLOOKUP(G4267,PC!B:D,3,FALSE)</f>
        <v>CPV</v>
      </c>
      <c r="C4267" s="22">
        <v>2024</v>
      </c>
      <c r="D4267" t="s">
        <v>111</v>
      </c>
      <c r="E4267" t="s">
        <v>129</v>
      </c>
      <c r="F4267" t="str">
        <f>VLOOKUP(G4267,PC!B:D,2,FALSE)</f>
        <v>SOBREMESA</v>
      </c>
      <c r="G4267" s="4" t="s">
        <v>7</v>
      </c>
      <c r="H4267" s="1">
        <v>99</v>
      </c>
    </row>
    <row r="4268" spans="2:8" x14ac:dyDescent="0.2">
      <c r="B4268" t="str">
        <f>VLOOKUP(G4268,PC!B:D,3,FALSE)</f>
        <v>CPV</v>
      </c>
      <c r="C4268" s="22">
        <v>2024</v>
      </c>
      <c r="D4268" t="s">
        <v>111</v>
      </c>
      <c r="E4268" t="s">
        <v>129</v>
      </c>
      <c r="F4268" t="str">
        <f>VLOOKUP(G4268,PC!B:D,2,FALSE)</f>
        <v>CIGARRO</v>
      </c>
      <c r="G4268" s="4" t="s">
        <v>57</v>
      </c>
      <c r="H4268" s="1">
        <v>1106</v>
      </c>
    </row>
    <row r="4269" spans="2:8" x14ac:dyDescent="0.2">
      <c r="B4269" t="str">
        <f>VLOOKUP(G4269,PC!B:D,3,FALSE)</f>
        <v>CPV</v>
      </c>
      <c r="C4269" s="22">
        <v>2024</v>
      </c>
      <c r="D4269" t="s">
        <v>111</v>
      </c>
      <c r="E4269" t="s">
        <v>129</v>
      </c>
      <c r="F4269" t="str">
        <f>VLOOKUP(G4269,PC!B:D,2,FALSE)</f>
        <v>COMIDA</v>
      </c>
      <c r="G4269" s="4" t="s">
        <v>12</v>
      </c>
      <c r="H4269" s="1">
        <v>255</v>
      </c>
    </row>
    <row r="4270" spans="2:8" x14ac:dyDescent="0.2">
      <c r="B4270" t="str">
        <f>VLOOKUP(G4270,PC!B:D,3,FALSE)</f>
        <v>CPV</v>
      </c>
      <c r="C4270" s="22">
        <v>2024</v>
      </c>
      <c r="D4270" t="s">
        <v>111</v>
      </c>
      <c r="E4270" t="s">
        <v>129</v>
      </c>
      <c r="F4270" t="str">
        <f>VLOOKUP(G4270,PC!B:D,2,FALSE)</f>
        <v>BEBIDAS</v>
      </c>
      <c r="G4270" s="4" t="s">
        <v>48</v>
      </c>
      <c r="H4270" s="1">
        <v>410.2</v>
      </c>
    </row>
    <row r="4271" spans="2:8" x14ac:dyDescent="0.2">
      <c r="B4271" t="str">
        <f>VLOOKUP(G4271,PC!B:D,3,FALSE)</f>
        <v>CPV</v>
      </c>
      <c r="C4271" s="22">
        <v>2024</v>
      </c>
      <c r="D4271" t="s">
        <v>111</v>
      </c>
      <c r="E4271" t="s">
        <v>129</v>
      </c>
      <c r="F4271" t="str">
        <f>VLOOKUP(G4271,PC!B:D,2,FALSE)</f>
        <v>SOBREMESA</v>
      </c>
      <c r="G4271" s="4" t="s">
        <v>7</v>
      </c>
      <c r="H4271" s="1">
        <v>212</v>
      </c>
    </row>
    <row r="4272" spans="2:8" x14ac:dyDescent="0.2">
      <c r="B4272" t="str">
        <f>VLOOKUP(G4272,PC!B:D,3,FALSE)</f>
        <v>CPV</v>
      </c>
      <c r="C4272" s="22">
        <v>2024</v>
      </c>
      <c r="D4272" t="s">
        <v>111</v>
      </c>
      <c r="E4272" t="s">
        <v>5</v>
      </c>
      <c r="F4272" t="str">
        <f>VLOOKUP(G4272,PC!B:D,2,FALSE)</f>
        <v>COMIDA</v>
      </c>
      <c r="G4272" s="4" t="s">
        <v>18</v>
      </c>
      <c r="H4272" s="1">
        <v>348.48</v>
      </c>
    </row>
    <row r="4273" spans="2:8" x14ac:dyDescent="0.2">
      <c r="B4273" t="str">
        <f>VLOOKUP(G4273,PC!B:D,3,FALSE)</f>
        <v>CPV</v>
      </c>
      <c r="C4273" s="22">
        <v>2024</v>
      </c>
      <c r="D4273" t="s">
        <v>111</v>
      </c>
      <c r="E4273" t="s">
        <v>129</v>
      </c>
      <c r="F4273" t="str">
        <f>VLOOKUP(G4273,PC!B:D,2,FALSE)</f>
        <v>COMIDA</v>
      </c>
      <c r="G4273" s="4" t="s">
        <v>33</v>
      </c>
      <c r="H4273" s="1">
        <v>60</v>
      </c>
    </row>
    <row r="4274" spans="2:8" x14ac:dyDescent="0.2">
      <c r="B4274" t="str">
        <f>VLOOKUP(G4274,PC!B:D,3,FALSE)</f>
        <v>CPV</v>
      </c>
      <c r="C4274" s="22">
        <v>2024</v>
      </c>
      <c r="D4274" t="s">
        <v>111</v>
      </c>
      <c r="E4274" t="s">
        <v>129</v>
      </c>
      <c r="F4274" t="str">
        <f>VLOOKUP(G4274,PC!B:D,2,FALSE)</f>
        <v>OUTROS</v>
      </c>
      <c r="G4274" s="4" t="s">
        <v>58</v>
      </c>
      <c r="H4274" s="1">
        <v>192</v>
      </c>
    </row>
    <row r="4275" spans="2:8" x14ac:dyDescent="0.2">
      <c r="B4275" t="str">
        <f>VLOOKUP(G4275,PC!B:D,3,FALSE)</f>
        <v>CPV</v>
      </c>
      <c r="C4275" s="22">
        <v>2024</v>
      </c>
      <c r="D4275" t="s">
        <v>111</v>
      </c>
      <c r="E4275" t="s">
        <v>129</v>
      </c>
      <c r="F4275" t="str">
        <f>VLOOKUP(G4275,PC!B:D,2,FALSE)</f>
        <v>OUTROS</v>
      </c>
      <c r="G4275" s="4" t="s">
        <v>37</v>
      </c>
      <c r="H4275" s="1">
        <v>219.8</v>
      </c>
    </row>
    <row r="4276" spans="2:8" x14ac:dyDescent="0.2">
      <c r="B4276" t="str">
        <f>VLOOKUP(G4276,PC!B:D,3,FALSE)</f>
        <v>CPV</v>
      </c>
      <c r="C4276" s="22">
        <v>2024</v>
      </c>
      <c r="D4276" t="s">
        <v>111</v>
      </c>
      <c r="E4276" t="s">
        <v>129</v>
      </c>
      <c r="F4276" t="str">
        <f>VLOOKUP(G4276,PC!B:D,2,FALSE)</f>
        <v>COMIDA</v>
      </c>
      <c r="G4276" s="4" t="s">
        <v>155</v>
      </c>
      <c r="H4276" s="1">
        <f>910+770+560</f>
        <v>2240</v>
      </c>
    </row>
    <row r="4277" spans="2:8" x14ac:dyDescent="0.2">
      <c r="B4277" t="str">
        <f>VLOOKUP(G4277,PC!B:D,3,FALSE)</f>
        <v>CPV</v>
      </c>
      <c r="C4277" s="22">
        <v>2024</v>
      </c>
      <c r="D4277" t="s">
        <v>111</v>
      </c>
      <c r="E4277" t="s">
        <v>129</v>
      </c>
      <c r="F4277" t="str">
        <f>VLOOKUP(G4277,PC!B:D,2,FALSE)</f>
        <v>SOBREMESA</v>
      </c>
      <c r="G4277" s="4" t="s">
        <v>7</v>
      </c>
      <c r="H4277" s="1">
        <v>43</v>
      </c>
    </row>
    <row r="4278" spans="2:8" x14ac:dyDescent="0.2">
      <c r="B4278" t="str">
        <f>VLOOKUP(G4278,PC!B:D,3,FALSE)</f>
        <v>CPV</v>
      </c>
      <c r="C4278" s="22">
        <v>2024</v>
      </c>
      <c r="D4278" t="s">
        <v>111</v>
      </c>
      <c r="E4278" t="s">
        <v>129</v>
      </c>
      <c r="F4278" t="str">
        <f>VLOOKUP(G4278,PC!B:D,2,FALSE)</f>
        <v>BEBIDAS</v>
      </c>
      <c r="G4278" s="4" t="s">
        <v>46</v>
      </c>
      <c r="H4278" s="1">
        <v>235.5</v>
      </c>
    </row>
    <row r="4279" spans="2:8" x14ac:dyDescent="0.2">
      <c r="B4279" t="str">
        <f>VLOOKUP(G4279,PC!B:D,3,FALSE)</f>
        <v>CPV</v>
      </c>
      <c r="C4279" s="22">
        <v>2024</v>
      </c>
      <c r="D4279" t="s">
        <v>111</v>
      </c>
      <c r="E4279" t="s">
        <v>129</v>
      </c>
      <c r="F4279" t="str">
        <f>VLOOKUP(G4279,PC!B:D,2,FALSE)</f>
        <v>COMIDA</v>
      </c>
      <c r="G4279" s="4" t="s">
        <v>12</v>
      </c>
      <c r="H4279" s="1">
        <v>122.5</v>
      </c>
    </row>
    <row r="4280" spans="2:8" x14ac:dyDescent="0.2">
      <c r="B4280" t="str">
        <f>VLOOKUP(G4280,PC!B:D,3,FALSE)</f>
        <v>CPV</v>
      </c>
      <c r="C4280" s="22">
        <v>2024</v>
      </c>
      <c r="D4280" t="s">
        <v>111</v>
      </c>
      <c r="E4280" t="s">
        <v>129</v>
      </c>
      <c r="F4280" t="str">
        <f>VLOOKUP(G4280,PC!B:D,2,FALSE)</f>
        <v>SOBREMESA</v>
      </c>
      <c r="G4280" s="4" t="s">
        <v>7</v>
      </c>
      <c r="H4280" s="1">
        <v>66</v>
      </c>
    </row>
    <row r="4281" spans="2:8" x14ac:dyDescent="0.2">
      <c r="B4281" t="str">
        <f>VLOOKUP(G4281,PC!B:D,3,FALSE)</f>
        <v>CPV</v>
      </c>
      <c r="C4281" s="22">
        <v>2024</v>
      </c>
      <c r="D4281" t="s">
        <v>111</v>
      </c>
      <c r="E4281" t="s">
        <v>129</v>
      </c>
      <c r="F4281" t="str">
        <f>VLOOKUP(G4281,PC!B:D,2,FALSE)</f>
        <v>SOBREMESA</v>
      </c>
      <c r="G4281" s="4" t="s">
        <v>75</v>
      </c>
      <c r="H4281" s="1">
        <v>1246</v>
      </c>
    </row>
    <row r="4282" spans="2:8" x14ac:dyDescent="0.2">
      <c r="B4282" t="str">
        <f>VLOOKUP(G4282,PC!B:D,3,FALSE)</f>
        <v>CPV</v>
      </c>
      <c r="C4282" s="22">
        <v>2024</v>
      </c>
      <c r="D4282" t="s">
        <v>111</v>
      </c>
      <c r="E4282" t="s">
        <v>5</v>
      </c>
      <c r="F4282" t="str">
        <f>VLOOKUP(G4282,PC!B:D,2,FALSE)</f>
        <v>COMIDA</v>
      </c>
      <c r="G4282" s="4" t="s">
        <v>18</v>
      </c>
      <c r="H4282" s="1">
        <v>308</v>
      </c>
    </row>
    <row r="4283" spans="2:8" x14ac:dyDescent="0.2">
      <c r="B4283" t="str">
        <f>VLOOKUP(G4283,PC!B:D,3,FALSE)</f>
        <v>CPV</v>
      </c>
      <c r="C4283" s="22">
        <v>2024</v>
      </c>
      <c r="D4283" t="s">
        <v>111</v>
      </c>
      <c r="E4283" t="s">
        <v>129</v>
      </c>
      <c r="F4283" t="str">
        <f>VLOOKUP(G4283,PC!B:D,2,FALSE)</f>
        <v>CIGARRO</v>
      </c>
      <c r="G4283" s="4" t="s">
        <v>57</v>
      </c>
      <c r="H4283" s="1">
        <v>888</v>
      </c>
    </row>
    <row r="4284" spans="2:8" x14ac:dyDescent="0.2">
      <c r="B4284" t="str">
        <f>VLOOKUP(G4284,PC!B:D,3,FALSE)</f>
        <v>CPV</v>
      </c>
      <c r="C4284" s="22">
        <v>2024</v>
      </c>
      <c r="D4284" t="s">
        <v>111</v>
      </c>
      <c r="E4284" t="s">
        <v>129</v>
      </c>
      <c r="F4284" t="str">
        <f>VLOOKUP(G4284,PC!B:D,2,FALSE)</f>
        <v>BEBIDAS</v>
      </c>
      <c r="G4284" s="4" t="s">
        <v>48</v>
      </c>
      <c r="H4284" s="1">
        <v>211.2</v>
      </c>
    </row>
    <row r="4285" spans="2:8" x14ac:dyDescent="0.2">
      <c r="B4285" t="str">
        <f>VLOOKUP(G4285,PC!B:D,3,FALSE)</f>
        <v>CPV</v>
      </c>
      <c r="C4285" s="22">
        <v>2024</v>
      </c>
      <c r="D4285" t="s">
        <v>111</v>
      </c>
      <c r="E4285" t="s">
        <v>129</v>
      </c>
      <c r="F4285" t="str">
        <f>VLOOKUP(G4285,PC!B:D,2,FALSE)</f>
        <v>OUTROS</v>
      </c>
      <c r="G4285" s="4" t="s">
        <v>37</v>
      </c>
      <c r="H4285" s="1">
        <v>515.39</v>
      </c>
    </row>
    <row r="4286" spans="2:8" x14ac:dyDescent="0.2">
      <c r="B4286" t="str">
        <f>VLOOKUP(G4286,PC!B:D,3,FALSE)</f>
        <v>CPV</v>
      </c>
      <c r="C4286" s="22">
        <v>2024</v>
      </c>
      <c r="D4286" t="s">
        <v>111</v>
      </c>
      <c r="E4286" t="s">
        <v>129</v>
      </c>
      <c r="F4286" t="str">
        <f>VLOOKUP(G4286,PC!B:D,2,FALSE)</f>
        <v>BEBIDAS</v>
      </c>
      <c r="G4286" s="4" t="s">
        <v>48</v>
      </c>
      <c r="H4286" s="1">
        <v>388</v>
      </c>
    </row>
    <row r="4287" spans="2:8" x14ac:dyDescent="0.2">
      <c r="B4287" t="str">
        <f>VLOOKUP(G4287,PC!B:D,3,FALSE)</f>
        <v>SERV. PUBLICOS</v>
      </c>
      <c r="C4287" s="22">
        <v>2024</v>
      </c>
      <c r="D4287" t="s">
        <v>111</v>
      </c>
      <c r="F4287" t="str">
        <f>VLOOKUP(G4287,PC!B:D,2,FALSE)</f>
        <v>SERV. PUBLICOS</v>
      </c>
      <c r="G4287" s="4" t="s">
        <v>104</v>
      </c>
      <c r="H4287" s="1">
        <v>378.56</v>
      </c>
    </row>
    <row r="4288" spans="2:8" x14ac:dyDescent="0.2">
      <c r="B4288" t="str">
        <f>VLOOKUP(G4288,PC!B:D,3,FALSE)</f>
        <v>CPV</v>
      </c>
      <c r="C4288" s="22">
        <v>2024</v>
      </c>
      <c r="D4288" t="s">
        <v>111</v>
      </c>
      <c r="E4288" t="s">
        <v>129</v>
      </c>
      <c r="F4288" t="str">
        <f>VLOOKUP(G4288,PC!B:D,2,FALSE)</f>
        <v>SOBREMESA</v>
      </c>
      <c r="G4288" s="4" t="s">
        <v>7</v>
      </c>
      <c r="H4288" s="1">
        <v>175</v>
      </c>
    </row>
    <row r="4289" spans="2:8" x14ac:dyDescent="0.2">
      <c r="B4289" t="str">
        <f>VLOOKUP(G4289,PC!B:D,3,FALSE)</f>
        <v>CPV</v>
      </c>
      <c r="C4289" s="22">
        <v>2024</v>
      </c>
      <c r="D4289" t="s">
        <v>111</v>
      </c>
      <c r="E4289" t="s">
        <v>129</v>
      </c>
      <c r="F4289" t="str">
        <f>VLOOKUP(G4289,PC!B:D,2,FALSE)</f>
        <v>COMIDA</v>
      </c>
      <c r="G4289" s="4" t="s">
        <v>146</v>
      </c>
      <c r="H4289" s="1">
        <v>344</v>
      </c>
    </row>
    <row r="4290" spans="2:8" x14ac:dyDescent="0.2">
      <c r="B4290" t="str">
        <f>VLOOKUP(G4290,PC!B:D,3,FALSE)</f>
        <v>CPV</v>
      </c>
      <c r="C4290" s="22">
        <v>2024</v>
      </c>
      <c r="D4290" t="s">
        <v>111</v>
      </c>
      <c r="E4290" t="s">
        <v>129</v>
      </c>
      <c r="F4290" t="str">
        <f>VLOOKUP(G4290,PC!B:D,2,FALSE)</f>
        <v>CIGARRO</v>
      </c>
      <c r="G4290" s="4" t="s">
        <v>57</v>
      </c>
      <c r="H4290" s="1">
        <v>1180</v>
      </c>
    </row>
    <row r="4291" spans="2:8" x14ac:dyDescent="0.2">
      <c r="B4291" t="str">
        <f>VLOOKUP(G4291,PC!B:D,3,FALSE)</f>
        <v>DESPESA PESSOAL</v>
      </c>
      <c r="C4291" s="22">
        <v>2024</v>
      </c>
      <c r="D4291" t="s">
        <v>111</v>
      </c>
      <c r="F4291" t="str">
        <f>VLOOKUP(G4291,PC!B:D,2,FALSE)</f>
        <v>DESPESA PESSOAL</v>
      </c>
      <c r="G4291" s="4" t="s">
        <v>68</v>
      </c>
      <c r="H4291" s="1">
        <v>167.45</v>
      </c>
    </row>
    <row r="4292" spans="2:8" x14ac:dyDescent="0.2">
      <c r="B4292" t="str">
        <f>VLOOKUP(G4292,PC!B:D,3,FALSE)</f>
        <v>SERV. PUBLICOS</v>
      </c>
      <c r="C4292" s="22">
        <v>2024</v>
      </c>
      <c r="D4292" t="s">
        <v>111</v>
      </c>
      <c r="F4292" t="str">
        <f>VLOOKUP(G4292,PC!B:D,2,FALSE)</f>
        <v>SERV. PUBLICOS</v>
      </c>
      <c r="G4292" s="4" t="s">
        <v>91</v>
      </c>
      <c r="H4292" s="1">
        <f>79.09+254.02</f>
        <v>333.11</v>
      </c>
    </row>
    <row r="4293" spans="2:8" x14ac:dyDescent="0.2">
      <c r="B4293" t="str">
        <f>VLOOKUP(G4293,PC!B:D,3,FALSE)</f>
        <v>DESPESA OPERACIONAL</v>
      </c>
      <c r="C4293" s="22">
        <v>2024</v>
      </c>
      <c r="D4293" t="s">
        <v>111</v>
      </c>
      <c r="F4293" t="str">
        <f>VLOOKUP(G4293,PC!B:D,2,FALSE)</f>
        <v>DESPESA OPERACIONAL</v>
      </c>
      <c r="G4293" s="4" t="s">
        <v>73</v>
      </c>
      <c r="H4293" s="1">
        <f>450.86+607.5+281.49+363.73+351+368.04+481.21+393.1</f>
        <v>3296.93</v>
      </c>
    </row>
    <row r="4294" spans="2:8" x14ac:dyDescent="0.2">
      <c r="B4294" t="str">
        <f>VLOOKUP(G4294,PC!B:D,3,FALSE)</f>
        <v>RECEITA</v>
      </c>
      <c r="C4294" s="22">
        <v>2024</v>
      </c>
      <c r="D4294" t="s">
        <v>111</v>
      </c>
      <c r="F4294" t="str">
        <f>VLOOKUP(G4294,PC!B:D,2,FALSE)</f>
        <v>RECEITA</v>
      </c>
      <c r="G4294" s="4" t="s">
        <v>64</v>
      </c>
      <c r="H4294" s="1">
        <f>8.4+10.29+6.36+7.5+7.77+6+13+9.64</f>
        <v>68.959999999999994</v>
      </c>
    </row>
    <row r="4295" spans="2:8" x14ac:dyDescent="0.2">
      <c r="B4295" t="str">
        <f>VLOOKUP(G4295,PC!B:D,3,FALSE)</f>
        <v>RECEITA</v>
      </c>
      <c r="C4295" s="22">
        <v>2024</v>
      </c>
      <c r="D4295" t="s">
        <v>111</v>
      </c>
      <c r="F4295" t="str">
        <f>VLOOKUP(G4295,PC!B:D,2,FALSE)</f>
        <v>RECEITA</v>
      </c>
      <c r="G4295" s="4" t="s">
        <v>54</v>
      </c>
      <c r="H4295" s="1">
        <f>78+100+63+136+400+60+36+1850+36+35+33+27+100+80+280</f>
        <v>3314</v>
      </c>
    </row>
    <row r="4296" spans="2:8" x14ac:dyDescent="0.2">
      <c r="B4296" t="str">
        <f>VLOOKUP(G4296,PC!B:D,3,FALSE)</f>
        <v>CPV</v>
      </c>
      <c r="C4296" s="22">
        <v>2024</v>
      </c>
      <c r="D4296" t="s">
        <v>111</v>
      </c>
      <c r="E4296" t="s">
        <v>129</v>
      </c>
      <c r="F4296" t="str">
        <f>VLOOKUP(G4296,PC!B:D,2,FALSE)</f>
        <v>COMIDA</v>
      </c>
      <c r="G4296" s="4" t="s">
        <v>146</v>
      </c>
      <c r="H4296" s="1">
        <v>80</v>
      </c>
    </row>
    <row r="4297" spans="2:8" x14ac:dyDescent="0.2">
      <c r="B4297" t="str">
        <f>VLOOKUP(G4297,PC!B:D,3,FALSE)</f>
        <v>DESPESA PESSOAL</v>
      </c>
      <c r="C4297" s="22">
        <v>2024</v>
      </c>
      <c r="D4297" t="s">
        <v>111</v>
      </c>
      <c r="F4297" t="str">
        <f>VLOOKUP(G4297,PC!B:D,2,FALSE)</f>
        <v>DESPESA PESSOAL</v>
      </c>
      <c r="G4297" s="4" t="s">
        <v>68</v>
      </c>
      <c r="H4297" s="1">
        <v>62</v>
      </c>
    </row>
    <row r="4298" spans="2:8" x14ac:dyDescent="0.2">
      <c r="B4298" t="str">
        <f>VLOOKUP(G4298,PC!B:D,3,FALSE)</f>
        <v>RECEITAS NÃO OPERACIONAIS</v>
      </c>
      <c r="C4298" s="22">
        <v>2024</v>
      </c>
      <c r="D4298" t="s">
        <v>111</v>
      </c>
      <c r="F4298" t="str">
        <f>VLOOKUP(G4298,PC!B:D,2,FALSE)</f>
        <v>EMPRESTIMO</v>
      </c>
      <c r="G4298" s="4" t="s">
        <v>71</v>
      </c>
      <c r="H4298" s="1">
        <v>33</v>
      </c>
    </row>
    <row r="4299" spans="2:8" x14ac:dyDescent="0.2">
      <c r="B4299" t="str">
        <f>VLOOKUP(G4299,PC!B:D,3,FALSE)</f>
        <v>CPV</v>
      </c>
      <c r="C4299" s="22">
        <v>2024</v>
      </c>
      <c r="D4299" t="s">
        <v>111</v>
      </c>
      <c r="E4299" t="s">
        <v>129</v>
      </c>
      <c r="F4299" t="str">
        <f>VLOOKUP(G4299,PC!B:D,2,FALSE)</f>
        <v>COMIDA</v>
      </c>
      <c r="G4299" s="4" t="s">
        <v>12</v>
      </c>
      <c r="H4299" s="1">
        <v>36</v>
      </c>
    </row>
    <row r="4300" spans="2:8" x14ac:dyDescent="0.2">
      <c r="B4300" t="str">
        <f>VLOOKUP(G4300,PC!B:D,3,FALSE)</f>
        <v>RECEITA</v>
      </c>
      <c r="C4300" s="22">
        <v>2024</v>
      </c>
      <c r="D4300" t="s">
        <v>111</v>
      </c>
      <c r="F4300" t="str">
        <f>VLOOKUP(G4300,PC!B:D,2,FALSE)</f>
        <v>RECEITA</v>
      </c>
      <c r="G4300" s="4" t="s">
        <v>54</v>
      </c>
      <c r="H4300" s="1">
        <f>330+200+400+1650+76+211.2+250+55+100.9+120+230+186+40+2100+454+140+1050+350+2000+1900+160+450+400+250+900+1450+670</f>
        <v>16123.1</v>
      </c>
    </row>
    <row r="4301" spans="2:8" x14ac:dyDescent="0.2">
      <c r="B4301" t="str">
        <f>VLOOKUP(G4301,PC!B:D,3,FALSE)</f>
        <v>DESPESA PESSOAL</v>
      </c>
      <c r="C4301" s="22">
        <v>2024</v>
      </c>
      <c r="D4301" t="s">
        <v>111</v>
      </c>
      <c r="F4301" t="str">
        <f>VLOOKUP(G4301,PC!B:D,2,FALSE)</f>
        <v>DESPESA PESSOAL</v>
      </c>
      <c r="G4301" s="4" t="s">
        <v>56</v>
      </c>
      <c r="H4301" s="1">
        <v>350</v>
      </c>
    </row>
    <row r="4302" spans="2:8" x14ac:dyDescent="0.2">
      <c r="B4302" t="str">
        <f>VLOOKUP(G4302,PC!B:D,3,FALSE)</f>
        <v>CPV</v>
      </c>
      <c r="C4302" s="22">
        <v>2024</v>
      </c>
      <c r="D4302" t="s">
        <v>111</v>
      </c>
      <c r="E4302" t="s">
        <v>129</v>
      </c>
      <c r="F4302" t="str">
        <f>VLOOKUP(G4302,PC!B:D,2,FALSE)</f>
        <v>LIMPEZA</v>
      </c>
      <c r="G4302" s="4" t="s">
        <v>43</v>
      </c>
      <c r="H4302" s="1">
        <v>40</v>
      </c>
    </row>
    <row r="4303" spans="2:8" x14ac:dyDescent="0.2">
      <c r="B4303" t="str">
        <f>VLOOKUP(G4303,PC!B:D,3,FALSE)</f>
        <v>RECEITA</v>
      </c>
      <c r="C4303" s="22">
        <v>2024</v>
      </c>
      <c r="D4303" t="s">
        <v>111</v>
      </c>
      <c r="F4303" t="str">
        <f>VLOOKUP(G4303,PC!B:D,2,FALSE)</f>
        <v>RECEITA</v>
      </c>
      <c r="G4303" s="4" t="s">
        <v>59</v>
      </c>
      <c r="H4303" s="1">
        <v>3090</v>
      </c>
    </row>
    <row r="4304" spans="2:8" x14ac:dyDescent="0.2">
      <c r="B4304" t="str">
        <f>VLOOKUP(G4304,PC!B:D,3,FALSE)</f>
        <v>DESPESA PESSOAL</v>
      </c>
      <c r="C4304" s="22">
        <v>2024</v>
      </c>
      <c r="D4304" t="s">
        <v>111</v>
      </c>
      <c r="F4304" t="str">
        <f>VLOOKUP(G4304,PC!B:D,2,FALSE)</f>
        <v>DESPESA PESSOAL</v>
      </c>
      <c r="G4304" s="4" t="s">
        <v>68</v>
      </c>
      <c r="H4304" s="1">
        <v>120</v>
      </c>
    </row>
    <row r="4305" spans="2:8" x14ac:dyDescent="0.2">
      <c r="B4305" t="str">
        <f>VLOOKUP(G4305,PC!B:D,3,FALSE)</f>
        <v>CPV</v>
      </c>
      <c r="C4305" s="22">
        <v>2024</v>
      </c>
      <c r="D4305" t="s">
        <v>111</v>
      </c>
      <c r="E4305" t="s">
        <v>129</v>
      </c>
      <c r="F4305" t="str">
        <f>VLOOKUP(G4305,PC!B:D,2,FALSE)</f>
        <v>COMIDA</v>
      </c>
      <c r="G4305" s="4" t="s">
        <v>18</v>
      </c>
      <c r="H4305" s="1">
        <v>55</v>
      </c>
    </row>
    <row r="4306" spans="2:8" x14ac:dyDescent="0.2">
      <c r="B4306" t="str">
        <f>VLOOKUP(G4306,PC!B:D,3,FALSE)</f>
        <v>RECEITA</v>
      </c>
      <c r="C4306" s="22">
        <v>2024</v>
      </c>
      <c r="D4306" t="s">
        <v>111</v>
      </c>
      <c r="F4306" t="str">
        <f>VLOOKUP(G4306,PC!B:D,2,FALSE)</f>
        <v>RECEITA</v>
      </c>
      <c r="G4306" s="4" t="s">
        <v>54</v>
      </c>
      <c r="H4306" s="1">
        <f>40+120+142+1300+200+1900+40+312.3+105+1227+650+35+52+1700+57+35+922+109+192+1900+250+231.8+66+120+350+86+2200</f>
        <v>14342.099999999999</v>
      </c>
    </row>
    <row r="4307" spans="2:8" x14ac:dyDescent="0.2">
      <c r="B4307" t="str">
        <f>VLOOKUP(G4307,PC!B:D,3,FALSE)</f>
        <v>DESPESA PESSOAL</v>
      </c>
      <c r="C4307" s="22">
        <v>2024</v>
      </c>
      <c r="D4307" t="s">
        <v>111</v>
      </c>
      <c r="F4307" t="str">
        <f>VLOOKUP(G4307,PC!B:D,2,FALSE)</f>
        <v>DESPESA PESSOAL</v>
      </c>
      <c r="G4307" s="4" t="s">
        <v>68</v>
      </c>
      <c r="H4307" s="1">
        <v>120</v>
      </c>
    </row>
    <row r="4308" spans="2:8" x14ac:dyDescent="0.2">
      <c r="B4308" t="str">
        <f>VLOOKUP(G4308,PC!B:D,3,FALSE)</f>
        <v>CPV</v>
      </c>
      <c r="C4308" s="22">
        <v>2024</v>
      </c>
      <c r="D4308" t="s">
        <v>111</v>
      </c>
      <c r="E4308" t="s">
        <v>129</v>
      </c>
      <c r="F4308" t="str">
        <f>VLOOKUP(G4308,PC!B:D,2,FALSE)</f>
        <v>COMIDA</v>
      </c>
      <c r="G4308" s="4" t="s">
        <v>146</v>
      </c>
      <c r="H4308" s="1">
        <v>35</v>
      </c>
    </row>
    <row r="4309" spans="2:8" x14ac:dyDescent="0.2">
      <c r="B4309" t="str">
        <f>VLOOKUP(G4309,PC!B:D,3,FALSE)</f>
        <v>DESPESA PESSOAL</v>
      </c>
      <c r="C4309" s="22">
        <v>2024</v>
      </c>
      <c r="D4309" t="s">
        <v>111</v>
      </c>
      <c r="F4309" t="str">
        <f>VLOOKUP(G4309,PC!B:D,2,FALSE)</f>
        <v>DESPESA PESSOAL</v>
      </c>
      <c r="G4309" s="4" t="s">
        <v>68</v>
      </c>
      <c r="H4309" s="1">
        <v>57</v>
      </c>
    </row>
    <row r="4310" spans="2:8" x14ac:dyDescent="0.2">
      <c r="B4310" t="str">
        <f>VLOOKUP(G4310,PC!B:D,3,FALSE)</f>
        <v>DESPESA OPERACIONAL</v>
      </c>
      <c r="C4310" s="22">
        <v>2024</v>
      </c>
      <c r="D4310" t="s">
        <v>111</v>
      </c>
      <c r="F4310" t="str">
        <f>VLOOKUP(G4310,PC!B:D,2,FALSE)</f>
        <v>MANUTENÇÃO MÁQUINAS</v>
      </c>
      <c r="G4310" s="4" t="s">
        <v>147</v>
      </c>
      <c r="H4310" s="1">
        <v>35</v>
      </c>
    </row>
    <row r="4311" spans="2:8" x14ac:dyDescent="0.2">
      <c r="B4311" t="str">
        <f>VLOOKUP(G4311,PC!B:D,3,FALSE)</f>
        <v>DESPESA OPERACIONAL</v>
      </c>
      <c r="C4311" s="22">
        <v>2024</v>
      </c>
      <c r="D4311" t="s">
        <v>111</v>
      </c>
      <c r="F4311" t="str">
        <f>VLOOKUP(G4311,PC!B:D,2,FALSE)</f>
        <v>DESPESA OPERACIONAL</v>
      </c>
      <c r="G4311" s="4" t="s">
        <v>70</v>
      </c>
      <c r="H4311" s="1">
        <v>105</v>
      </c>
    </row>
    <row r="4312" spans="2:8" x14ac:dyDescent="0.2">
      <c r="B4312" t="str">
        <f>VLOOKUP(G4312,PC!B:D,3,FALSE)</f>
        <v>RECEITA</v>
      </c>
      <c r="C4312" s="22">
        <v>2024</v>
      </c>
      <c r="D4312" t="s">
        <v>111</v>
      </c>
      <c r="F4312" t="str">
        <f>VLOOKUP(G4312,PC!B:D,2,FALSE)</f>
        <v>RECEITA</v>
      </c>
      <c r="G4312" s="4" t="s">
        <v>54</v>
      </c>
      <c r="H4312" s="1">
        <f>164+1450+48+350+1600+350+2000+200+50+550+1600+100+650+112.5+1400+67+94+1650+300+36+30+255+50+23+500+48.5</f>
        <v>13678</v>
      </c>
    </row>
    <row r="4313" spans="2:8" x14ac:dyDescent="0.2">
      <c r="B4313" t="str">
        <f>VLOOKUP(G4313,PC!B:D,3,FALSE)</f>
        <v>CPV</v>
      </c>
      <c r="C4313" s="22">
        <v>2024</v>
      </c>
      <c r="D4313" t="s">
        <v>111</v>
      </c>
      <c r="E4313" t="s">
        <v>129</v>
      </c>
      <c r="F4313" t="str">
        <f>VLOOKUP(G4313,PC!B:D,2,FALSE)</f>
        <v>COMIDA</v>
      </c>
      <c r="G4313" s="4" t="s">
        <v>146</v>
      </c>
      <c r="H4313" s="1">
        <v>50</v>
      </c>
    </row>
    <row r="4314" spans="2:8" x14ac:dyDescent="0.2">
      <c r="B4314" t="str">
        <f>VLOOKUP(G4314,PC!B:D,3,FALSE)</f>
        <v>DESPESA OPERACIONAL</v>
      </c>
      <c r="C4314" s="22">
        <v>2024</v>
      </c>
      <c r="D4314" t="s">
        <v>111</v>
      </c>
      <c r="F4314" t="str">
        <f>VLOOKUP(G4314,PC!B:D,2,FALSE)</f>
        <v>DESPESA OPERACIONAL</v>
      </c>
      <c r="G4314" s="4" t="s">
        <v>70</v>
      </c>
      <c r="H4314" s="1">
        <v>94</v>
      </c>
    </row>
    <row r="4315" spans="2:8" x14ac:dyDescent="0.2">
      <c r="B4315" t="str">
        <f>VLOOKUP(G4315,PC!B:D,3,FALSE)</f>
        <v>DESPESA PESSOAL</v>
      </c>
      <c r="C4315" s="22">
        <v>2024</v>
      </c>
      <c r="D4315" t="s">
        <v>111</v>
      </c>
      <c r="F4315" t="str">
        <f>VLOOKUP(G4315,PC!B:D,2,FALSE)</f>
        <v>DESPESA PESSOAL</v>
      </c>
      <c r="G4315" s="4" t="s">
        <v>68</v>
      </c>
      <c r="H4315" s="1">
        <v>50</v>
      </c>
    </row>
    <row r="4316" spans="2:8" x14ac:dyDescent="0.2">
      <c r="B4316" t="str">
        <f>VLOOKUP(G4316,PC!B:D,3,FALSE)</f>
        <v>CPV</v>
      </c>
      <c r="C4316" s="22">
        <v>2024</v>
      </c>
      <c r="D4316" t="s">
        <v>111</v>
      </c>
      <c r="E4316" t="s">
        <v>129</v>
      </c>
      <c r="F4316" t="str">
        <f>VLOOKUP(G4316,PC!B:D,2,FALSE)</f>
        <v>OUTROS</v>
      </c>
      <c r="G4316" s="4" t="s">
        <v>37</v>
      </c>
      <c r="H4316" s="1">
        <v>100</v>
      </c>
    </row>
    <row r="4317" spans="2:8" x14ac:dyDescent="0.2">
      <c r="B4317" t="str">
        <f>VLOOKUP(G4317,PC!B:D,3,FALSE)</f>
        <v>DESPESA PESSOAL</v>
      </c>
      <c r="C4317" s="22">
        <v>2024</v>
      </c>
      <c r="D4317" t="s">
        <v>111</v>
      </c>
      <c r="F4317" t="str">
        <f>VLOOKUP(G4317,PC!B:D,2,FALSE)</f>
        <v>DESPESA PESSOAL</v>
      </c>
      <c r="G4317" s="4" t="s">
        <v>56</v>
      </c>
      <c r="H4317" s="1">
        <v>350</v>
      </c>
    </row>
    <row r="4318" spans="2:8" x14ac:dyDescent="0.2">
      <c r="B4318" t="str">
        <f>VLOOKUP(G4318,PC!B:D,3,FALSE)</f>
        <v>RECEITA</v>
      </c>
      <c r="C4318" s="22">
        <v>2024</v>
      </c>
      <c r="D4318" t="s">
        <v>111</v>
      </c>
      <c r="F4318" t="str">
        <f>VLOOKUP(G4318,PC!B:D,2,FALSE)</f>
        <v>RECEITA</v>
      </c>
      <c r="G4318" s="4" t="s">
        <v>54</v>
      </c>
      <c r="H4318" s="1">
        <f>100+1400+55+840+2600+100+900+350+320+2000+2400+350+85+700+400+45+50+1650+510+40+520+1400+40+114+14</f>
        <v>16983</v>
      </c>
    </row>
    <row r="4319" spans="2:8" x14ac:dyDescent="0.2">
      <c r="B4319" t="str">
        <f>VLOOKUP(G4319,PC!B:D,3,FALSE)</f>
        <v>DESPESA OPERACIONAL</v>
      </c>
      <c r="C4319" s="22">
        <v>2024</v>
      </c>
      <c r="D4319" t="s">
        <v>111</v>
      </c>
      <c r="F4319" t="str">
        <f>VLOOKUP(G4319,PC!B:D,2,FALSE)</f>
        <v>DESPESA OPERACIONAL</v>
      </c>
      <c r="G4319" s="4" t="s">
        <v>70</v>
      </c>
      <c r="H4319" s="1">
        <v>14</v>
      </c>
    </row>
    <row r="4320" spans="2:8" x14ac:dyDescent="0.2">
      <c r="B4320" t="e">
        <f>VLOOKUP(G4320,PC!B:D,3,FALSE)</f>
        <v>#N/A</v>
      </c>
      <c r="C4320" s="22">
        <v>2024</v>
      </c>
      <c r="D4320" t="s">
        <v>111</v>
      </c>
      <c r="F4320" t="e">
        <f>VLOOKUP(G4320,PC!B:D,2,FALSE)</f>
        <v>#N/A</v>
      </c>
      <c r="G4320" s="4" t="s">
        <v>231</v>
      </c>
      <c r="H4320" s="1">
        <v>45</v>
      </c>
    </row>
    <row r="4321" spans="2:8" x14ac:dyDescent="0.2">
      <c r="B4321" t="str">
        <f>VLOOKUP(G4321,PC!B:D,3,FALSE)</f>
        <v>RECEITAS NÃO OPERACIONAIS</v>
      </c>
      <c r="C4321" s="22">
        <v>2024</v>
      </c>
      <c r="D4321" t="s">
        <v>111</v>
      </c>
      <c r="F4321" t="str">
        <f>VLOOKUP(G4321,PC!B:D,2,FALSE)</f>
        <v>EMPRESTIMO</v>
      </c>
      <c r="G4321" s="4" t="s">
        <v>71</v>
      </c>
      <c r="H4321" s="1">
        <v>50</v>
      </c>
    </row>
    <row r="4322" spans="2:8" x14ac:dyDescent="0.2">
      <c r="B4322" t="str">
        <f>VLOOKUP(G4322,PC!B:D,3,FALSE)</f>
        <v>DESPESA PESSOAL</v>
      </c>
      <c r="C4322" s="22">
        <v>2024</v>
      </c>
      <c r="D4322" t="s">
        <v>111</v>
      </c>
      <c r="F4322" t="str">
        <f>VLOOKUP(G4322,PC!B:D,2,FALSE)</f>
        <v>DESPESA PESSOAL</v>
      </c>
      <c r="G4322" s="4" t="s">
        <v>56</v>
      </c>
      <c r="H4322" s="1">
        <v>350</v>
      </c>
    </row>
    <row r="4323" spans="2:8" x14ac:dyDescent="0.2">
      <c r="B4323" t="str">
        <f>VLOOKUP(G4323,PC!B:D,3,FALSE)</f>
        <v>CPV</v>
      </c>
      <c r="C4323" s="22">
        <v>2024</v>
      </c>
      <c r="D4323" t="s">
        <v>111</v>
      </c>
      <c r="E4323" t="s">
        <v>129</v>
      </c>
      <c r="F4323" t="str">
        <f>VLOOKUP(G4323,PC!B:D,2,FALSE)</f>
        <v>COMIDA</v>
      </c>
      <c r="G4323" s="4" t="s">
        <v>12</v>
      </c>
      <c r="H4323" s="1">
        <v>320</v>
      </c>
    </row>
    <row r="4324" spans="2:8" x14ac:dyDescent="0.2">
      <c r="B4324" t="str">
        <f>VLOOKUP(G4324,PC!B:D,3,FALSE)</f>
        <v>RECEITA</v>
      </c>
      <c r="C4324" s="22">
        <v>2024</v>
      </c>
      <c r="D4324" t="s">
        <v>111</v>
      </c>
      <c r="F4324" t="str">
        <f>VLOOKUP(G4324,PC!B:D,2,FALSE)</f>
        <v>RECEITA</v>
      </c>
      <c r="G4324" s="4" t="s">
        <v>54</v>
      </c>
      <c r="H4324" s="1">
        <f>43+100+700+1050+30+45+235+140+23+30+200+192+1650+55+500+30+52.6+104.3+422.4+1000+1100+50+60+950+350+900+800</f>
        <v>10812.3</v>
      </c>
    </row>
    <row r="4325" spans="2:8" x14ac:dyDescent="0.2">
      <c r="B4325" t="str">
        <f>VLOOKUP(G4325,PC!B:D,3,FALSE)</f>
        <v>DESPESA PESSOAL</v>
      </c>
      <c r="C4325" s="22">
        <v>2024</v>
      </c>
      <c r="D4325" t="s">
        <v>111</v>
      </c>
      <c r="F4325" t="str">
        <f>VLOOKUP(G4325,PC!B:D,2,FALSE)</f>
        <v>DESPESA PESSOAL</v>
      </c>
      <c r="G4325" s="4" t="s">
        <v>56</v>
      </c>
      <c r="H4325" s="1">
        <v>350</v>
      </c>
    </row>
    <row r="4326" spans="2:8" x14ac:dyDescent="0.2">
      <c r="B4326" t="str">
        <f>VLOOKUP(G4326,PC!B:D,3,FALSE)</f>
        <v>RECEITAS NÃO OPERACIONAIS</v>
      </c>
      <c r="C4326" s="22">
        <v>2024</v>
      </c>
      <c r="D4326" t="s">
        <v>111</v>
      </c>
      <c r="F4326" t="str">
        <f>VLOOKUP(G4326,PC!B:D,2,FALSE)</f>
        <v>EMPRESTIMO</v>
      </c>
      <c r="G4326" s="4" t="s">
        <v>71</v>
      </c>
      <c r="H4326" s="1">
        <v>50</v>
      </c>
    </row>
    <row r="4327" spans="2:8" x14ac:dyDescent="0.2">
      <c r="B4327" t="str">
        <f>VLOOKUP(G4327,PC!B:D,3,FALSE)</f>
        <v>DESPESA PESSOAL</v>
      </c>
      <c r="C4327" s="22">
        <v>2024</v>
      </c>
      <c r="D4327" t="s">
        <v>111</v>
      </c>
      <c r="F4327" t="str">
        <f>VLOOKUP(G4327,PC!B:D,2,FALSE)</f>
        <v>DESPESA PESSOAL</v>
      </c>
      <c r="G4327" s="4" t="s">
        <v>68</v>
      </c>
      <c r="H4327" s="1">
        <v>30</v>
      </c>
    </row>
    <row r="4328" spans="2:8" x14ac:dyDescent="0.2">
      <c r="B4328" t="str">
        <f>VLOOKUP(G4328,PC!B:D,3,FALSE)</f>
        <v>RECEITAS NÃO OPERACIONAIS</v>
      </c>
      <c r="C4328" s="22">
        <v>2024</v>
      </c>
      <c r="D4328" t="s">
        <v>111</v>
      </c>
      <c r="F4328" t="str">
        <f>VLOOKUP(G4328,PC!B:D,2,FALSE)</f>
        <v>EMPRESTIMO</v>
      </c>
      <c r="G4328" s="4" t="s">
        <v>71</v>
      </c>
      <c r="H4328" s="1">
        <v>23</v>
      </c>
    </row>
    <row r="4329" spans="2:8" x14ac:dyDescent="0.2">
      <c r="B4329" t="str">
        <f>VLOOKUP(G4329,PC!B:D,3,FALSE)</f>
        <v>RECEITA</v>
      </c>
      <c r="C4329" s="22">
        <v>2024</v>
      </c>
      <c r="D4329" t="s">
        <v>111</v>
      </c>
      <c r="F4329" t="str">
        <f>VLOOKUP(G4329,PC!B:D,2,FALSE)</f>
        <v>RECEITA</v>
      </c>
      <c r="G4329" s="4" t="s">
        <v>54</v>
      </c>
      <c r="H4329" s="1">
        <f>2200+580+66+200+35+500+45+1100+60+1000+23+1300+150+78+96+250+122.5+66+500+900+76+84+309+36+50+25+36+150+100+1650+211.2+78+150+50+388+226+600+650</f>
        <v>14140.7</v>
      </c>
    </row>
    <row r="4330" spans="2:8" x14ac:dyDescent="0.2">
      <c r="B4330" t="str">
        <f>VLOOKUP(G4330,PC!B:D,3,FALSE)</f>
        <v>CPV</v>
      </c>
      <c r="C4330" s="22">
        <v>2024</v>
      </c>
      <c r="D4330" t="s">
        <v>111</v>
      </c>
      <c r="F4330" t="str">
        <f>VLOOKUP(G4330,PC!B:D,2,FALSE)</f>
        <v>COMIDA</v>
      </c>
      <c r="G4330" s="4" t="s">
        <v>33</v>
      </c>
      <c r="H4330" s="1">
        <v>78</v>
      </c>
    </row>
    <row r="4331" spans="2:8" x14ac:dyDescent="0.2">
      <c r="B4331" t="str">
        <f>VLOOKUP(G4331,PC!B:D,3,FALSE)</f>
        <v>DESPESA OPERACIONAL</v>
      </c>
      <c r="C4331" s="22">
        <v>2024</v>
      </c>
      <c r="D4331" t="s">
        <v>111</v>
      </c>
      <c r="F4331" t="str">
        <f>VLOOKUP(G4331,PC!B:D,2,FALSE)</f>
        <v>MANUTENÇÃO MÁQUINAS</v>
      </c>
      <c r="G4331" s="4" t="s">
        <v>147</v>
      </c>
      <c r="H4331" s="1">
        <v>50</v>
      </c>
    </row>
    <row r="4332" spans="2:8" x14ac:dyDescent="0.2">
      <c r="B4332" t="str">
        <f>VLOOKUP(G4332,PC!B:D,3,FALSE)</f>
        <v>CPV</v>
      </c>
      <c r="C4332" s="22">
        <v>2024</v>
      </c>
      <c r="D4332" t="s">
        <v>111</v>
      </c>
      <c r="E4332" t="s">
        <v>129</v>
      </c>
      <c r="F4332" t="str">
        <f>VLOOKUP(G4332,PC!B:D,2,FALSE)</f>
        <v>COMIDA</v>
      </c>
      <c r="G4332" s="4" t="s">
        <v>12</v>
      </c>
      <c r="H4332" s="1">
        <v>226</v>
      </c>
    </row>
    <row r="4333" spans="2:8" x14ac:dyDescent="0.2">
      <c r="B4333" t="str">
        <f>VLOOKUP(G4333,PC!B:D,3,FALSE)</f>
        <v>CPV</v>
      </c>
      <c r="C4333" s="22">
        <v>2024</v>
      </c>
      <c r="D4333" t="s">
        <v>111</v>
      </c>
      <c r="E4333" t="s">
        <v>129</v>
      </c>
      <c r="F4333" t="str">
        <f>VLOOKUP(G4333,PC!B:D,2,FALSE)</f>
        <v>COMIDA</v>
      </c>
      <c r="G4333" s="4" t="s">
        <v>12</v>
      </c>
      <c r="H4333" s="1">
        <v>36</v>
      </c>
    </row>
    <row r="4334" spans="2:8" x14ac:dyDescent="0.2">
      <c r="B4334" t="str">
        <f>VLOOKUP(G4334,PC!B:D,3,FALSE)</f>
        <v>CPV</v>
      </c>
      <c r="C4334" s="22">
        <v>2024</v>
      </c>
      <c r="D4334" t="s">
        <v>111</v>
      </c>
      <c r="E4334" t="s">
        <v>129</v>
      </c>
      <c r="F4334" t="str">
        <f>VLOOKUP(G4334,PC!B:D,2,FALSE)</f>
        <v>COMIDA</v>
      </c>
      <c r="G4334" s="4" t="s">
        <v>33</v>
      </c>
      <c r="H4334" s="1">
        <v>580</v>
      </c>
    </row>
    <row r="4335" spans="2:8" x14ac:dyDescent="0.2">
      <c r="B4335" t="str">
        <f>VLOOKUP(G4335,PC!B:D,3,FALSE)</f>
        <v>RECEITAS NÃO OPERACIONAIS</v>
      </c>
      <c r="C4335" s="22">
        <v>2024</v>
      </c>
      <c r="D4335" t="s">
        <v>111</v>
      </c>
      <c r="F4335" t="str">
        <f>VLOOKUP(G4335,PC!B:D,2,FALSE)</f>
        <v>EMPRESTIMO</v>
      </c>
      <c r="G4335" s="4" t="s">
        <v>71</v>
      </c>
      <c r="H4335" s="1">
        <v>35</v>
      </c>
    </row>
    <row r="4336" spans="2:8" x14ac:dyDescent="0.2">
      <c r="B4336" t="e">
        <f>VLOOKUP(G4336,PC!B:D,3,FALSE)</f>
        <v>#N/A</v>
      </c>
      <c r="C4336" s="22">
        <v>2024</v>
      </c>
      <c r="D4336" t="s">
        <v>111</v>
      </c>
      <c r="F4336" t="e">
        <f>VLOOKUP(G4336,PC!B:D,2,FALSE)</f>
        <v>#N/A</v>
      </c>
      <c r="G4336" s="4" t="s">
        <v>231</v>
      </c>
      <c r="H4336" s="1">
        <v>45</v>
      </c>
    </row>
    <row r="4337" spans="2:8" x14ac:dyDescent="0.2">
      <c r="B4337" t="str">
        <f>VLOOKUP(G4337,PC!B:D,3,FALSE)</f>
        <v>DESPESA OPERACIONAL</v>
      </c>
      <c r="C4337" s="22">
        <v>2024</v>
      </c>
      <c r="D4337" t="s">
        <v>111</v>
      </c>
      <c r="F4337" t="str">
        <f>VLOOKUP(G4337,PC!B:D,2,FALSE)</f>
        <v>DESPESA OPERACIONAL</v>
      </c>
      <c r="G4337" s="4" t="s">
        <v>70</v>
      </c>
      <c r="H4337" s="1">
        <v>96</v>
      </c>
    </row>
    <row r="4338" spans="2:8" x14ac:dyDescent="0.2">
      <c r="B4338" t="str">
        <f>VLOOKUP(G4338,PC!B:D,3,FALSE)</f>
        <v>CPV</v>
      </c>
      <c r="C4338" s="22">
        <v>2024</v>
      </c>
      <c r="D4338" t="s">
        <v>111</v>
      </c>
      <c r="E4338" t="s">
        <v>129</v>
      </c>
      <c r="F4338" t="str">
        <f>VLOOKUP(G4338,PC!B:D,2,FALSE)</f>
        <v>COMIDA</v>
      </c>
      <c r="G4338" s="4" t="s">
        <v>146</v>
      </c>
      <c r="H4338" s="1">
        <v>36</v>
      </c>
    </row>
    <row r="4339" spans="2:8" x14ac:dyDescent="0.2">
      <c r="B4339" t="str">
        <f>VLOOKUP(G4339,PC!B:D,3,FALSE)</f>
        <v>DESPESA PESSOAL</v>
      </c>
      <c r="C4339" s="22">
        <v>2024</v>
      </c>
      <c r="D4339" t="s">
        <v>111</v>
      </c>
      <c r="F4339" t="str">
        <f>VLOOKUP(G4339,PC!B:D,2,FALSE)</f>
        <v>DESPESA PESSOAL</v>
      </c>
      <c r="G4339" s="4" t="s">
        <v>68</v>
      </c>
      <c r="H4339" s="1">
        <v>50</v>
      </c>
    </row>
    <row r="4340" spans="2:8" x14ac:dyDescent="0.2">
      <c r="B4340" t="str">
        <f>VLOOKUP(G4340,PC!B:D,3,FALSE)</f>
        <v>RECEITAS NÃO OPERACIONAIS</v>
      </c>
      <c r="C4340" s="22">
        <v>2024</v>
      </c>
      <c r="D4340" t="s">
        <v>111</v>
      </c>
      <c r="F4340" t="str">
        <f>VLOOKUP(G4340,PC!B:D,2,FALSE)</f>
        <v>EMPRESTIMO</v>
      </c>
      <c r="G4340" s="4" t="s">
        <v>71</v>
      </c>
      <c r="H4340" s="1">
        <v>26</v>
      </c>
    </row>
    <row r="4341" spans="2:8" x14ac:dyDescent="0.2">
      <c r="B4341" t="str">
        <f>VLOOKUP(G4341,PC!B:D,3,FALSE)</f>
        <v>DESPESA PESSOAL</v>
      </c>
      <c r="C4341" s="22">
        <v>2024</v>
      </c>
      <c r="D4341" t="s">
        <v>111</v>
      </c>
      <c r="F4341" t="str">
        <f>VLOOKUP(G4341,PC!B:D,2,FALSE)</f>
        <v>DESPESA PESSOAL</v>
      </c>
      <c r="G4341" s="4" t="s">
        <v>56</v>
      </c>
      <c r="H4341" s="1">
        <v>1800</v>
      </c>
    </row>
    <row r="4342" spans="2:8" x14ac:dyDescent="0.2">
      <c r="B4342" t="str">
        <f>VLOOKUP(G4342,PC!B:D,3,FALSE)</f>
        <v>DESPESA PESSOAL</v>
      </c>
      <c r="C4342" s="22">
        <v>2024</v>
      </c>
      <c r="D4342" t="s">
        <v>111</v>
      </c>
      <c r="F4342" t="str">
        <f>VLOOKUP(G4342,PC!B:D,2,FALSE)</f>
        <v>DESPESA PESSOAL</v>
      </c>
      <c r="G4342" s="4" t="s">
        <v>124</v>
      </c>
      <c r="H4342" s="1">
        <v>2400</v>
      </c>
    </row>
    <row r="4343" spans="2:8" x14ac:dyDescent="0.2">
      <c r="B4343" t="str">
        <f>VLOOKUP(G4343,PC!B:D,3,FALSE)</f>
        <v>SERV.TERCEIROS</v>
      </c>
      <c r="C4343" s="22">
        <v>2024</v>
      </c>
      <c r="D4343" t="s">
        <v>110</v>
      </c>
      <c r="F4343" t="str">
        <f>VLOOKUP(G4343,PC!B:D,2,FALSE)</f>
        <v>SERV.TERCEIROS</v>
      </c>
      <c r="G4343" s="4" t="s">
        <v>123</v>
      </c>
      <c r="H4343" s="1">
        <v>190</v>
      </c>
    </row>
    <row r="4344" spans="2:8" x14ac:dyDescent="0.2">
      <c r="B4344" t="str">
        <f>VLOOKUP(G4344,PC!B:D,3,FALSE)</f>
        <v>SERV.TERCEIROS</v>
      </c>
      <c r="C4344" s="22">
        <v>2024</v>
      </c>
      <c r="D4344" t="s">
        <v>111</v>
      </c>
      <c r="F4344" t="str">
        <f>VLOOKUP(G4344,PC!B:D,2,FALSE)</f>
        <v>SERV.TERCEIROS</v>
      </c>
      <c r="G4344" s="4" t="s">
        <v>123</v>
      </c>
      <c r="H4344" s="1">
        <v>190</v>
      </c>
    </row>
    <row r="4345" spans="2:8" x14ac:dyDescent="0.2">
      <c r="B4345" t="str">
        <f>VLOOKUP(G4345,PC!B:D,3,FALSE)</f>
        <v>RECEITA</v>
      </c>
      <c r="C4345" s="22">
        <v>2024</v>
      </c>
      <c r="D4345" t="s">
        <v>111</v>
      </c>
      <c r="F4345" t="str">
        <f>VLOOKUP(G4345,PC!B:D,2,FALSE)</f>
        <v>RECEITA</v>
      </c>
      <c r="G4345" s="4" t="s">
        <v>136</v>
      </c>
      <c r="H4345" s="1">
        <f>34764.4-56.5</f>
        <v>34707.9</v>
      </c>
    </row>
    <row r="4346" spans="2:8" x14ac:dyDescent="0.2">
      <c r="B4346" t="str">
        <f>VLOOKUP(G4346,PC!B:D,3,FALSE)</f>
        <v>DESCONTO DE FATURAMENTO</v>
      </c>
      <c r="C4346" s="22">
        <v>2024</v>
      </c>
      <c r="D4346" t="s">
        <v>111</v>
      </c>
      <c r="F4346" t="str">
        <f>VLOOKUP(G4346,PC!B:D,2,FALSE)</f>
        <v>OUTROS DESCONTOS</v>
      </c>
      <c r="G4346" s="4" t="s">
        <v>63</v>
      </c>
      <c r="H4346" s="1">
        <f>H4345-34321.84</f>
        <v>386.06000000000495</v>
      </c>
    </row>
    <row r="4347" spans="2:8" x14ac:dyDescent="0.2">
      <c r="B4347" t="e">
        <f>VLOOKUP(G4347,PC!B:D,3,FALSE)</f>
        <v>#N/A</v>
      </c>
      <c r="C4347" s="22">
        <v>2024</v>
      </c>
      <c r="D4347" t="s">
        <v>111</v>
      </c>
      <c r="F4347" t="e">
        <f>VLOOKUP(G4347,PC!B:D,2,FALSE)</f>
        <v>#N/A</v>
      </c>
      <c r="G4347" s="4" t="s">
        <v>232</v>
      </c>
      <c r="H4347" s="1">
        <v>3864.05</v>
      </c>
    </row>
    <row r="4348" spans="2:8" x14ac:dyDescent="0.2">
      <c r="B4348" t="str">
        <f>VLOOKUP(G4348,PC!B:D,3,FALSE)</f>
        <v>DESCONTO DE FATURAMENTO</v>
      </c>
      <c r="C4348" s="22">
        <v>2024</v>
      </c>
      <c r="D4348" t="s">
        <v>111</v>
      </c>
      <c r="F4348" t="str">
        <f>VLOOKUP(G4348,PC!B:D,2,FALSE)</f>
        <v>OUTROS DESCONTOS</v>
      </c>
      <c r="G4348" s="4" t="s">
        <v>63</v>
      </c>
      <c r="H4348" s="1">
        <v>19.600000000000001</v>
      </c>
    </row>
    <row r="4349" spans="2:8" x14ac:dyDescent="0.2">
      <c r="B4349" t="str">
        <f>VLOOKUP(G4349,PC!B:D,3,FALSE)</f>
        <v>RECEITA</v>
      </c>
      <c r="C4349" s="22">
        <v>2024</v>
      </c>
      <c r="D4349" t="s">
        <v>111</v>
      </c>
      <c r="F4349" t="str">
        <f>VLOOKUP(G4349,PC!B:D,2,FALSE)</f>
        <v>RECEITA</v>
      </c>
      <c r="G4349" s="4" t="s">
        <v>137</v>
      </c>
      <c r="H4349" s="1">
        <f>15767.53-17.98</f>
        <v>15749.550000000001</v>
      </c>
    </row>
    <row r="4350" spans="2:8" x14ac:dyDescent="0.2">
      <c r="B4350" t="str">
        <f>VLOOKUP(G4350,PC!B:D,3,FALSE)</f>
        <v>DESCONTO DE FATURAMENTO</v>
      </c>
      <c r="C4350" s="22">
        <v>2024</v>
      </c>
      <c r="D4350" t="s">
        <v>111</v>
      </c>
      <c r="F4350" t="str">
        <f>VLOOKUP(G4350,PC!B:D,2,FALSE)</f>
        <v>OUTROS DESCONTOS</v>
      </c>
      <c r="G4350" s="4" t="s">
        <v>63</v>
      </c>
      <c r="H4350" s="1">
        <v>300.47000000000003</v>
      </c>
    </row>
    <row r="4351" spans="2:8" x14ac:dyDescent="0.2">
      <c r="B4351" t="str">
        <f>VLOOKUP(G4351,PC!B:D,3,FALSE)</f>
        <v>SERV.TERCEIROS</v>
      </c>
      <c r="C4351" s="22">
        <v>2024</v>
      </c>
      <c r="D4351" t="s">
        <v>111</v>
      </c>
      <c r="F4351" t="str">
        <f>VLOOKUP(G4351,PC!B:D,2,FALSE)</f>
        <v>SERV.TERCEIROS</v>
      </c>
      <c r="G4351" s="4" t="s">
        <v>60</v>
      </c>
      <c r="H4351" s="1">
        <v>410</v>
      </c>
    </row>
    <row r="4352" spans="2:8" x14ac:dyDescent="0.2">
      <c r="B4352" t="str">
        <f>VLOOKUP(G4352,PC!B:D,3,FALSE)</f>
        <v>RECEITA</v>
      </c>
      <c r="C4352" s="22">
        <v>2024</v>
      </c>
      <c r="D4352" t="s">
        <v>111</v>
      </c>
      <c r="F4352" t="str">
        <f>VLOOKUP(G4352,PC!B:D,2,FALSE)</f>
        <v>RECEITA</v>
      </c>
      <c r="G4352" s="4" t="s">
        <v>136</v>
      </c>
      <c r="H4352" s="1">
        <v>198.15</v>
      </c>
    </row>
    <row r="4353" spans="2:8" x14ac:dyDescent="0.2">
      <c r="B4353" t="str">
        <f>VLOOKUP(G4353,PC!B:D,3,FALSE)</f>
        <v>CPV</v>
      </c>
      <c r="C4353" s="22">
        <v>2024</v>
      </c>
      <c r="D4353" t="s">
        <v>110</v>
      </c>
      <c r="F4353" t="str">
        <f>VLOOKUP(G4353,PC!B:D,2,FALSE)</f>
        <v>OUTROS</v>
      </c>
      <c r="G4353" s="4" t="s">
        <v>37</v>
      </c>
      <c r="H4353" s="1">
        <f>546.37+489</f>
        <v>1035.3699999999999</v>
      </c>
    </row>
    <row r="4354" spans="2:8" x14ac:dyDescent="0.2">
      <c r="B4354" t="str">
        <f>VLOOKUP(G4354,PC!B:D,3,FALSE)</f>
        <v>CPV</v>
      </c>
      <c r="C4354" s="22">
        <v>2024</v>
      </c>
      <c r="D4354" t="s">
        <v>112</v>
      </c>
      <c r="E4354" t="s">
        <v>240</v>
      </c>
      <c r="F4354" t="str">
        <f>VLOOKUP(G4354,PC!B:D,2,FALSE)</f>
        <v>HIGIENE</v>
      </c>
      <c r="G4354" s="4" t="s">
        <v>36</v>
      </c>
      <c r="H4354" s="1">
        <v>269.31</v>
      </c>
    </row>
    <row r="4355" spans="2:8" x14ac:dyDescent="0.2">
      <c r="B4355" t="str">
        <f>VLOOKUP(G4355,PC!B:D,3,FALSE)</f>
        <v>CPV</v>
      </c>
      <c r="C4355" s="22">
        <v>2024</v>
      </c>
      <c r="D4355" t="s">
        <v>112</v>
      </c>
      <c r="E4355" t="s">
        <v>129</v>
      </c>
      <c r="F4355" t="str">
        <f>VLOOKUP(G4355,PC!B:D,2,FALSE)</f>
        <v>SOBREMESA</v>
      </c>
      <c r="G4355" s="4" t="s">
        <v>23</v>
      </c>
      <c r="H4355" s="1">
        <v>551.16</v>
      </c>
    </row>
    <row r="4356" spans="2:8" x14ac:dyDescent="0.2">
      <c r="B4356" t="str">
        <f>VLOOKUP(G4356,PC!B:D,3,FALSE)</f>
        <v>CPV</v>
      </c>
      <c r="C4356" s="22">
        <v>2024</v>
      </c>
      <c r="D4356" t="s">
        <v>112</v>
      </c>
      <c r="E4356" t="s">
        <v>16</v>
      </c>
      <c r="F4356" t="str">
        <f>VLOOKUP(G4356,PC!B:D,2,FALSE)</f>
        <v>COMIDA</v>
      </c>
      <c r="G4356" s="4" t="s">
        <v>12</v>
      </c>
      <c r="H4356" s="1">
        <f>269.44+189.65</f>
        <v>459.09000000000003</v>
      </c>
    </row>
    <row r="4357" spans="2:8" x14ac:dyDescent="0.2">
      <c r="B4357" t="str">
        <f>VLOOKUP(G4357,PC!B:D,3,FALSE)</f>
        <v>CPV</v>
      </c>
      <c r="C4357" s="22">
        <v>2024</v>
      </c>
      <c r="D4357" t="s">
        <v>112</v>
      </c>
      <c r="E4357" t="s">
        <v>227</v>
      </c>
      <c r="F4357" t="str">
        <f>VLOOKUP(G4357,PC!B:D,2,FALSE)</f>
        <v>LIMPEZA</v>
      </c>
      <c r="G4357" s="4" t="s">
        <v>43</v>
      </c>
      <c r="H4357" s="1">
        <v>1488.84</v>
      </c>
    </row>
    <row r="4358" spans="2:8" x14ac:dyDescent="0.2">
      <c r="B4358" t="str">
        <f>VLOOKUP(G4358,PC!B:D,3,FALSE)</f>
        <v>CPV</v>
      </c>
      <c r="C4358" s="22">
        <v>2024</v>
      </c>
      <c r="D4358" t="s">
        <v>112</v>
      </c>
      <c r="E4358" t="s">
        <v>19</v>
      </c>
      <c r="F4358" t="str">
        <f>VLOOKUP(G4358,PC!B:D,2,FALSE)</f>
        <v>COMIDA</v>
      </c>
      <c r="G4358" s="4" t="s">
        <v>18</v>
      </c>
      <c r="H4358" s="1">
        <v>258.68</v>
      </c>
    </row>
    <row r="4359" spans="2:8" x14ac:dyDescent="0.2">
      <c r="B4359" t="str">
        <f>VLOOKUP(G4359,PC!B:D,3,FALSE)</f>
        <v>CPV</v>
      </c>
      <c r="C4359" s="22">
        <v>2024</v>
      </c>
      <c r="D4359" t="s">
        <v>112</v>
      </c>
      <c r="E4359" t="s">
        <v>19</v>
      </c>
      <c r="F4359" t="str">
        <f>VLOOKUP(G4359,PC!B:D,2,FALSE)</f>
        <v>COMIDA</v>
      </c>
      <c r="G4359" s="4" t="s">
        <v>145</v>
      </c>
      <c r="H4359" s="1">
        <v>120.22</v>
      </c>
    </row>
    <row r="4360" spans="2:8" x14ac:dyDescent="0.2">
      <c r="B4360" t="str">
        <f>VLOOKUP(G4360,PC!B:D,3,FALSE)</f>
        <v>CPV</v>
      </c>
      <c r="C4360" s="22">
        <v>2024</v>
      </c>
      <c r="D4360" t="s">
        <v>112</v>
      </c>
      <c r="E4360" t="s">
        <v>19</v>
      </c>
      <c r="F4360" t="str">
        <f>VLOOKUP(G4360,PC!B:D,2,FALSE)</f>
        <v>COMIDA</v>
      </c>
      <c r="G4360" s="4" t="s">
        <v>34</v>
      </c>
      <c r="H4360" s="1">
        <v>368.3</v>
      </c>
    </row>
    <row r="4361" spans="2:8" x14ac:dyDescent="0.2">
      <c r="B4361" t="str">
        <f>VLOOKUP(G4361,PC!B:D,3,FALSE)</f>
        <v>CPV</v>
      </c>
      <c r="C4361" s="22">
        <v>2024</v>
      </c>
      <c r="D4361" t="s">
        <v>112</v>
      </c>
      <c r="E4361" t="s">
        <v>45</v>
      </c>
      <c r="F4361" t="str">
        <f>VLOOKUP(G4361,PC!B:D,2,FALSE)</f>
        <v>BEBIDAS</v>
      </c>
      <c r="G4361" s="4" t="s">
        <v>48</v>
      </c>
      <c r="H4361" s="1">
        <v>586.33000000000004</v>
      </c>
    </row>
    <row r="4362" spans="2:8" x14ac:dyDescent="0.2">
      <c r="B4362" t="str">
        <f>VLOOKUP(G4362,PC!B:D,3,FALSE)</f>
        <v>DESPESA PESSOAL</v>
      </c>
      <c r="C4362" s="22">
        <v>2024</v>
      </c>
      <c r="D4362" t="s">
        <v>112</v>
      </c>
      <c r="F4362" t="str">
        <f>VLOOKUP(G4362,PC!B:D,2,FALSE)</f>
        <v>DESPESA PESSOAL</v>
      </c>
      <c r="G4362" s="4" t="s">
        <v>68</v>
      </c>
      <c r="H4362" s="1">
        <v>1641.5</v>
      </c>
    </row>
    <row r="4363" spans="2:8" x14ac:dyDescent="0.2">
      <c r="B4363" t="str">
        <f>VLOOKUP(G4363,PC!B:D,3,FALSE)</f>
        <v>CPV</v>
      </c>
      <c r="C4363" s="22">
        <v>2024</v>
      </c>
      <c r="D4363" t="s">
        <v>112</v>
      </c>
      <c r="E4363" t="s">
        <v>233</v>
      </c>
      <c r="F4363" t="str">
        <f>VLOOKUP(G4363,PC!B:D,2,FALSE)</f>
        <v>BEBIDAS</v>
      </c>
      <c r="G4363" s="4" t="s">
        <v>26</v>
      </c>
      <c r="H4363" s="1">
        <v>315.89999999999998</v>
      </c>
    </row>
    <row r="4364" spans="2:8" x14ac:dyDescent="0.2">
      <c r="B4364" t="str">
        <f>VLOOKUP(G4364,PC!B:D,3,FALSE)</f>
        <v>CPV</v>
      </c>
      <c r="C4364" s="22">
        <v>2024</v>
      </c>
      <c r="D4364" t="s">
        <v>112</v>
      </c>
      <c r="E4364" t="s">
        <v>30</v>
      </c>
      <c r="F4364" t="str">
        <f>VLOOKUP(G4364,PC!B:D,2,FALSE)</f>
        <v>SOBREMESA</v>
      </c>
      <c r="G4364" s="4" t="s">
        <v>23</v>
      </c>
      <c r="H4364" s="1">
        <v>248.16</v>
      </c>
    </row>
    <row r="4365" spans="2:8" x14ac:dyDescent="0.2">
      <c r="B4365" t="str">
        <f>VLOOKUP(G4365,PC!B:D,3,FALSE)</f>
        <v>CPV</v>
      </c>
      <c r="C4365" s="22">
        <v>2024</v>
      </c>
      <c r="D4365" t="s">
        <v>112</v>
      </c>
      <c r="E4365" t="s">
        <v>227</v>
      </c>
      <c r="F4365" t="str">
        <f>VLOOKUP(G4365,PC!B:D,2,FALSE)</f>
        <v>LIMPEZA</v>
      </c>
      <c r="G4365" s="4" t="s">
        <v>43</v>
      </c>
      <c r="H4365" s="1">
        <v>1340.83</v>
      </c>
    </row>
    <row r="4366" spans="2:8" x14ac:dyDescent="0.2">
      <c r="B4366" t="str">
        <f>VLOOKUP(G4366,PC!B:D,3,FALSE)</f>
        <v>CPV</v>
      </c>
      <c r="C4366" s="22">
        <v>2024</v>
      </c>
      <c r="D4366" t="s">
        <v>112</v>
      </c>
      <c r="E4366" t="s">
        <v>20</v>
      </c>
      <c r="F4366" t="str">
        <f>VLOOKUP(G4366,PC!B:D,2,FALSE)</f>
        <v>COMIDA</v>
      </c>
      <c r="G4366" s="4" t="s">
        <v>29</v>
      </c>
      <c r="H4366" s="1">
        <v>203.1</v>
      </c>
    </row>
    <row r="4367" spans="2:8" x14ac:dyDescent="0.2">
      <c r="B4367" t="str">
        <f>VLOOKUP(G4367,PC!B:D,3,FALSE)</f>
        <v>CPV</v>
      </c>
      <c r="C4367" s="22">
        <v>2024</v>
      </c>
      <c r="D4367" t="s">
        <v>112</v>
      </c>
      <c r="E4367" t="s">
        <v>212</v>
      </c>
      <c r="F4367" t="str">
        <f>VLOOKUP(G4367,PC!B:D,2,FALSE)</f>
        <v>COMIDA</v>
      </c>
      <c r="G4367" s="4" t="s">
        <v>33</v>
      </c>
      <c r="H4367" s="1">
        <v>133.1</v>
      </c>
    </row>
    <row r="4368" spans="2:8" x14ac:dyDescent="0.2">
      <c r="B4368" t="str">
        <f>VLOOKUP(G4368,PC!B:D,3,FALSE)</f>
        <v>CPV</v>
      </c>
      <c r="C4368" s="22">
        <v>2024</v>
      </c>
      <c r="D4368" t="s">
        <v>112</v>
      </c>
      <c r="E4368" t="s">
        <v>24</v>
      </c>
      <c r="F4368" t="str">
        <f>VLOOKUP(G4368,PC!B:D,2,FALSE)</f>
        <v>COMIDA</v>
      </c>
      <c r="G4368" s="4" t="s">
        <v>33</v>
      </c>
      <c r="H4368" s="1">
        <v>113.47</v>
      </c>
    </row>
    <row r="4369" spans="2:8" x14ac:dyDescent="0.2">
      <c r="B4369" t="str">
        <f>VLOOKUP(G4369,PC!B:D,3,FALSE)</f>
        <v>CPV</v>
      </c>
      <c r="C4369" s="22">
        <v>2024</v>
      </c>
      <c r="D4369" t="s">
        <v>112</v>
      </c>
      <c r="E4369" t="s">
        <v>5</v>
      </c>
      <c r="F4369" t="str">
        <f>VLOOKUP(G4369,PC!B:D,2,FALSE)</f>
        <v>COMIDA</v>
      </c>
      <c r="G4369" s="4" t="s">
        <v>18</v>
      </c>
      <c r="H4369" s="1">
        <v>212.63</v>
      </c>
    </row>
    <row r="4370" spans="2:8" x14ac:dyDescent="0.2">
      <c r="B4370" t="str">
        <f>VLOOKUP(G4370,PC!B:D,3,FALSE)</f>
        <v>DESPESA PESSOAL</v>
      </c>
      <c r="C4370" s="22">
        <v>2024</v>
      </c>
      <c r="D4370" t="s">
        <v>112</v>
      </c>
      <c r="F4370" t="str">
        <f>VLOOKUP(G4370,PC!B:D,2,FALSE)</f>
        <v>DESPESA PESSOAL</v>
      </c>
      <c r="G4370" s="4" t="s">
        <v>68</v>
      </c>
      <c r="H4370" s="1">
        <v>175.61</v>
      </c>
    </row>
    <row r="4371" spans="2:8" x14ac:dyDescent="0.2">
      <c r="B4371" t="str">
        <f>VLOOKUP(G4371,PC!B:D,3,FALSE)</f>
        <v>CPV</v>
      </c>
      <c r="C4371" s="22">
        <v>2024</v>
      </c>
      <c r="D4371" t="s">
        <v>112</v>
      </c>
      <c r="E4371" t="s">
        <v>16</v>
      </c>
      <c r="F4371" t="str">
        <f>VLOOKUP(G4371,PC!B:D,2,FALSE)</f>
        <v>COMIDA</v>
      </c>
      <c r="G4371" s="4" t="s">
        <v>33</v>
      </c>
      <c r="H4371" s="1">
        <v>233.83</v>
      </c>
    </row>
    <row r="4372" spans="2:8" x14ac:dyDescent="0.2">
      <c r="B4372" t="str">
        <f>VLOOKUP(G4372,PC!B:D,3,FALSE)</f>
        <v>CPV</v>
      </c>
      <c r="C4372" s="22">
        <v>2024</v>
      </c>
      <c r="D4372" t="s">
        <v>112</v>
      </c>
      <c r="E4372" t="s">
        <v>208</v>
      </c>
      <c r="F4372" t="str">
        <f>VLOOKUP(G4372,PC!B:D,2,FALSE)</f>
        <v>SOBREMESA</v>
      </c>
      <c r="G4372" s="4" t="s">
        <v>8</v>
      </c>
      <c r="H4372" s="1">
        <v>313.05</v>
      </c>
    </row>
    <row r="4373" spans="2:8" x14ac:dyDescent="0.2">
      <c r="B4373" t="str">
        <f>VLOOKUP(G4373,PC!B:D,3,FALSE)</f>
        <v>CPV</v>
      </c>
      <c r="C4373" s="22">
        <v>2024</v>
      </c>
      <c r="D4373" t="s">
        <v>112</v>
      </c>
      <c r="E4373" t="s">
        <v>78</v>
      </c>
      <c r="F4373" t="str">
        <f>VLOOKUP(G4373,PC!B:D,2,FALSE)</f>
        <v>CIGARRO</v>
      </c>
      <c r="G4373" s="4" t="s">
        <v>82</v>
      </c>
      <c r="H4373" s="1">
        <v>714.08</v>
      </c>
    </row>
    <row r="4374" spans="2:8" x14ac:dyDescent="0.2">
      <c r="B4374" t="str">
        <f>VLOOKUP(G4374,PC!B:D,3,FALSE)</f>
        <v>CPV</v>
      </c>
      <c r="C4374" s="22">
        <v>2024</v>
      </c>
      <c r="D4374" t="s">
        <v>112</v>
      </c>
      <c r="E4374" t="s">
        <v>19</v>
      </c>
      <c r="F4374" t="str">
        <f>VLOOKUP(G4374,PC!B:D,2,FALSE)</f>
        <v>COMIDA</v>
      </c>
      <c r="G4374" s="4" t="s">
        <v>18</v>
      </c>
      <c r="H4374" s="1">
        <v>101.47</v>
      </c>
    </row>
    <row r="4375" spans="2:8" x14ac:dyDescent="0.2">
      <c r="B4375" t="str">
        <f>VLOOKUP(G4375,PC!B:D,3,FALSE)</f>
        <v>CPV</v>
      </c>
      <c r="C4375" s="22">
        <v>2024</v>
      </c>
      <c r="D4375" t="s">
        <v>112</v>
      </c>
      <c r="E4375" t="s">
        <v>10</v>
      </c>
      <c r="F4375" t="str">
        <f>VLOOKUP(G4375,PC!B:D,2,FALSE)</f>
        <v>COMIDA</v>
      </c>
      <c r="G4375" s="4" t="s">
        <v>12</v>
      </c>
      <c r="H4375" s="1">
        <v>430</v>
      </c>
    </row>
    <row r="4376" spans="2:8" x14ac:dyDescent="0.2">
      <c r="B4376" t="str">
        <f>VLOOKUP(G4376,PC!B:D,3,FALSE)</f>
        <v>CPV</v>
      </c>
      <c r="C4376" s="22">
        <v>2024</v>
      </c>
      <c r="D4376" t="s">
        <v>112</v>
      </c>
      <c r="E4376" t="s">
        <v>27</v>
      </c>
      <c r="F4376" t="str">
        <f>VLOOKUP(G4376,PC!B:D,2,FALSE)</f>
        <v>COMIDA</v>
      </c>
      <c r="G4376" s="4" t="s">
        <v>12</v>
      </c>
      <c r="H4376" s="1">
        <v>207.72</v>
      </c>
    </row>
    <row r="4377" spans="2:8" x14ac:dyDescent="0.2">
      <c r="B4377" t="str">
        <f>VLOOKUP(G4377,PC!B:D,3,FALSE)</f>
        <v>CPV</v>
      </c>
      <c r="C4377" s="22">
        <v>2024</v>
      </c>
      <c r="D4377" t="s">
        <v>112</v>
      </c>
      <c r="E4377" t="s">
        <v>24</v>
      </c>
      <c r="F4377" t="str">
        <f>VLOOKUP(G4377,PC!B:D,2,FALSE)</f>
        <v>COMIDA</v>
      </c>
      <c r="G4377" s="4" t="s">
        <v>33</v>
      </c>
      <c r="H4377" s="1">
        <f>346.85+236.36</f>
        <v>583.21</v>
      </c>
    </row>
    <row r="4378" spans="2:8" x14ac:dyDescent="0.2">
      <c r="B4378" t="str">
        <f>VLOOKUP(G4378,PC!B:D,3,FALSE)</f>
        <v>CPV</v>
      </c>
      <c r="C4378" s="22">
        <v>2024</v>
      </c>
      <c r="D4378" t="s">
        <v>112</v>
      </c>
      <c r="E4378" t="s">
        <v>16</v>
      </c>
      <c r="F4378" t="str">
        <f>VLOOKUP(G4378,PC!B:D,2,FALSE)</f>
        <v>COMIDA</v>
      </c>
      <c r="G4378" s="4" t="s">
        <v>12</v>
      </c>
      <c r="H4378" s="1">
        <v>274.77999999999997</v>
      </c>
    </row>
    <row r="4379" spans="2:8" x14ac:dyDescent="0.2">
      <c r="B4379" t="str">
        <f>VLOOKUP(G4379,PC!B:D,3,FALSE)</f>
        <v>CPV</v>
      </c>
      <c r="C4379" s="22">
        <v>2024</v>
      </c>
      <c r="D4379" t="s">
        <v>112</v>
      </c>
      <c r="E4379" t="s">
        <v>241</v>
      </c>
      <c r="F4379" t="str">
        <f>VLOOKUP(G4379,PC!B:D,2,FALSE)</f>
        <v>COMIDA</v>
      </c>
      <c r="G4379" s="4" t="s">
        <v>12</v>
      </c>
      <c r="H4379" s="1">
        <v>249.35</v>
      </c>
    </row>
    <row r="4380" spans="2:8" x14ac:dyDescent="0.2">
      <c r="B4380" t="str">
        <f>VLOOKUP(G4380,PC!B:D,3,FALSE)</f>
        <v>CPV</v>
      </c>
      <c r="C4380" s="22">
        <v>2024</v>
      </c>
      <c r="D4380" t="s">
        <v>112</v>
      </c>
      <c r="E4380" t="s">
        <v>45</v>
      </c>
      <c r="F4380" t="str">
        <f>VLOOKUP(G4380,PC!B:D,2,FALSE)</f>
        <v>OUTROS</v>
      </c>
      <c r="G4380" s="4" t="s">
        <v>37</v>
      </c>
      <c r="H4380" s="1">
        <v>403.08</v>
      </c>
    </row>
    <row r="4381" spans="2:8" x14ac:dyDescent="0.2">
      <c r="B4381" t="str">
        <f>VLOOKUP(G4381,PC!B:D,3,FALSE)</f>
        <v>CPV</v>
      </c>
      <c r="C4381" s="22">
        <v>2024</v>
      </c>
      <c r="D4381" t="s">
        <v>112</v>
      </c>
      <c r="E4381" t="s">
        <v>45</v>
      </c>
      <c r="F4381" t="str">
        <f>VLOOKUP(G4381,PC!B:D,2,FALSE)</f>
        <v>LIMPEZA</v>
      </c>
      <c r="G4381" s="4" t="s">
        <v>43</v>
      </c>
      <c r="H4381" s="1">
        <v>328.74</v>
      </c>
    </row>
    <row r="4382" spans="2:8" x14ac:dyDescent="0.2">
      <c r="B4382" t="str">
        <f>VLOOKUP(G4382,PC!B:D,3,FALSE)</f>
        <v>CPV</v>
      </c>
      <c r="C4382" s="22">
        <v>2024</v>
      </c>
      <c r="D4382" t="s">
        <v>112</v>
      </c>
      <c r="E4382" t="s">
        <v>6</v>
      </c>
      <c r="F4382" t="str">
        <f>VLOOKUP(G4382,PC!B:D,2,FALSE)</f>
        <v>COMIDA</v>
      </c>
      <c r="G4382" s="4" t="s">
        <v>18</v>
      </c>
      <c r="H4382" s="1">
        <v>121.2</v>
      </c>
    </row>
    <row r="4383" spans="2:8" x14ac:dyDescent="0.2">
      <c r="B4383" t="str">
        <f>VLOOKUP(G4383,PC!B:D,3,FALSE)</f>
        <v>CPV</v>
      </c>
      <c r="C4383" s="22">
        <v>2024</v>
      </c>
      <c r="D4383" t="s">
        <v>112</v>
      </c>
      <c r="E4383" t="s">
        <v>227</v>
      </c>
      <c r="F4383" t="str">
        <f>VLOOKUP(G4383,PC!B:D,2,FALSE)</f>
        <v>OUTROS</v>
      </c>
      <c r="G4383" s="4" t="s">
        <v>37</v>
      </c>
      <c r="H4383" s="1">
        <v>271.76</v>
      </c>
    </row>
    <row r="4384" spans="2:8" x14ac:dyDescent="0.2">
      <c r="B4384" t="str">
        <f>VLOOKUP(G4384,PC!B:D,3,FALSE)</f>
        <v>CPV</v>
      </c>
      <c r="C4384" s="22">
        <v>2024</v>
      </c>
      <c r="D4384" t="s">
        <v>112</v>
      </c>
      <c r="E4384" t="s">
        <v>45</v>
      </c>
      <c r="F4384" t="str">
        <f>VLOOKUP(G4384,PC!B:D,2,FALSE)</f>
        <v>LIMPEZA</v>
      </c>
      <c r="G4384" s="4" t="s">
        <v>43</v>
      </c>
      <c r="H4384" s="1">
        <v>447.53</v>
      </c>
    </row>
    <row r="4385" spans="2:8" x14ac:dyDescent="0.2">
      <c r="B4385" t="str">
        <f>VLOOKUP(G4385,PC!B:D,3,FALSE)</f>
        <v>CPV</v>
      </c>
      <c r="C4385" s="22">
        <v>2024</v>
      </c>
      <c r="D4385" t="s">
        <v>112</v>
      </c>
      <c r="E4385" t="s">
        <v>129</v>
      </c>
      <c r="F4385" t="str">
        <f>VLOOKUP(G4385,PC!B:D,2,FALSE)</f>
        <v>BEBIDAS</v>
      </c>
      <c r="G4385" s="4" t="s">
        <v>48</v>
      </c>
      <c r="H4385" s="1">
        <v>334</v>
      </c>
    </row>
    <row r="4386" spans="2:8" x14ac:dyDescent="0.2">
      <c r="B4386" t="str">
        <f>VLOOKUP(G4386,PC!B:D,3,FALSE)</f>
        <v>CPV</v>
      </c>
      <c r="C4386" s="22">
        <v>2024</v>
      </c>
      <c r="D4386" t="s">
        <v>112</v>
      </c>
      <c r="E4386" t="s">
        <v>100</v>
      </c>
      <c r="F4386" t="str">
        <f>VLOOKUP(G4386,PC!B:D,2,FALSE)</f>
        <v>SOBREMESA</v>
      </c>
      <c r="G4386" s="4" t="s">
        <v>8</v>
      </c>
      <c r="H4386" s="1">
        <v>188.68</v>
      </c>
    </row>
    <row r="4387" spans="2:8" x14ac:dyDescent="0.2">
      <c r="B4387" t="str">
        <f>VLOOKUP(G4387,PC!B:D,3,FALSE)</f>
        <v>CPV</v>
      </c>
      <c r="C4387" s="22">
        <v>2024</v>
      </c>
      <c r="D4387" t="s">
        <v>112</v>
      </c>
      <c r="E4387" t="s">
        <v>235</v>
      </c>
      <c r="F4387" t="str">
        <f>VLOOKUP(G4387,PC!B:D,2,FALSE)</f>
        <v>BEBIDAS</v>
      </c>
      <c r="G4387" s="4" t="s">
        <v>46</v>
      </c>
      <c r="H4387" s="1">
        <v>74.900000000000006</v>
      </c>
    </row>
    <row r="4388" spans="2:8" x14ac:dyDescent="0.2">
      <c r="B4388" t="str">
        <f>VLOOKUP(G4388,PC!B:D,3,FALSE)</f>
        <v>CPV</v>
      </c>
      <c r="C4388" s="22">
        <v>2024</v>
      </c>
      <c r="D4388" t="s">
        <v>112</v>
      </c>
      <c r="E4388" t="s">
        <v>5</v>
      </c>
      <c r="F4388" t="str">
        <f>VLOOKUP(G4388,PC!B:D,2,FALSE)</f>
        <v>COMIDA</v>
      </c>
      <c r="G4388" s="4" t="s">
        <v>18</v>
      </c>
      <c r="H4388" s="1">
        <v>254.63</v>
      </c>
    </row>
    <row r="4389" spans="2:8" x14ac:dyDescent="0.2">
      <c r="B4389" t="str">
        <f>VLOOKUP(G4389,PC!B:D,3,FALSE)</f>
        <v>CPV</v>
      </c>
      <c r="C4389" s="22">
        <v>2024</v>
      </c>
      <c r="D4389" t="s">
        <v>112</v>
      </c>
      <c r="E4389" t="s">
        <v>21</v>
      </c>
      <c r="F4389" t="str">
        <f>VLOOKUP(G4389,PC!B:D,2,FALSE)</f>
        <v>SOBREMESA</v>
      </c>
      <c r="G4389" s="4" t="s">
        <v>23</v>
      </c>
      <c r="H4389" s="1">
        <v>115.67</v>
      </c>
    </row>
    <row r="4390" spans="2:8" x14ac:dyDescent="0.2">
      <c r="B4390" t="str">
        <f>VLOOKUP(G4390,PC!B:D,3,FALSE)</f>
        <v>CPV</v>
      </c>
      <c r="C4390" s="22">
        <v>2024</v>
      </c>
      <c r="D4390" t="s">
        <v>112</v>
      </c>
      <c r="E4390" t="s">
        <v>227</v>
      </c>
      <c r="F4390" t="str">
        <f>VLOOKUP(G4390,PC!B:D,2,FALSE)</f>
        <v>OUTROS</v>
      </c>
      <c r="G4390" s="4" t="s">
        <v>37</v>
      </c>
      <c r="H4390" s="1">
        <v>1348.5</v>
      </c>
    </row>
    <row r="4391" spans="2:8" x14ac:dyDescent="0.2">
      <c r="B4391" t="str">
        <f>VLOOKUP(G4391,PC!B:D,3,FALSE)</f>
        <v>CPV</v>
      </c>
      <c r="C4391" s="22">
        <v>2024</v>
      </c>
      <c r="D4391" t="s">
        <v>112</v>
      </c>
      <c r="E4391" t="s">
        <v>20</v>
      </c>
      <c r="F4391" t="str">
        <f>VLOOKUP(G4391,PC!B:D,2,FALSE)</f>
        <v>COMIDA</v>
      </c>
      <c r="G4391" s="4" t="s">
        <v>29</v>
      </c>
      <c r="H4391" s="1">
        <v>158.9</v>
      </c>
    </row>
    <row r="4392" spans="2:8" x14ac:dyDescent="0.2">
      <c r="B4392" t="str">
        <f>VLOOKUP(G4392,PC!B:D,3,FALSE)</f>
        <v>CPV</v>
      </c>
      <c r="C4392" s="22">
        <v>2024</v>
      </c>
      <c r="D4392" t="s">
        <v>112</v>
      </c>
      <c r="E4392" t="s">
        <v>19</v>
      </c>
      <c r="F4392" t="str">
        <f>VLOOKUP(G4392,PC!B:D,2,FALSE)</f>
        <v>COMIDA</v>
      </c>
      <c r="G4392" s="4" t="s">
        <v>34</v>
      </c>
      <c r="H4392" s="1">
        <v>138.9</v>
      </c>
    </row>
    <row r="4393" spans="2:8" x14ac:dyDescent="0.2">
      <c r="B4393" t="str">
        <f>VLOOKUP(G4393,PC!B:D,3,FALSE)</f>
        <v>CPV</v>
      </c>
      <c r="C4393" s="22">
        <v>2024</v>
      </c>
      <c r="D4393" t="s">
        <v>112</v>
      </c>
      <c r="E4393" t="s">
        <v>19</v>
      </c>
      <c r="F4393" t="str">
        <f>VLOOKUP(G4393,PC!B:D,2,FALSE)</f>
        <v>COMIDA</v>
      </c>
      <c r="G4393" s="4" t="s">
        <v>34</v>
      </c>
      <c r="H4393" s="1">
        <v>184</v>
      </c>
    </row>
    <row r="4394" spans="2:8" x14ac:dyDescent="0.2">
      <c r="B4394" t="str">
        <f>VLOOKUP(G4394,PC!B:D,3,FALSE)</f>
        <v>CPV</v>
      </c>
      <c r="C4394" s="22">
        <v>2024</v>
      </c>
      <c r="D4394" t="s">
        <v>112</v>
      </c>
      <c r="E4394" t="s">
        <v>16</v>
      </c>
      <c r="F4394" t="str">
        <f>VLOOKUP(G4394,PC!B:D,2,FALSE)</f>
        <v>COMIDA</v>
      </c>
      <c r="G4394" s="4" t="s">
        <v>33</v>
      </c>
      <c r="H4394" s="1">
        <v>332.23</v>
      </c>
    </row>
    <row r="4395" spans="2:8" x14ac:dyDescent="0.2">
      <c r="B4395" t="str">
        <f>VLOOKUP(G4395,PC!B:D,3,FALSE)</f>
        <v>CPV</v>
      </c>
      <c r="C4395" s="22">
        <v>2024</v>
      </c>
      <c r="D4395" t="s">
        <v>112</v>
      </c>
      <c r="E4395" t="s">
        <v>212</v>
      </c>
      <c r="F4395" t="str">
        <f>VLOOKUP(G4395,PC!B:D,2,FALSE)</f>
        <v>COMIDA</v>
      </c>
      <c r="G4395" s="4" t="s">
        <v>33</v>
      </c>
      <c r="H4395" s="1">
        <v>164.95</v>
      </c>
    </row>
    <row r="4396" spans="2:8" x14ac:dyDescent="0.2">
      <c r="B4396" t="str">
        <f>VLOOKUP(G4396,PC!B:D,3,FALSE)</f>
        <v>CPV</v>
      </c>
      <c r="C4396" s="22">
        <v>2024</v>
      </c>
      <c r="D4396" t="s">
        <v>112</v>
      </c>
      <c r="E4396" t="s">
        <v>226</v>
      </c>
      <c r="F4396" t="str">
        <f>VLOOKUP(G4396,PC!B:D,2,FALSE)</f>
        <v>BEBIDAS</v>
      </c>
      <c r="G4396" s="4" t="s">
        <v>25</v>
      </c>
      <c r="H4396" s="1">
        <f>2440.57+597.52+962.34+548.99+687.48+635.66+154.44+172.11+254.27+917.98</f>
        <v>7371.3599999999988</v>
      </c>
    </row>
    <row r="4397" spans="2:8" x14ac:dyDescent="0.2">
      <c r="B4397" t="str">
        <f>VLOOKUP(G4397,PC!B:D,3,FALSE)</f>
        <v>CPV</v>
      </c>
      <c r="C4397" s="22">
        <v>2024</v>
      </c>
      <c r="D4397" t="s">
        <v>112</v>
      </c>
      <c r="E4397" t="s">
        <v>49</v>
      </c>
      <c r="F4397" t="str">
        <f>VLOOKUP(G4397,PC!B:D,2,FALSE)</f>
        <v>CIGARRO</v>
      </c>
      <c r="G4397" s="4" t="s">
        <v>52</v>
      </c>
      <c r="H4397" s="1">
        <f>5584.46+7775.91+6552.68+376.51+8665.16</f>
        <v>28954.719999999998</v>
      </c>
    </row>
    <row r="4398" spans="2:8" x14ac:dyDescent="0.2">
      <c r="B4398" t="str">
        <f>VLOOKUP(G4398,PC!B:D,3,FALSE)</f>
        <v>RECEITA</v>
      </c>
      <c r="C4398" s="22">
        <v>2024</v>
      </c>
      <c r="D4398" t="s">
        <v>112</v>
      </c>
      <c r="F4398" t="str">
        <f>VLOOKUP(G4398,PC!B:D,2,FALSE)</f>
        <v>RECEITA</v>
      </c>
      <c r="G4398" s="4" t="s">
        <v>83</v>
      </c>
      <c r="H4398" s="1">
        <v>37.56</v>
      </c>
    </row>
    <row r="4399" spans="2:8" x14ac:dyDescent="0.2">
      <c r="B4399" t="str">
        <f>VLOOKUP(G4399,PC!B:D,3,FALSE)</f>
        <v>CPV</v>
      </c>
      <c r="C4399" s="22">
        <v>2024</v>
      </c>
      <c r="D4399" t="s">
        <v>112</v>
      </c>
      <c r="E4399" t="s">
        <v>28</v>
      </c>
      <c r="F4399" t="str">
        <f>VLOOKUP(G4399,PC!B:D,2,FALSE)</f>
        <v>BEBIDAS</v>
      </c>
      <c r="G4399" s="4" t="s">
        <v>26</v>
      </c>
      <c r="H4399" s="1">
        <f>3832.38+4366.8+878.51+3334.81+205+86+12.37+4889.06+1790.08</f>
        <v>19395.010000000002</v>
      </c>
    </row>
    <row r="4400" spans="2:8" x14ac:dyDescent="0.2">
      <c r="B4400" t="str">
        <f>VLOOKUP(G4400,PC!B:D,3,FALSE)</f>
        <v>CPV</v>
      </c>
      <c r="C4400" s="22">
        <v>2024</v>
      </c>
      <c r="D4400" t="s">
        <v>112</v>
      </c>
      <c r="E4400" t="s">
        <v>239</v>
      </c>
      <c r="F4400" t="str">
        <f>VLOOKUP(G4400,PC!B:D,2,FALSE)</f>
        <v>BEBIDAS</v>
      </c>
      <c r="G4400" s="4" t="s">
        <v>26</v>
      </c>
      <c r="H4400" s="1">
        <f>2043+1066.35</f>
        <v>3109.35</v>
      </c>
    </row>
    <row r="4401" spans="2:8" x14ac:dyDescent="0.2">
      <c r="B4401" t="str">
        <f>VLOOKUP(G4401,PC!B:D,3,FALSE)</f>
        <v>CPV</v>
      </c>
      <c r="C4401" s="22">
        <v>2024</v>
      </c>
      <c r="D4401" t="s">
        <v>112</v>
      </c>
      <c r="E4401" t="s">
        <v>211</v>
      </c>
      <c r="F4401" t="str">
        <f>VLOOKUP(G4401,PC!B:D,2,FALSE)</f>
        <v>BEBIDAS</v>
      </c>
      <c r="G4401" s="4" t="s">
        <v>26</v>
      </c>
      <c r="H4401" s="1">
        <f>661.9+991.24+849.57</f>
        <v>2502.71</v>
      </c>
    </row>
    <row r="4402" spans="2:8" x14ac:dyDescent="0.2">
      <c r="B4402" t="str">
        <f>VLOOKUP(G4402,PC!B:D,3,FALSE)</f>
        <v>CPV</v>
      </c>
      <c r="C4402" s="22">
        <v>2024</v>
      </c>
      <c r="D4402" t="s">
        <v>112</v>
      </c>
      <c r="E4402" t="s">
        <v>156</v>
      </c>
      <c r="F4402" t="str">
        <f>VLOOKUP(G4402,PC!B:D,2,FALSE)</f>
        <v>BEBIDAS</v>
      </c>
      <c r="G4402" s="4" t="s">
        <v>26</v>
      </c>
      <c r="H4402" s="1">
        <f>456.5*2</f>
        <v>913</v>
      </c>
    </row>
    <row r="4403" spans="2:8" x14ac:dyDescent="0.2">
      <c r="B4403" t="str">
        <f>VLOOKUP(G4403,PC!B:D,3,FALSE)</f>
        <v>RECEITA</v>
      </c>
      <c r="C4403" s="22">
        <v>2024</v>
      </c>
      <c r="D4403" t="s">
        <v>112</v>
      </c>
      <c r="F4403" t="str">
        <f>VLOOKUP(G4403,PC!B:D,2,FALSE)</f>
        <v>RECEITA</v>
      </c>
      <c r="G4403" s="4" t="s">
        <v>83</v>
      </c>
      <c r="H4403" s="1">
        <f>2*41.5</f>
        <v>83</v>
      </c>
    </row>
    <row r="4404" spans="2:8" x14ac:dyDescent="0.2">
      <c r="B4404" t="str">
        <f>VLOOKUP(G4404,PC!B:D,3,FALSE)</f>
        <v>CPV</v>
      </c>
      <c r="C4404" s="22">
        <v>2024</v>
      </c>
      <c r="D4404" t="s">
        <v>112</v>
      </c>
      <c r="E4404" t="s">
        <v>226</v>
      </c>
      <c r="F4404" t="str">
        <f>VLOOKUP(G4404,PC!B:D,2,FALSE)</f>
        <v>BEBIDAS</v>
      </c>
      <c r="G4404" s="4" t="s">
        <v>25</v>
      </c>
      <c r="H4404" s="1">
        <f>641.36+767.29+13.98</f>
        <v>1422.63</v>
      </c>
    </row>
    <row r="4405" spans="2:8" x14ac:dyDescent="0.2">
      <c r="B4405" t="str">
        <f>VLOOKUP(G4405,PC!B:D,3,FALSE)</f>
        <v>CPV</v>
      </c>
      <c r="C4405" s="22">
        <v>2024</v>
      </c>
      <c r="D4405" t="s">
        <v>112</v>
      </c>
      <c r="E4405" t="s">
        <v>28</v>
      </c>
      <c r="F4405" t="str">
        <f>VLOOKUP(G4405,PC!B:D,2,FALSE)</f>
        <v>BEBIDAS</v>
      </c>
      <c r="G4405" s="4" t="s">
        <v>26</v>
      </c>
      <c r="H4405" s="1">
        <f>4718.54+115.88+936.95+2924.81</f>
        <v>8696.18</v>
      </c>
    </row>
    <row r="4406" spans="2:8" x14ac:dyDescent="0.2">
      <c r="B4406" t="str">
        <f>VLOOKUP(G4406,PC!B:D,3,FALSE)</f>
        <v>CPV</v>
      </c>
      <c r="C4406" s="22">
        <v>2024</v>
      </c>
      <c r="D4406" t="s">
        <v>112</v>
      </c>
      <c r="E4406" t="s">
        <v>24</v>
      </c>
      <c r="F4406" t="str">
        <f>VLOOKUP(G4406,PC!B:D,2,FALSE)</f>
        <v>COMIDA</v>
      </c>
      <c r="G4406" s="4" t="s">
        <v>33</v>
      </c>
      <c r="H4406" s="1">
        <v>430</v>
      </c>
    </row>
    <row r="4407" spans="2:8" x14ac:dyDescent="0.2">
      <c r="B4407" t="str">
        <f>VLOOKUP(G4407,PC!B:D,3,FALSE)</f>
        <v>CPV</v>
      </c>
      <c r="C4407" s="22">
        <v>2024</v>
      </c>
      <c r="D4407" t="s">
        <v>112</v>
      </c>
      <c r="E4407" t="s">
        <v>212</v>
      </c>
      <c r="F4407" t="str">
        <f>VLOOKUP(G4407,PC!B:D,2,FALSE)</f>
        <v>COMIDA</v>
      </c>
      <c r="G4407" s="4" t="s">
        <v>33</v>
      </c>
      <c r="H4407" s="1">
        <v>221.4</v>
      </c>
    </row>
    <row r="4408" spans="2:8" x14ac:dyDescent="0.2">
      <c r="B4408" t="str">
        <f>VLOOKUP(G4408,PC!B:D,3,FALSE)</f>
        <v>CPV</v>
      </c>
      <c r="C4408" s="22">
        <v>2024</v>
      </c>
      <c r="D4408" t="s">
        <v>112</v>
      </c>
      <c r="E4408" t="s">
        <v>27</v>
      </c>
      <c r="F4408" t="str">
        <f>VLOOKUP(G4408,PC!B:D,2,FALSE)</f>
        <v>COMIDA</v>
      </c>
      <c r="G4408" s="4" t="s">
        <v>12</v>
      </c>
      <c r="H4408" s="1">
        <v>146.07</v>
      </c>
    </row>
    <row r="4409" spans="2:8" x14ac:dyDescent="0.2">
      <c r="B4409" t="str">
        <f>VLOOKUP(G4409,PC!B:D,3,FALSE)</f>
        <v>CPV</v>
      </c>
      <c r="C4409" s="22">
        <v>2024</v>
      </c>
      <c r="D4409" t="s">
        <v>112</v>
      </c>
      <c r="E4409" t="s">
        <v>78</v>
      </c>
      <c r="F4409" t="str">
        <f>VLOOKUP(G4409,PC!B:D,2,FALSE)</f>
        <v>CIGARRO</v>
      </c>
      <c r="G4409" s="4" t="s">
        <v>82</v>
      </c>
      <c r="H4409" s="1">
        <v>595.07000000000005</v>
      </c>
    </row>
    <row r="4410" spans="2:8" x14ac:dyDescent="0.2">
      <c r="B4410" t="str">
        <f>VLOOKUP(G4410,PC!B:D,3,FALSE)</f>
        <v>CPV</v>
      </c>
      <c r="C4410" s="22">
        <v>2024</v>
      </c>
      <c r="D4410" t="s">
        <v>112</v>
      </c>
      <c r="E4410" t="s">
        <v>20</v>
      </c>
      <c r="F4410" t="str">
        <f>VLOOKUP(G4410,PC!B:D,2,FALSE)</f>
        <v>COMIDA</v>
      </c>
      <c r="G4410" s="4" t="s">
        <v>29</v>
      </c>
      <c r="H4410" s="1">
        <v>228.3</v>
      </c>
    </row>
    <row r="4411" spans="2:8" x14ac:dyDescent="0.2">
      <c r="B4411" t="str">
        <f>VLOOKUP(G4411,PC!B:D,3,FALSE)</f>
        <v>CPV</v>
      </c>
      <c r="C4411" s="22">
        <v>2024</v>
      </c>
      <c r="D4411" t="s">
        <v>112</v>
      </c>
      <c r="E4411" t="s">
        <v>241</v>
      </c>
      <c r="F4411" t="str">
        <f>VLOOKUP(G4411,PC!B:D,2,FALSE)</f>
        <v>COMIDA</v>
      </c>
      <c r="G4411" s="4" t="s">
        <v>12</v>
      </c>
      <c r="H4411" s="1">
        <v>229.04</v>
      </c>
    </row>
    <row r="4412" spans="2:8" x14ac:dyDescent="0.2">
      <c r="B4412" t="str">
        <f>VLOOKUP(G4412,PC!B:D,3,FALSE)</f>
        <v>CPV</v>
      </c>
      <c r="C4412" s="22">
        <v>2024</v>
      </c>
      <c r="D4412" t="s">
        <v>112</v>
      </c>
      <c r="E4412" t="s">
        <v>16</v>
      </c>
      <c r="F4412" t="str">
        <f>VLOOKUP(G4412,PC!B:D,2,FALSE)</f>
        <v>COMIDA</v>
      </c>
      <c r="G4412" s="4" t="s">
        <v>12</v>
      </c>
      <c r="H4412" s="1">
        <v>576.92999999999995</v>
      </c>
    </row>
    <row r="4413" spans="2:8" x14ac:dyDescent="0.2">
      <c r="B4413" t="str">
        <f>VLOOKUP(G4413,PC!B:D,3,FALSE)</f>
        <v>CPV</v>
      </c>
      <c r="C4413" s="22">
        <v>2024</v>
      </c>
      <c r="D4413" t="s">
        <v>112</v>
      </c>
      <c r="E4413" t="s">
        <v>129</v>
      </c>
      <c r="F4413" t="str">
        <f>VLOOKUP(G4413,PC!B:D,2,FALSE)</f>
        <v>OUTROS</v>
      </c>
      <c r="G4413" s="4" t="s">
        <v>37</v>
      </c>
      <c r="H4413" s="1">
        <v>250</v>
      </c>
    </row>
    <row r="4414" spans="2:8" x14ac:dyDescent="0.2">
      <c r="B4414" t="str">
        <f>VLOOKUP(G4414,PC!B:D,3,FALSE)</f>
        <v>CPV</v>
      </c>
      <c r="C4414" s="22">
        <v>2024</v>
      </c>
      <c r="D4414" t="s">
        <v>112</v>
      </c>
      <c r="E4414" t="s">
        <v>129</v>
      </c>
      <c r="F4414" t="str">
        <f>VLOOKUP(G4414,PC!B:D,2,FALSE)</f>
        <v>COMIDA</v>
      </c>
      <c r="G4414" s="4" t="s">
        <v>155</v>
      </c>
      <c r="H4414" s="1">
        <v>925</v>
      </c>
    </row>
    <row r="4415" spans="2:8" x14ac:dyDescent="0.2">
      <c r="B4415" t="str">
        <f>VLOOKUP(G4415,PC!B:D,3,FALSE)</f>
        <v>CPV</v>
      </c>
      <c r="C4415" s="22">
        <v>2024</v>
      </c>
      <c r="D4415" t="s">
        <v>112</v>
      </c>
      <c r="E4415" t="s">
        <v>129</v>
      </c>
      <c r="F4415" t="str">
        <f>VLOOKUP(G4415,PC!B:D,2,FALSE)</f>
        <v>CIGARRO</v>
      </c>
      <c r="G4415" s="4" t="s">
        <v>57</v>
      </c>
      <c r="H4415" s="1">
        <v>1106</v>
      </c>
    </row>
    <row r="4416" spans="2:8" x14ac:dyDescent="0.2">
      <c r="B4416" t="str">
        <f>VLOOKUP(G4416,PC!B:D,3,FALSE)</f>
        <v>CPV</v>
      </c>
      <c r="C4416" s="22">
        <v>2024</v>
      </c>
      <c r="D4416" t="s">
        <v>112</v>
      </c>
      <c r="E4416" t="s">
        <v>129</v>
      </c>
      <c r="F4416" t="str">
        <f>VLOOKUP(G4416,PC!B:D,2,FALSE)</f>
        <v>CIGARRO</v>
      </c>
      <c r="G4416" s="4" t="s">
        <v>131</v>
      </c>
      <c r="H4416" s="1">
        <v>400</v>
      </c>
    </row>
    <row r="4417" spans="2:8" x14ac:dyDescent="0.2">
      <c r="B4417" t="str">
        <f>VLOOKUP(G4417,PC!B:D,3,FALSE)</f>
        <v>CPV</v>
      </c>
      <c r="C4417" s="22">
        <v>2024</v>
      </c>
      <c r="D4417" t="s">
        <v>112</v>
      </c>
      <c r="E4417" t="s">
        <v>129</v>
      </c>
      <c r="F4417" t="str">
        <f>VLOOKUP(G4417,PC!B:D,2,FALSE)</f>
        <v>BEBIDAS</v>
      </c>
      <c r="G4417" s="4" t="s">
        <v>48</v>
      </c>
      <c r="H4417" s="1">
        <v>211.2</v>
      </c>
    </row>
    <row r="4418" spans="2:8" x14ac:dyDescent="0.2">
      <c r="B4418" t="str">
        <f>VLOOKUP(G4418,PC!B:D,3,FALSE)</f>
        <v>CPV</v>
      </c>
      <c r="C4418" s="22">
        <v>2024</v>
      </c>
      <c r="D4418" t="s">
        <v>112</v>
      </c>
      <c r="E4418" t="s">
        <v>129</v>
      </c>
      <c r="F4418" t="str">
        <f>VLOOKUP(G4418,PC!B:D,2,FALSE)</f>
        <v>COMIDA</v>
      </c>
      <c r="G4418" s="4" t="s">
        <v>22</v>
      </c>
      <c r="H4418" s="1">
        <v>32.5</v>
      </c>
    </row>
    <row r="4419" spans="2:8" x14ac:dyDescent="0.2">
      <c r="B4419" t="str">
        <f>VLOOKUP(G4419,PC!B:D,3,FALSE)</f>
        <v>CPV</v>
      </c>
      <c r="C4419" s="22">
        <v>2024</v>
      </c>
      <c r="D4419" t="s">
        <v>112</v>
      </c>
      <c r="E4419" t="s">
        <v>129</v>
      </c>
      <c r="F4419" t="str">
        <f>VLOOKUP(G4419,PC!B:D,2,FALSE)</f>
        <v>SOBREMESA</v>
      </c>
      <c r="G4419" s="4" t="s">
        <v>7</v>
      </c>
      <c r="H4419" s="1">
        <v>128</v>
      </c>
    </row>
    <row r="4420" spans="2:8" x14ac:dyDescent="0.2">
      <c r="B4420" t="str">
        <f>VLOOKUP(G4420,PC!B:D,3,FALSE)</f>
        <v>CPV</v>
      </c>
      <c r="C4420" s="22">
        <v>2024</v>
      </c>
      <c r="D4420" t="s">
        <v>112</v>
      </c>
      <c r="E4420" t="s">
        <v>129</v>
      </c>
      <c r="F4420" t="str">
        <f>VLOOKUP(G4420,PC!B:D,2,FALSE)</f>
        <v>SOBREMESA</v>
      </c>
      <c r="G4420" s="4" t="s">
        <v>7</v>
      </c>
      <c r="H4420" s="1">
        <v>59</v>
      </c>
    </row>
    <row r="4421" spans="2:8" x14ac:dyDescent="0.2">
      <c r="B4421" t="str">
        <f>VLOOKUP(G4421,PC!B:D,3,FALSE)</f>
        <v>CPV</v>
      </c>
      <c r="C4421" s="22">
        <v>2024</v>
      </c>
      <c r="D4421" t="s">
        <v>112</v>
      </c>
      <c r="E4421" t="s">
        <v>129</v>
      </c>
      <c r="F4421" t="str">
        <f>VLOOKUP(G4421,PC!B:D,2,FALSE)</f>
        <v>OUTROS</v>
      </c>
      <c r="G4421" s="4" t="s">
        <v>58</v>
      </c>
      <c r="H4421" s="1">
        <v>192</v>
      </c>
    </row>
    <row r="4422" spans="2:8" x14ac:dyDescent="0.2">
      <c r="B4422" t="str">
        <f>VLOOKUP(G4422,PC!B:D,3,FALSE)</f>
        <v>DESPESA OPERACIONAL</v>
      </c>
      <c r="C4422" s="22">
        <v>2024</v>
      </c>
      <c r="D4422" t="s">
        <v>112</v>
      </c>
      <c r="F4422" t="str">
        <f>VLOOKUP(G4422,PC!B:D,2,FALSE)</f>
        <v>DESPESA OPERACIONAL</v>
      </c>
      <c r="G4422" s="4" t="s">
        <v>73</v>
      </c>
      <c r="H4422" s="1">
        <f>469.46+318.7+365.69+580.09+525.26+671.53+384.29</f>
        <v>3315.0199999999995</v>
      </c>
    </row>
    <row r="4423" spans="2:8" x14ac:dyDescent="0.2">
      <c r="B4423" t="str">
        <f>VLOOKUP(G4423,PC!B:D,3,FALSE)</f>
        <v>RECEITA</v>
      </c>
      <c r="C4423" s="22">
        <v>2024</v>
      </c>
      <c r="D4423" t="s">
        <v>112</v>
      </c>
      <c r="F4423" t="str">
        <f>VLOOKUP(G4423,PC!B:D,2,FALSE)</f>
        <v>RECEITA</v>
      </c>
      <c r="G4423" s="4" t="s">
        <v>64</v>
      </c>
      <c r="H4423" s="1">
        <f>8.21+12.87+11.24+12.41+7.81+6.8+10.04</f>
        <v>69.38</v>
      </c>
    </row>
    <row r="4424" spans="2:8" x14ac:dyDescent="0.2">
      <c r="B4424" t="str">
        <f>VLOOKUP(G4424,PC!B:D,3,FALSE)</f>
        <v>SERV. PUBLICOS</v>
      </c>
      <c r="C4424" s="22">
        <v>2024</v>
      </c>
      <c r="D4424" t="s">
        <v>112</v>
      </c>
      <c r="F4424" t="str">
        <f>VLOOKUP(G4424,PC!B:D,2,FALSE)</f>
        <v>SERV. PUBLICOS</v>
      </c>
      <c r="G4424" s="4" t="s">
        <v>91</v>
      </c>
      <c r="H4424" s="1">
        <f>41.68</f>
        <v>41.68</v>
      </c>
    </row>
    <row r="4425" spans="2:8" x14ac:dyDescent="0.2">
      <c r="B4425" t="str">
        <f>VLOOKUP(G4425,PC!B:D,3,FALSE)</f>
        <v>SERV. PUBLICOS</v>
      </c>
      <c r="C4425" s="22">
        <v>2024</v>
      </c>
      <c r="D4425" t="s">
        <v>111</v>
      </c>
      <c r="F4425" t="str">
        <f>VLOOKUP(G4425,PC!B:D,2,FALSE)</f>
        <v>SERV. PUBLICOS</v>
      </c>
      <c r="G4425" s="4" t="s">
        <v>91</v>
      </c>
      <c r="H4425" s="1">
        <f>41.68</f>
        <v>41.68</v>
      </c>
    </row>
    <row r="4426" spans="2:8" x14ac:dyDescent="0.2">
      <c r="B4426" t="str">
        <f>VLOOKUP(G4426,PC!B:D,3,FALSE)</f>
        <v>DESPESA PESSOAL</v>
      </c>
      <c r="C4426" s="22">
        <v>2024</v>
      </c>
      <c r="D4426" t="s">
        <v>112</v>
      </c>
      <c r="F4426" t="str">
        <f>VLOOKUP(G4426,PC!B:D,2,FALSE)</f>
        <v>DESPESA PESSOAL</v>
      </c>
      <c r="G4426" s="4" t="s">
        <v>68</v>
      </c>
      <c r="H4426" s="1">
        <v>350</v>
      </c>
    </row>
    <row r="4427" spans="2:8" x14ac:dyDescent="0.2">
      <c r="B4427" t="str">
        <f>VLOOKUP(G4427,PC!B:D,3,FALSE)</f>
        <v>SERV. PUBLICOS</v>
      </c>
      <c r="C4427" s="22">
        <v>2024</v>
      </c>
      <c r="D4427" t="s">
        <v>112</v>
      </c>
      <c r="F4427" t="str">
        <f>VLOOKUP(G4427,PC!B:D,2,FALSE)</f>
        <v>SERV. PUBLICOS</v>
      </c>
      <c r="G4427" s="4" t="s">
        <v>104</v>
      </c>
      <c r="H4427" s="1">
        <v>300</v>
      </c>
    </row>
    <row r="4428" spans="2:8" x14ac:dyDescent="0.2">
      <c r="B4428" t="str">
        <f>VLOOKUP(G4428,PC!B:D,3,FALSE)</f>
        <v>CPV</v>
      </c>
      <c r="C4428" s="22">
        <v>2024</v>
      </c>
      <c r="D4428" t="s">
        <v>112</v>
      </c>
      <c r="E4428" t="s">
        <v>129</v>
      </c>
      <c r="F4428" t="str">
        <f>VLOOKUP(G4428,PC!B:D,2,FALSE)</f>
        <v>CIGARRO</v>
      </c>
      <c r="G4428" s="4" t="s">
        <v>57</v>
      </c>
      <c r="H4428" s="1">
        <v>1037</v>
      </c>
    </row>
    <row r="4429" spans="2:8" x14ac:dyDescent="0.2">
      <c r="B4429" t="str">
        <f>VLOOKUP(G4429,PC!B:D,3,FALSE)</f>
        <v>CPV</v>
      </c>
      <c r="C4429" s="22">
        <v>2024</v>
      </c>
      <c r="D4429" t="s">
        <v>112</v>
      </c>
      <c r="E4429" t="s">
        <v>129</v>
      </c>
      <c r="F4429" t="str">
        <f>VLOOKUP(G4429,PC!B:D,2,FALSE)</f>
        <v>COMIDA</v>
      </c>
      <c r="G4429" s="4" t="s">
        <v>12</v>
      </c>
      <c r="H4429" s="1">
        <v>140</v>
      </c>
    </row>
    <row r="4430" spans="2:8" x14ac:dyDescent="0.2">
      <c r="B4430" t="str">
        <f>VLOOKUP(G4430,PC!B:D,3,FALSE)</f>
        <v>CPV</v>
      </c>
      <c r="C4430" s="22">
        <v>2024</v>
      </c>
      <c r="D4430" t="s">
        <v>112</v>
      </c>
      <c r="E4430" t="s">
        <v>129</v>
      </c>
      <c r="F4430" t="str">
        <f>VLOOKUP(G4430,PC!B:D,2,FALSE)</f>
        <v>OUTROS</v>
      </c>
      <c r="G4430" s="4" t="s">
        <v>37</v>
      </c>
      <c r="H4430" s="1">
        <f>486.77+419.1+370.63+846.44+370</f>
        <v>2492.94</v>
      </c>
    </row>
    <row r="4431" spans="2:8" x14ac:dyDescent="0.2">
      <c r="B4431" t="str">
        <f>VLOOKUP(G4431,PC!B:D,3,FALSE)</f>
        <v>CPV</v>
      </c>
      <c r="C4431" s="22">
        <v>2024</v>
      </c>
      <c r="D4431" t="s">
        <v>112</v>
      </c>
      <c r="E4431" t="s">
        <v>129</v>
      </c>
      <c r="F4431" t="str">
        <f>VLOOKUP(G4431,PC!B:D,2,FALSE)</f>
        <v>SOBREMESA</v>
      </c>
      <c r="G4431" s="4" t="s">
        <v>7</v>
      </c>
      <c r="H4431" s="1">
        <v>59</v>
      </c>
    </row>
    <row r="4432" spans="2:8" x14ac:dyDescent="0.2">
      <c r="B4432" t="str">
        <f>VLOOKUP(G4432,PC!B:D,3,FALSE)</f>
        <v>CPV</v>
      </c>
      <c r="C4432" s="22">
        <v>2024</v>
      </c>
      <c r="D4432" t="s">
        <v>112</v>
      </c>
      <c r="E4432" t="s">
        <v>129</v>
      </c>
      <c r="F4432" t="str">
        <f>VLOOKUP(G4432,PC!B:D,2,FALSE)</f>
        <v>SOBREMESA</v>
      </c>
      <c r="G4432" s="4" t="s">
        <v>7</v>
      </c>
      <c r="H4432" s="1">
        <v>49</v>
      </c>
    </row>
    <row r="4433" spans="2:8" x14ac:dyDescent="0.2">
      <c r="B4433" t="str">
        <f>VLOOKUP(G4433,PC!B:D,3,FALSE)</f>
        <v>CPV</v>
      </c>
      <c r="C4433" s="22">
        <v>2024</v>
      </c>
      <c r="D4433" t="s">
        <v>112</v>
      </c>
      <c r="E4433" t="s">
        <v>129</v>
      </c>
      <c r="F4433" t="str">
        <f>VLOOKUP(G4433,PC!B:D,2,FALSE)</f>
        <v>BEBIDAS</v>
      </c>
      <c r="G4433" s="4" t="s">
        <v>46</v>
      </c>
      <c r="H4433" s="1">
        <v>554.29999999999995</v>
      </c>
    </row>
    <row r="4434" spans="2:8" x14ac:dyDescent="0.2">
      <c r="B4434" t="str">
        <f>VLOOKUP(G4434,PC!B:D,3,FALSE)</f>
        <v>CPV</v>
      </c>
      <c r="C4434" s="22">
        <v>2024</v>
      </c>
      <c r="D4434" t="s">
        <v>112</v>
      </c>
      <c r="E4434" t="s">
        <v>129</v>
      </c>
      <c r="F4434" t="str">
        <f>VLOOKUP(G4434,PC!B:D,2,FALSE)</f>
        <v>OUTROS</v>
      </c>
      <c r="G4434" s="4" t="s">
        <v>149</v>
      </c>
      <c r="H4434" s="1">
        <v>261.3</v>
      </c>
    </row>
    <row r="4435" spans="2:8" x14ac:dyDescent="0.2">
      <c r="B4435" t="str">
        <f>VLOOKUP(G4435,PC!B:D,3,FALSE)</f>
        <v>CPV</v>
      </c>
      <c r="C4435" s="22">
        <v>2024</v>
      </c>
      <c r="D4435" t="s">
        <v>112</v>
      </c>
      <c r="E4435" t="s">
        <v>129</v>
      </c>
      <c r="F4435" t="str">
        <f>VLOOKUP(G4435,PC!B:D,2,FALSE)</f>
        <v>COMIDA</v>
      </c>
      <c r="G4435" s="4" t="s">
        <v>155</v>
      </c>
      <c r="H4435" s="1">
        <v>830</v>
      </c>
    </row>
    <row r="4436" spans="2:8" x14ac:dyDescent="0.2">
      <c r="B4436" t="str">
        <f>VLOOKUP(G4436,PC!B:D,3,FALSE)</f>
        <v>CPV</v>
      </c>
      <c r="C4436" s="22">
        <v>2024</v>
      </c>
      <c r="D4436" t="s">
        <v>112</v>
      </c>
      <c r="E4436" t="s">
        <v>129</v>
      </c>
      <c r="F4436" t="str">
        <f>VLOOKUP(G4436,PC!B:D,2,FALSE)</f>
        <v>COMIDA</v>
      </c>
      <c r="G4436" s="4" t="s">
        <v>12</v>
      </c>
      <c r="H4436" s="1">
        <v>87.5</v>
      </c>
    </row>
    <row r="4437" spans="2:8" x14ac:dyDescent="0.2">
      <c r="B4437" t="str">
        <f>VLOOKUP(G4437,PC!B:D,3,FALSE)</f>
        <v>CPV</v>
      </c>
      <c r="C4437" s="22">
        <v>2024</v>
      </c>
      <c r="D4437" t="s">
        <v>112</v>
      </c>
      <c r="E4437" t="s">
        <v>129</v>
      </c>
      <c r="F4437" t="str">
        <f>VLOOKUP(G4437,PC!B:D,2,FALSE)</f>
        <v>OUTROS</v>
      </c>
      <c r="G4437" s="4" t="s">
        <v>58</v>
      </c>
      <c r="H4437" s="1">
        <v>192</v>
      </c>
    </row>
    <row r="4438" spans="2:8" x14ac:dyDescent="0.2">
      <c r="B4438" t="str">
        <f>VLOOKUP(G4438,PC!B:D,3,FALSE)</f>
        <v>CPV</v>
      </c>
      <c r="C4438" s="22">
        <v>2024</v>
      </c>
      <c r="D4438" t="s">
        <v>112</v>
      </c>
      <c r="E4438" t="s">
        <v>129</v>
      </c>
      <c r="F4438" t="str">
        <f>VLOOKUP(G4438,PC!B:D,2,FALSE)</f>
        <v>SOBREMESA</v>
      </c>
      <c r="G4438" s="4" t="s">
        <v>7</v>
      </c>
      <c r="H4438" s="1">
        <v>29</v>
      </c>
    </row>
    <row r="4439" spans="2:8" x14ac:dyDescent="0.2">
      <c r="B4439" t="str">
        <f>VLOOKUP(G4439,PC!B:D,3,FALSE)</f>
        <v>CPV</v>
      </c>
      <c r="C4439" s="22">
        <v>2024</v>
      </c>
      <c r="D4439" t="s">
        <v>112</v>
      </c>
      <c r="E4439" t="s">
        <v>129</v>
      </c>
      <c r="F4439" t="str">
        <f>VLOOKUP(G4439,PC!B:D,2,FALSE)</f>
        <v>COMIDA</v>
      </c>
      <c r="G4439" s="4" t="s">
        <v>155</v>
      </c>
      <c r="H4439" s="1">
        <v>570</v>
      </c>
    </row>
    <row r="4440" spans="2:8" x14ac:dyDescent="0.2">
      <c r="B4440" t="str">
        <f>VLOOKUP(G4440,PC!B:D,3,FALSE)</f>
        <v>CPV</v>
      </c>
      <c r="C4440" s="22">
        <v>2024</v>
      </c>
      <c r="D4440" t="s">
        <v>112</v>
      </c>
      <c r="E4440" t="s">
        <v>129</v>
      </c>
      <c r="F4440" t="str">
        <f>VLOOKUP(G4440,PC!B:D,2,FALSE)</f>
        <v>SOBREMESA</v>
      </c>
      <c r="G4440" s="4" t="s">
        <v>7</v>
      </c>
      <c r="H4440" s="1">
        <v>154</v>
      </c>
    </row>
    <row r="4441" spans="2:8" x14ac:dyDescent="0.2">
      <c r="B4441" t="str">
        <f>VLOOKUP(G4441,PC!B:D,3,FALSE)</f>
        <v>CPV</v>
      </c>
      <c r="C4441" s="22">
        <v>2024</v>
      </c>
      <c r="D4441" t="s">
        <v>112</v>
      </c>
      <c r="E4441" t="s">
        <v>129</v>
      </c>
      <c r="F4441" t="str">
        <f>VLOOKUP(G4441,PC!B:D,2,FALSE)</f>
        <v>SOBREMESA</v>
      </c>
      <c r="G4441" s="4" t="s">
        <v>7</v>
      </c>
      <c r="H4441" s="1">
        <v>133</v>
      </c>
    </row>
    <row r="4442" spans="2:8" x14ac:dyDescent="0.2">
      <c r="B4442" t="str">
        <f>VLOOKUP(G4442,PC!B:D,3,FALSE)</f>
        <v>CPV</v>
      </c>
      <c r="C4442" s="22">
        <v>2024</v>
      </c>
      <c r="D4442" t="s">
        <v>112</v>
      </c>
      <c r="E4442" t="s">
        <v>129</v>
      </c>
      <c r="F4442" t="str">
        <f>VLOOKUP(G4442,PC!B:D,2,FALSE)</f>
        <v>COMIDA</v>
      </c>
      <c r="G4442" s="4" t="s">
        <v>33</v>
      </c>
      <c r="H4442" s="1">
        <v>60</v>
      </c>
    </row>
    <row r="4443" spans="2:8" x14ac:dyDescent="0.2">
      <c r="B4443" t="str">
        <f>VLOOKUP(G4443,PC!B:D,3,FALSE)</f>
        <v>CPV</v>
      </c>
      <c r="C4443" s="22">
        <v>2024</v>
      </c>
      <c r="D4443" t="s">
        <v>112</v>
      </c>
      <c r="E4443" t="s">
        <v>129</v>
      </c>
      <c r="F4443" t="str">
        <f>VLOOKUP(G4443,PC!B:D,2,FALSE)</f>
        <v>OUTROS</v>
      </c>
      <c r="G4443" s="4" t="s">
        <v>37</v>
      </c>
      <c r="H4443" s="1">
        <v>316</v>
      </c>
    </row>
    <row r="4444" spans="2:8" x14ac:dyDescent="0.2">
      <c r="B4444" t="str">
        <f>VLOOKUP(G4444,PC!B:D,3,FALSE)</f>
        <v>CPV</v>
      </c>
      <c r="C4444" s="22">
        <v>2024</v>
      </c>
      <c r="D4444" t="s">
        <v>112</v>
      </c>
      <c r="E4444" t="s">
        <v>129</v>
      </c>
      <c r="F4444" t="str">
        <f>VLOOKUP(G4444,PC!B:D,2,FALSE)</f>
        <v>COMIDA</v>
      </c>
      <c r="G4444" s="4" t="s">
        <v>155</v>
      </c>
      <c r="H4444" s="1">
        <v>440</v>
      </c>
    </row>
    <row r="4445" spans="2:8" x14ac:dyDescent="0.2">
      <c r="B4445" t="str">
        <f>VLOOKUP(G4445,PC!B:D,3,FALSE)</f>
        <v>DESCONTO DE FATURAMENTO</v>
      </c>
      <c r="C4445" s="22">
        <v>2024</v>
      </c>
      <c r="D4445" t="s">
        <v>111</v>
      </c>
      <c r="F4445" t="str">
        <f>VLOOKUP(G4445,PC!B:D,2,FALSE)</f>
        <v>IMPOSTO</v>
      </c>
      <c r="G4445" s="4" t="s">
        <v>88</v>
      </c>
      <c r="H4445" s="1">
        <v>5165</v>
      </c>
    </row>
    <row r="4446" spans="2:8" x14ac:dyDescent="0.2">
      <c r="B4446" t="str">
        <f>VLOOKUP(G4446,PC!B:D,3,FALSE)</f>
        <v>SERV.TERCEIROS</v>
      </c>
      <c r="C4446" s="22">
        <v>2024</v>
      </c>
      <c r="D4446" t="s">
        <v>112</v>
      </c>
      <c r="F4446" t="str">
        <f>VLOOKUP(G4446,PC!B:D,2,FALSE)</f>
        <v>SERV.TERCEIROS</v>
      </c>
      <c r="G4446" s="4" t="s">
        <v>60</v>
      </c>
      <c r="H4446" s="1">
        <v>450</v>
      </c>
    </row>
    <row r="4447" spans="2:8" x14ac:dyDescent="0.2">
      <c r="B4447" t="str">
        <f>VLOOKUP(G4447,PC!B:D,3,FALSE)</f>
        <v>CPV</v>
      </c>
      <c r="C4447" s="22">
        <v>2024</v>
      </c>
      <c r="D4447" t="s">
        <v>112</v>
      </c>
      <c r="E4447" t="s">
        <v>129</v>
      </c>
      <c r="F4447" t="str">
        <f>VLOOKUP(G4447,PC!B:D,2,FALSE)</f>
        <v>COMIDA</v>
      </c>
      <c r="G4447" s="4" t="s">
        <v>12</v>
      </c>
      <c r="H4447" s="51">
        <v>631</v>
      </c>
    </row>
    <row r="4448" spans="2:8" x14ac:dyDescent="0.2">
      <c r="B4448" t="str">
        <f>VLOOKUP(G4448,PC!B:D,3,FALSE)</f>
        <v>CPV</v>
      </c>
      <c r="C4448" s="22">
        <v>2024</v>
      </c>
      <c r="D4448" t="s">
        <v>112</v>
      </c>
      <c r="E4448" t="s">
        <v>129</v>
      </c>
      <c r="F4448" t="str">
        <f>VLOOKUP(G4448,PC!B:D,2,FALSE)</f>
        <v>SOBREMESA</v>
      </c>
      <c r="G4448" s="4" t="s">
        <v>7</v>
      </c>
      <c r="H4448" s="1">
        <v>282</v>
      </c>
    </row>
    <row r="4449" spans="2:8" x14ac:dyDescent="0.2">
      <c r="B4449" t="str">
        <f>VLOOKUP(G4449,PC!B:D,3,FALSE)</f>
        <v>CPV</v>
      </c>
      <c r="C4449" s="22">
        <v>2024</v>
      </c>
      <c r="D4449" t="s">
        <v>112</v>
      </c>
      <c r="E4449" t="s">
        <v>129</v>
      </c>
      <c r="F4449" t="str">
        <f>VLOOKUP(G4449,PC!B:D,2,FALSE)</f>
        <v>COMIDA</v>
      </c>
      <c r="G4449" s="4" t="s">
        <v>12</v>
      </c>
      <c r="H4449" s="1">
        <v>140</v>
      </c>
    </row>
    <row r="4450" spans="2:8" x14ac:dyDescent="0.2">
      <c r="B4450" t="str">
        <f>VLOOKUP(G4450,PC!B:D,3,FALSE)</f>
        <v>CPV</v>
      </c>
      <c r="C4450" s="22">
        <v>2024</v>
      </c>
      <c r="D4450" t="s">
        <v>112</v>
      </c>
      <c r="E4450" t="s">
        <v>129</v>
      </c>
      <c r="F4450" t="str">
        <f>VLOOKUP(G4450,PC!B:D,2,FALSE)</f>
        <v>SOBREMESA</v>
      </c>
      <c r="G4450" s="4" t="s">
        <v>7</v>
      </c>
      <c r="H4450" s="1">
        <v>66</v>
      </c>
    </row>
    <row r="4451" spans="2:8" x14ac:dyDescent="0.2">
      <c r="B4451" t="str">
        <f>VLOOKUP(G4451,PC!B:D,3,FALSE)</f>
        <v>CPV</v>
      </c>
      <c r="C4451" s="22">
        <v>2024</v>
      </c>
      <c r="D4451" t="s">
        <v>112</v>
      </c>
      <c r="E4451" t="s">
        <v>129</v>
      </c>
      <c r="F4451" t="str">
        <f>VLOOKUP(G4451,PC!B:D,2,FALSE)</f>
        <v>CIGARRO</v>
      </c>
      <c r="G4451" s="4" t="s">
        <v>57</v>
      </c>
      <c r="H4451" s="1">
        <v>939</v>
      </c>
    </row>
    <row r="4452" spans="2:8" x14ac:dyDescent="0.2">
      <c r="B4452" t="str">
        <f>VLOOKUP(G4452,PC!B:D,3,FALSE)</f>
        <v>CPV</v>
      </c>
      <c r="C4452" s="22">
        <v>2024</v>
      </c>
      <c r="D4452" t="s">
        <v>112</v>
      </c>
      <c r="E4452" t="s">
        <v>129</v>
      </c>
      <c r="F4452" t="str">
        <f>VLOOKUP(G4452,PC!B:D,2,FALSE)</f>
        <v>CIGARRO</v>
      </c>
      <c r="G4452" s="4" t="s">
        <v>57</v>
      </c>
      <c r="H4452" s="1">
        <v>1031</v>
      </c>
    </row>
    <row r="4453" spans="2:8" x14ac:dyDescent="0.2">
      <c r="B4453" t="str">
        <f>VLOOKUP(G4453,PC!B:D,3,FALSE)</f>
        <v>CPV</v>
      </c>
      <c r="C4453" s="22">
        <v>2024</v>
      </c>
      <c r="D4453" t="s">
        <v>112</v>
      </c>
      <c r="E4453" t="s">
        <v>129</v>
      </c>
      <c r="F4453" t="str">
        <f>VLOOKUP(G4453,PC!B:D,2,FALSE)</f>
        <v>OUTROS</v>
      </c>
      <c r="G4453" s="4" t="s">
        <v>37</v>
      </c>
      <c r="H4453" s="1">
        <f>443+6</f>
        <v>449</v>
      </c>
    </row>
    <row r="4454" spans="2:8" x14ac:dyDescent="0.2">
      <c r="B4454" t="str">
        <f>VLOOKUP(G4454,PC!B:D,3,FALSE)</f>
        <v>CPV</v>
      </c>
      <c r="C4454" s="22">
        <v>2024</v>
      </c>
      <c r="D4454" t="s">
        <v>112</v>
      </c>
      <c r="E4454" t="s">
        <v>129</v>
      </c>
      <c r="F4454" t="str">
        <f>VLOOKUP(G4454,PC!B:D,2,FALSE)</f>
        <v>COMIDA</v>
      </c>
      <c r="G4454" s="4" t="s">
        <v>146</v>
      </c>
      <c r="H4454" s="1">
        <v>192</v>
      </c>
    </row>
    <row r="4455" spans="2:8" x14ac:dyDescent="0.2">
      <c r="B4455" t="str">
        <f>VLOOKUP(G4455,PC!B:D,3,FALSE)</f>
        <v>CPV</v>
      </c>
      <c r="C4455" s="22">
        <v>2024</v>
      </c>
      <c r="D4455" t="s">
        <v>112</v>
      </c>
      <c r="E4455" t="s">
        <v>129</v>
      </c>
      <c r="F4455" t="str">
        <f>VLOOKUP(G4455,PC!B:D,2,FALSE)</f>
        <v>SOBREMESA</v>
      </c>
      <c r="G4455" s="4" t="s">
        <v>7</v>
      </c>
      <c r="H4455" s="1">
        <v>28</v>
      </c>
    </row>
    <row r="4456" spans="2:8" x14ac:dyDescent="0.2">
      <c r="B4456" t="str">
        <f>VLOOKUP(G4456,PC!B:D,3,FALSE)</f>
        <v>CPV</v>
      </c>
      <c r="C4456" s="22">
        <v>2024</v>
      </c>
      <c r="D4456" t="s">
        <v>112</v>
      </c>
      <c r="E4456" t="s">
        <v>129</v>
      </c>
      <c r="F4456" t="str">
        <f>VLOOKUP(G4456,PC!B:D,2,FALSE)</f>
        <v>COMIDA</v>
      </c>
      <c r="G4456" s="4" t="s">
        <v>155</v>
      </c>
      <c r="H4456" s="1">
        <v>830</v>
      </c>
    </row>
    <row r="4457" spans="2:8" x14ac:dyDescent="0.2">
      <c r="B4457" t="str">
        <f>VLOOKUP(G4457,PC!B:D,3,FALSE)</f>
        <v>CPV</v>
      </c>
      <c r="C4457" s="22">
        <v>2024</v>
      </c>
      <c r="D4457" t="s">
        <v>112</v>
      </c>
      <c r="E4457" t="s">
        <v>129</v>
      </c>
      <c r="F4457" t="str">
        <f>VLOOKUP(G4457,PC!B:D,2,FALSE)</f>
        <v>COMIDA</v>
      </c>
      <c r="G4457" s="4" t="s">
        <v>33</v>
      </c>
      <c r="H4457" s="1">
        <v>60</v>
      </c>
    </row>
    <row r="4458" spans="2:8" x14ac:dyDescent="0.2">
      <c r="B4458" t="str">
        <f>VLOOKUP(G4458,PC!B:D,3,FALSE)</f>
        <v>CPV</v>
      </c>
      <c r="C4458" s="22">
        <v>2024</v>
      </c>
      <c r="D4458" t="s">
        <v>112</v>
      </c>
      <c r="E4458" t="s">
        <v>129</v>
      </c>
      <c r="F4458" t="str">
        <f>VLOOKUP(G4458,PC!B:D,2,FALSE)</f>
        <v>BEBIDAS</v>
      </c>
      <c r="G4458" s="4" t="s">
        <v>48</v>
      </c>
      <c r="H4458" s="1">
        <f>211.2+410.4+316.8</f>
        <v>938.39999999999986</v>
      </c>
    </row>
    <row r="4459" spans="2:8" x14ac:dyDescent="0.2">
      <c r="B4459" t="str">
        <f>VLOOKUP(G4459,PC!B:D,3,FALSE)</f>
        <v>RECEITA</v>
      </c>
      <c r="C4459" s="22">
        <v>2024</v>
      </c>
      <c r="D4459" t="s">
        <v>112</v>
      </c>
      <c r="F4459" t="str">
        <f>VLOOKUP(G4459,PC!B:D,2,FALSE)</f>
        <v>RECEITA</v>
      </c>
      <c r="G4459" s="4" t="s">
        <v>136</v>
      </c>
      <c r="H4459" s="1">
        <f>30822.89-49.9</f>
        <v>30772.989999999998</v>
      </c>
    </row>
    <row r="4460" spans="2:8" x14ac:dyDescent="0.2">
      <c r="B4460" t="e">
        <f>VLOOKUP(G4460,PC!B:D,3,FALSE)</f>
        <v>#N/A</v>
      </c>
      <c r="C4460" s="22">
        <v>2024</v>
      </c>
      <c r="D4460" t="s">
        <v>112</v>
      </c>
      <c r="F4460" t="e">
        <f>VLOOKUP(G4460,PC!B:D,2,FALSE)</f>
        <v>#N/A</v>
      </c>
      <c r="G4460" s="4" t="s">
        <v>232</v>
      </c>
      <c r="H4460" s="1">
        <f>5308.94-36.5</f>
        <v>5272.44</v>
      </c>
    </row>
    <row r="4461" spans="2:8" x14ac:dyDescent="0.2">
      <c r="B4461" t="str">
        <f>VLOOKUP(G4461,PC!B:D,3,FALSE)</f>
        <v>RECEITA</v>
      </c>
      <c r="C4461" s="22">
        <v>2024</v>
      </c>
      <c r="D4461" t="s">
        <v>112</v>
      </c>
      <c r="F4461" t="str">
        <f>VLOOKUP(G4461,PC!B:D,2,FALSE)</f>
        <v>RECEITA</v>
      </c>
      <c r="G4461" s="4" t="s">
        <v>137</v>
      </c>
      <c r="H4461" s="1">
        <f>14590.95-48.92</f>
        <v>14542.03</v>
      </c>
    </row>
    <row r="4462" spans="2:8" x14ac:dyDescent="0.2">
      <c r="B4462" t="str">
        <f>VLOOKUP(G4462,PC!B:D,3,FALSE)</f>
        <v>DESCONTO DE FATURAMENTO</v>
      </c>
      <c r="C4462" s="22">
        <v>2024</v>
      </c>
      <c r="D4462" t="s">
        <v>112</v>
      </c>
      <c r="F4462" t="str">
        <f>VLOOKUP(G4462,PC!B:D,2,FALSE)</f>
        <v>OUTROS DESCONTOS</v>
      </c>
      <c r="G4462" s="4" t="s">
        <v>63</v>
      </c>
      <c r="H4462" s="1">
        <f>278.91</f>
        <v>278.91000000000003</v>
      </c>
    </row>
    <row r="4463" spans="2:8" x14ac:dyDescent="0.2">
      <c r="B4463" t="str">
        <f>VLOOKUP(G4463,PC!B:D,3,FALSE)</f>
        <v>DESCONTO DE FATURAMENTO</v>
      </c>
      <c r="C4463" s="22">
        <v>2024</v>
      </c>
      <c r="D4463" t="s">
        <v>112</v>
      </c>
      <c r="F4463" t="str">
        <f>VLOOKUP(G4463,PC!B:D,2,FALSE)</f>
        <v>OUTROS DESCONTOS</v>
      </c>
      <c r="G4463" s="4" t="s">
        <v>63</v>
      </c>
      <c r="H4463" s="1">
        <f>H4459-30437.51</f>
        <v>335.47999999999956</v>
      </c>
    </row>
    <row r="4464" spans="2:8" x14ac:dyDescent="0.2">
      <c r="B4464" t="str">
        <f>VLOOKUP(G4464,PC!B:D,3,FALSE)</f>
        <v>DESCONTO DE FATURAMENTO</v>
      </c>
      <c r="C4464" s="22">
        <v>2024</v>
      </c>
      <c r="D4464" t="s">
        <v>112</v>
      </c>
      <c r="F4464" t="str">
        <f>VLOOKUP(G4464,PC!B:D,2,FALSE)</f>
        <v>OUTROS DESCONTOS</v>
      </c>
      <c r="G4464" s="4" t="s">
        <v>63</v>
      </c>
      <c r="H4464" s="1">
        <v>26.67</v>
      </c>
    </row>
    <row r="4465" spans="2:8" x14ac:dyDescent="0.2">
      <c r="B4465" t="str">
        <f>VLOOKUP(G4465,PC!B:D,3,FALSE)</f>
        <v>RECEITA</v>
      </c>
      <c r="C4465" s="22">
        <v>2024</v>
      </c>
      <c r="D4465" t="s">
        <v>112</v>
      </c>
      <c r="F4465" t="str">
        <f>VLOOKUP(G4465,PC!B:D,2,FALSE)</f>
        <v>RECEITA</v>
      </c>
      <c r="G4465" s="4" t="s">
        <v>137</v>
      </c>
      <c r="H4465" s="1">
        <v>1909.7</v>
      </c>
    </row>
    <row r="4466" spans="2:8" x14ac:dyDescent="0.2">
      <c r="B4466" t="str">
        <f>VLOOKUP(G4466,PC!B:D,3,FALSE)</f>
        <v>RECEITA</v>
      </c>
      <c r="C4466" s="22">
        <v>2024</v>
      </c>
      <c r="D4466" t="s">
        <v>112</v>
      </c>
      <c r="F4466" t="str">
        <f>VLOOKUP(G4466,PC!B:D,2,FALSE)</f>
        <v>RECEITA</v>
      </c>
      <c r="G4466" s="4" t="s">
        <v>54</v>
      </c>
      <c r="H4466" s="1">
        <f>1400+100+350+1100+1250+50+30+41+2200+1100+45+400+900</f>
        <v>8966</v>
      </c>
    </row>
    <row r="4467" spans="2:8" x14ac:dyDescent="0.2">
      <c r="B4467" t="str">
        <f>VLOOKUP(G4467,PC!B:D,3,FALSE)</f>
        <v>DESPESA PESSOAL</v>
      </c>
      <c r="C4467" s="22">
        <v>2024</v>
      </c>
      <c r="D4467" t="s">
        <v>112</v>
      </c>
      <c r="F4467" t="str">
        <f>VLOOKUP(G4467,PC!B:D,2,FALSE)</f>
        <v>DESPESA PESSOAL</v>
      </c>
      <c r="G4467" s="4" t="s">
        <v>56</v>
      </c>
      <c r="H4467" s="1">
        <v>350</v>
      </c>
    </row>
    <row r="4468" spans="2:8" x14ac:dyDescent="0.2">
      <c r="B4468" t="str">
        <f>VLOOKUP(G4468,PC!B:D,3,FALSE)</f>
        <v>RECEITAS NÃO OPERACIONAIS</v>
      </c>
      <c r="C4468" s="22">
        <v>2024</v>
      </c>
      <c r="D4468" t="s">
        <v>112</v>
      </c>
      <c r="F4468" t="str">
        <f>VLOOKUP(G4468,PC!B:D,2,FALSE)</f>
        <v>EMPRESTIMO</v>
      </c>
      <c r="G4468" s="4" t="s">
        <v>71</v>
      </c>
      <c r="H4468" s="1">
        <v>30</v>
      </c>
    </row>
    <row r="4469" spans="2:8" x14ac:dyDescent="0.2">
      <c r="B4469" t="e">
        <f>VLOOKUP(G4469,PC!B:D,3,FALSE)</f>
        <v>#N/A</v>
      </c>
      <c r="C4469" s="22">
        <v>2024</v>
      </c>
      <c r="D4469" t="s">
        <v>112</v>
      </c>
      <c r="F4469" t="e">
        <f>VLOOKUP(G4469,PC!B:D,2,FALSE)</f>
        <v>#N/A</v>
      </c>
      <c r="G4469" s="4" t="s">
        <v>231</v>
      </c>
      <c r="H4469" s="1">
        <v>45</v>
      </c>
    </row>
    <row r="4470" spans="2:8" x14ac:dyDescent="0.2">
      <c r="B4470" t="str">
        <f>VLOOKUP(G4470,PC!B:D,3,FALSE)</f>
        <v>RECEITA</v>
      </c>
      <c r="C4470" s="22">
        <v>2024</v>
      </c>
      <c r="D4470" t="s">
        <v>112</v>
      </c>
      <c r="F4470" t="str">
        <f>VLOOKUP(G4470,PC!B:D,2,FALSE)</f>
        <v>RECEITA</v>
      </c>
      <c r="G4470" s="4" t="s">
        <v>54</v>
      </c>
      <c r="H4470" s="1">
        <f>40+43+105+225+650+39.5+124+1100+550+88+138+59+1200+192+1000+29+150+79+36+30+66+380+850+400+28.3+111.2+140+50+2850+150</f>
        <v>10903</v>
      </c>
    </row>
    <row r="4471" spans="2:8" x14ac:dyDescent="0.2">
      <c r="B4471" t="str">
        <f>VLOOKUP(G4471,PC!B:D,3,FALSE)</f>
        <v>DESPESA OPERACIONAL</v>
      </c>
      <c r="C4471" s="22">
        <v>2024</v>
      </c>
      <c r="D4471" t="s">
        <v>112</v>
      </c>
      <c r="F4471" t="str">
        <f>VLOOKUP(G4471,PC!B:D,2,FALSE)</f>
        <v>DESPESA OPERACIONAL</v>
      </c>
      <c r="G4471" s="4" t="s">
        <v>70</v>
      </c>
      <c r="H4471" s="1">
        <v>88</v>
      </c>
    </row>
    <row r="4472" spans="2:8" x14ac:dyDescent="0.2">
      <c r="B4472" t="str">
        <f>VLOOKUP(G4472,PC!B:D,3,FALSE)</f>
        <v>CPV</v>
      </c>
      <c r="C4472" s="22">
        <v>2024</v>
      </c>
      <c r="D4472" t="s">
        <v>112</v>
      </c>
      <c r="E4472" t="s">
        <v>129</v>
      </c>
      <c r="F4472" t="str">
        <f>VLOOKUP(G4472,PC!B:D,2,FALSE)</f>
        <v>COMIDA</v>
      </c>
      <c r="G4472" s="4" t="s">
        <v>12</v>
      </c>
      <c r="H4472" s="1">
        <v>124</v>
      </c>
    </row>
    <row r="4473" spans="2:8" x14ac:dyDescent="0.2">
      <c r="B4473" t="str">
        <f>VLOOKUP(G4473,PC!B:D,3,FALSE)</f>
        <v>CPV</v>
      </c>
      <c r="C4473" s="22">
        <v>2024</v>
      </c>
      <c r="D4473" t="s">
        <v>112</v>
      </c>
      <c r="E4473" t="s">
        <v>129</v>
      </c>
      <c r="F4473" t="str">
        <f>VLOOKUP(G4473,PC!B:D,2,FALSE)</f>
        <v>COMIDA</v>
      </c>
      <c r="G4473" s="4" t="s">
        <v>146</v>
      </c>
      <c r="H4473" s="1">
        <v>36</v>
      </c>
    </row>
    <row r="4474" spans="2:8" x14ac:dyDescent="0.2">
      <c r="B4474" t="str">
        <f>VLOOKUP(G4474,PC!B:D,3,FALSE)</f>
        <v>DESPESA PESSOAL</v>
      </c>
      <c r="C4474" s="22">
        <v>2024</v>
      </c>
      <c r="D4474" t="s">
        <v>112</v>
      </c>
      <c r="F4474" t="str">
        <f>VLOOKUP(G4474,PC!B:D,2,FALSE)</f>
        <v>DESPESA PESSOAL</v>
      </c>
      <c r="G4474" s="4" t="s">
        <v>68</v>
      </c>
      <c r="H4474" s="1">
        <v>30</v>
      </c>
    </row>
    <row r="4475" spans="2:8" x14ac:dyDescent="0.2">
      <c r="B4475" t="str">
        <f>VLOOKUP(G4475,PC!B:D,3,FALSE)</f>
        <v>RECEITAS NÃO OPERACIONAIS</v>
      </c>
      <c r="C4475" s="22">
        <v>2024</v>
      </c>
      <c r="D4475" t="s">
        <v>112</v>
      </c>
      <c r="F4475" t="str">
        <f>VLOOKUP(G4475,PC!B:D,2,FALSE)</f>
        <v>EMPRESTIMO</v>
      </c>
      <c r="G4475" s="4" t="s">
        <v>71</v>
      </c>
      <c r="H4475" s="1">
        <v>50</v>
      </c>
    </row>
    <row r="4476" spans="2:8" x14ac:dyDescent="0.2">
      <c r="B4476" t="str">
        <f>VLOOKUP(G4476,PC!B:D,3,FALSE)</f>
        <v>DESPESA PESSOAL</v>
      </c>
      <c r="C4476" s="22">
        <v>2024</v>
      </c>
      <c r="D4476" t="s">
        <v>112</v>
      </c>
      <c r="F4476" t="str">
        <f>VLOOKUP(G4476,PC!B:D,2,FALSE)</f>
        <v>DESPESA PESSOAL</v>
      </c>
      <c r="G4476" s="4" t="s">
        <v>56</v>
      </c>
      <c r="H4476" s="1">
        <v>150</v>
      </c>
    </row>
    <row r="4477" spans="2:8" x14ac:dyDescent="0.2">
      <c r="B4477" t="str">
        <f>VLOOKUP(G4477,PC!B:D,3,FALSE)</f>
        <v>RECEITA</v>
      </c>
      <c r="C4477" s="22">
        <v>2024</v>
      </c>
      <c r="D4477" t="s">
        <v>112</v>
      </c>
      <c r="F4477" t="str">
        <f>VLOOKUP(G4477,PC!B:D,2,FALSE)</f>
        <v>RECEITA</v>
      </c>
      <c r="G4477" s="4" t="s">
        <v>54</v>
      </c>
      <c r="H4477" s="1">
        <f>1550+100+500+1400+300+25+350+28+1200+160+1950+400+1400+120+800+200+900+45+500+290+1200+500+154+140+96+150</f>
        <v>14458</v>
      </c>
    </row>
    <row r="4478" spans="2:8" x14ac:dyDescent="0.2">
      <c r="B4478" t="str">
        <f>VLOOKUP(G4478,PC!B:D,3,FALSE)</f>
        <v>DESPESA OPERACIONAL</v>
      </c>
      <c r="C4478" s="22">
        <v>2024</v>
      </c>
      <c r="D4478" t="s">
        <v>112</v>
      </c>
      <c r="F4478" t="str">
        <f>VLOOKUP(G4478,PC!B:D,2,FALSE)</f>
        <v>DESPESA OPERACIONAL</v>
      </c>
      <c r="G4478" s="4" t="s">
        <v>70</v>
      </c>
      <c r="H4478" s="1">
        <v>96</v>
      </c>
    </row>
    <row r="4479" spans="2:8" x14ac:dyDescent="0.2">
      <c r="B4479" t="str">
        <f>VLOOKUP(G4479,PC!B:D,3,FALSE)</f>
        <v>CPV</v>
      </c>
      <c r="C4479" s="22">
        <v>2024</v>
      </c>
      <c r="D4479" t="s">
        <v>112</v>
      </c>
      <c r="E4479" t="s">
        <v>129</v>
      </c>
      <c r="F4479" t="str">
        <f>VLOOKUP(G4479,PC!B:D,2,FALSE)</f>
        <v>COMIDA</v>
      </c>
      <c r="G4479" s="4" t="s">
        <v>33</v>
      </c>
      <c r="H4479" s="1">
        <v>290</v>
      </c>
    </row>
    <row r="4480" spans="2:8" x14ac:dyDescent="0.2">
      <c r="B4480" t="str">
        <f>VLOOKUP(G4480,PC!B:D,3,FALSE)</f>
        <v>CPV</v>
      </c>
      <c r="C4480" s="22">
        <v>2024</v>
      </c>
      <c r="D4480" t="s">
        <v>112</v>
      </c>
      <c r="E4480" t="s">
        <v>129</v>
      </c>
      <c r="F4480" t="str">
        <f>VLOOKUP(G4480,PC!B:D,2,FALSE)</f>
        <v>COMIDA</v>
      </c>
      <c r="G4480" s="4" t="s">
        <v>12</v>
      </c>
      <c r="H4480" s="1">
        <v>160</v>
      </c>
    </row>
    <row r="4481" spans="2:8" x14ac:dyDescent="0.2">
      <c r="B4481" t="str">
        <f>VLOOKUP(G4481,PC!B:D,3,FALSE)</f>
        <v>DESPESA PESSOAL</v>
      </c>
      <c r="C4481" s="22">
        <v>2024</v>
      </c>
      <c r="D4481" t="s">
        <v>112</v>
      </c>
      <c r="F4481" t="str">
        <f>VLOOKUP(G4481,PC!B:D,2,FALSE)</f>
        <v>DESPESA PESSOAL</v>
      </c>
      <c r="G4481" s="4" t="s">
        <v>56</v>
      </c>
      <c r="H4481" s="1">
        <v>350</v>
      </c>
    </row>
    <row r="4482" spans="2:8" x14ac:dyDescent="0.2">
      <c r="B4482" t="str">
        <f>VLOOKUP(G4482,PC!B:D,3,FALSE)</f>
        <v>DESPESA PESSOAL</v>
      </c>
      <c r="C4482" s="22">
        <v>2024</v>
      </c>
      <c r="D4482" t="s">
        <v>112</v>
      </c>
      <c r="F4482" t="str">
        <f>VLOOKUP(G4482,PC!B:D,2,FALSE)</f>
        <v>DESPESA PESSOAL</v>
      </c>
      <c r="G4482" s="4" t="s">
        <v>56</v>
      </c>
      <c r="H4482" s="1">
        <v>25</v>
      </c>
    </row>
    <row r="4483" spans="2:8" x14ac:dyDescent="0.2">
      <c r="B4483" t="e">
        <f>VLOOKUP(G4483,PC!B:D,3,FALSE)</f>
        <v>#N/A</v>
      </c>
      <c r="C4483" s="22">
        <v>2024</v>
      </c>
      <c r="D4483" t="s">
        <v>112</v>
      </c>
      <c r="F4483" t="e">
        <f>VLOOKUP(G4483,PC!B:D,2,FALSE)</f>
        <v>#N/A</v>
      </c>
      <c r="G4483" s="4" t="s">
        <v>231</v>
      </c>
      <c r="H4483" s="1">
        <v>45</v>
      </c>
    </row>
    <row r="4484" spans="2:8" x14ac:dyDescent="0.2">
      <c r="B4484" t="str">
        <f>VLOOKUP(G4484,PC!B:D,3,FALSE)</f>
        <v>RECEITA</v>
      </c>
      <c r="C4484" s="22">
        <v>2024</v>
      </c>
      <c r="D4484" t="s">
        <v>112</v>
      </c>
      <c r="F4484" t="str">
        <f>VLOOKUP(G4484,PC!B:D,2,FALSE)</f>
        <v>RECEITA</v>
      </c>
      <c r="G4484" s="4" t="s">
        <v>54</v>
      </c>
      <c r="H4484" s="1">
        <f>49+18+1300+35+400+37+56.4+180+2200+100+203+55+261.3+16.8+700+900+100+66+1100+30+350+1600+104+2500</f>
        <v>12361.5</v>
      </c>
    </row>
    <row r="4485" spans="2:8" x14ac:dyDescent="0.2">
      <c r="B4485" t="str">
        <f>VLOOKUP(G4485,PC!B:D,3,FALSE)</f>
        <v>RECEITAS NÃO OPERACIONAIS</v>
      </c>
      <c r="C4485" s="22">
        <v>2024</v>
      </c>
      <c r="D4485" t="s">
        <v>112</v>
      </c>
      <c r="F4485" t="str">
        <f>VLOOKUP(G4485,PC!B:D,2,FALSE)</f>
        <v>EMPRESTIMO</v>
      </c>
      <c r="G4485" s="4" t="s">
        <v>71</v>
      </c>
      <c r="H4485" s="1">
        <v>104</v>
      </c>
    </row>
    <row r="4486" spans="2:8" x14ac:dyDescent="0.2">
      <c r="B4486" t="str">
        <f>VLOOKUP(G4486,PC!B:D,3,FALSE)</f>
        <v>DESPESA PESSOAL</v>
      </c>
      <c r="C4486" s="22">
        <v>2024</v>
      </c>
      <c r="D4486" t="s">
        <v>112</v>
      </c>
      <c r="F4486" t="str">
        <f>VLOOKUP(G4486,PC!B:D,2,FALSE)</f>
        <v>DESPESA PESSOAL</v>
      </c>
      <c r="G4486" s="4" t="s">
        <v>56</v>
      </c>
      <c r="H4486" s="1">
        <v>350</v>
      </c>
    </row>
    <row r="4487" spans="2:8" x14ac:dyDescent="0.2">
      <c r="B4487" t="str">
        <f>VLOOKUP(G4487,PC!B:D,3,FALSE)</f>
        <v>DESPESA PESSOAL</v>
      </c>
      <c r="C4487" s="22">
        <v>2024</v>
      </c>
      <c r="D4487" t="s">
        <v>112</v>
      </c>
      <c r="F4487" t="str">
        <f>VLOOKUP(G4487,PC!B:D,2,FALSE)</f>
        <v>DESPESA PESSOAL</v>
      </c>
      <c r="G4487" s="4" t="s">
        <v>68</v>
      </c>
      <c r="H4487" s="1">
        <v>100</v>
      </c>
    </row>
    <row r="4488" spans="2:8" x14ac:dyDescent="0.2">
      <c r="B4488" t="str">
        <f>VLOOKUP(G4488,PC!B:D,3,FALSE)</f>
        <v>CPV</v>
      </c>
      <c r="C4488" s="22">
        <v>2024</v>
      </c>
      <c r="D4488" t="s">
        <v>112</v>
      </c>
      <c r="E4488" t="s">
        <v>129</v>
      </c>
      <c r="F4488" t="str">
        <f>VLOOKUP(G4488,PC!B:D,2,FALSE)</f>
        <v>COMIDA</v>
      </c>
      <c r="G4488" s="4" t="s">
        <v>146</v>
      </c>
      <c r="H4488" s="1">
        <v>35</v>
      </c>
    </row>
    <row r="4489" spans="2:8" x14ac:dyDescent="0.2">
      <c r="B4489" t="str">
        <f>VLOOKUP(G4489,PC!B:D,3,FALSE)</f>
        <v>RECEITA</v>
      </c>
      <c r="C4489" s="22">
        <v>2024</v>
      </c>
      <c r="D4489" t="s">
        <v>112</v>
      </c>
      <c r="F4489" t="str">
        <f>VLOOKUP(G4489,PC!B:D,2,FALSE)</f>
        <v>RECEITA</v>
      </c>
      <c r="G4489" s="4" t="s">
        <v>54</v>
      </c>
      <c r="H4489" s="1">
        <f>550+45+17+15+1500+250+40+600+1050+58+138.5+31+400+192+29+27.5+1350+45+30+42+40+60+940+400+2000</f>
        <v>9850</v>
      </c>
    </row>
    <row r="4490" spans="2:8" x14ac:dyDescent="0.2">
      <c r="B4490" t="str">
        <f>VLOOKUP(G4490,PC!B:D,3,FALSE)</f>
        <v>DESPESA PESSOAL</v>
      </c>
      <c r="C4490" s="22">
        <v>2024</v>
      </c>
      <c r="D4490" t="s">
        <v>112</v>
      </c>
      <c r="F4490" t="str">
        <f>VLOOKUP(G4490,PC!B:D,2,FALSE)</f>
        <v>DESPESA PESSOAL</v>
      </c>
      <c r="G4490" s="4" t="s">
        <v>68</v>
      </c>
      <c r="H4490" s="1">
        <v>40</v>
      </c>
    </row>
    <row r="4491" spans="2:8" x14ac:dyDescent="0.2">
      <c r="B4491" t="str">
        <f>VLOOKUP(G4491,PC!B:D,3,FALSE)</f>
        <v>CPV</v>
      </c>
      <c r="C4491" s="22">
        <v>2024</v>
      </c>
      <c r="D4491" t="s">
        <v>112</v>
      </c>
      <c r="E4491" t="s">
        <v>129</v>
      </c>
      <c r="F4491" t="str">
        <f>VLOOKUP(G4491,PC!B:D,2,FALSE)</f>
        <v>COMIDA</v>
      </c>
      <c r="G4491" s="4" t="s">
        <v>146</v>
      </c>
      <c r="H4491" s="1">
        <v>30</v>
      </c>
    </row>
    <row r="4492" spans="2:8" x14ac:dyDescent="0.2">
      <c r="B4492" t="str">
        <f>VLOOKUP(G4492,PC!B:D,3,FALSE)</f>
        <v>RECEITAS NÃO OPERACIONAIS</v>
      </c>
      <c r="C4492" s="22">
        <v>2024</v>
      </c>
      <c r="D4492" t="s">
        <v>112</v>
      </c>
      <c r="F4492" t="str">
        <f>VLOOKUP(G4492,PC!B:D,2,FALSE)</f>
        <v>EMPRESTIMO</v>
      </c>
      <c r="G4492" s="4" t="s">
        <v>71</v>
      </c>
      <c r="H4492" s="1">
        <v>29</v>
      </c>
    </row>
    <row r="4493" spans="2:8" x14ac:dyDescent="0.2">
      <c r="B4493" t="str">
        <f>VLOOKUP(G4493,PC!B:D,3,FALSE)</f>
        <v>DESPESA OPERACIONAL</v>
      </c>
      <c r="C4493" s="22">
        <v>2024</v>
      </c>
      <c r="D4493" t="s">
        <v>112</v>
      </c>
      <c r="F4493" t="str">
        <f>VLOOKUP(G4493,PC!B:D,2,FALSE)</f>
        <v>DESPESA OPERACIONAL</v>
      </c>
      <c r="G4493" s="4" t="s">
        <v>70</v>
      </c>
      <c r="H4493" s="1">
        <v>58</v>
      </c>
    </row>
    <row r="4494" spans="2:8" x14ac:dyDescent="0.2">
      <c r="B4494" t="str">
        <f>VLOOKUP(G4494,PC!B:D,3,FALSE)</f>
        <v>DESPESA OPERACIONAL</v>
      </c>
      <c r="C4494" s="22">
        <v>2024</v>
      </c>
      <c r="D4494" t="s">
        <v>112</v>
      </c>
      <c r="F4494" t="str">
        <f>VLOOKUP(G4494,PC!B:D,2,FALSE)</f>
        <v>DESPESA OPERACIONAL</v>
      </c>
      <c r="G4494" s="4" t="s">
        <v>79</v>
      </c>
      <c r="H4494" s="1">
        <v>31</v>
      </c>
    </row>
    <row r="4495" spans="2:8" x14ac:dyDescent="0.2">
      <c r="B4495" t="e">
        <f>VLOOKUP(G4495,PC!B:D,3,FALSE)</f>
        <v>#N/A</v>
      </c>
      <c r="C4495" s="22">
        <v>2024</v>
      </c>
      <c r="D4495" t="s">
        <v>112</v>
      </c>
      <c r="F4495" t="e">
        <f>VLOOKUP(G4495,PC!B:D,2,FALSE)</f>
        <v>#N/A</v>
      </c>
      <c r="G4495" s="4" t="s">
        <v>231</v>
      </c>
      <c r="H4495" s="1">
        <v>45</v>
      </c>
    </row>
    <row r="4496" spans="2:8" x14ac:dyDescent="0.2">
      <c r="B4496" t="str">
        <f>VLOOKUP(G4496,PC!B:D,3,FALSE)</f>
        <v>RECEITA</v>
      </c>
      <c r="C4496" s="22">
        <v>2024</v>
      </c>
      <c r="D4496" t="s">
        <v>112</v>
      </c>
      <c r="F4496" t="str">
        <f>VLOOKUP(G4496,PC!B:D,2,FALSE)</f>
        <v>RECEITA</v>
      </c>
      <c r="G4496" s="4" t="s">
        <v>54</v>
      </c>
      <c r="H4496" s="1">
        <f>316+1400+120+1400+750+200+850+170+350+170+350+130+1000+950+45+28+2500+550+45+600+232+650+40+390+350+110+1000</f>
        <v>14696</v>
      </c>
    </row>
    <row r="4497" spans="2:8" x14ac:dyDescent="0.2">
      <c r="B4497" t="str">
        <f>VLOOKUP(G4497,PC!B:D,3,FALSE)</f>
        <v>CPV</v>
      </c>
      <c r="C4497" s="22">
        <v>2024</v>
      </c>
      <c r="D4497" t="s">
        <v>112</v>
      </c>
      <c r="E4497" t="s">
        <v>129</v>
      </c>
      <c r="F4497" t="str">
        <f>VLOOKUP(G4497,PC!B:D,2,FALSE)</f>
        <v>COMIDA</v>
      </c>
      <c r="G4497" s="4" t="s">
        <v>12</v>
      </c>
      <c r="H4497" s="1">
        <v>110</v>
      </c>
    </row>
    <row r="4498" spans="2:8" x14ac:dyDescent="0.2">
      <c r="B4498" t="e">
        <f>VLOOKUP(G4498,PC!B:D,3,FALSE)</f>
        <v>#N/A</v>
      </c>
      <c r="C4498" s="22">
        <v>2024</v>
      </c>
      <c r="D4498" t="s">
        <v>112</v>
      </c>
      <c r="F4498" t="e">
        <f>VLOOKUP(G4498,PC!B:D,2,FALSE)</f>
        <v>#N/A</v>
      </c>
      <c r="G4498" s="4" t="s">
        <v>231</v>
      </c>
      <c r="H4498" s="1">
        <v>45</v>
      </c>
    </row>
    <row r="4499" spans="2:8" x14ac:dyDescent="0.2">
      <c r="B4499" t="str">
        <f>VLOOKUP(G4499,PC!B:D,3,FALSE)</f>
        <v>DESPESA PESSOAL</v>
      </c>
      <c r="C4499" s="22">
        <v>2024</v>
      </c>
      <c r="D4499" t="s">
        <v>112</v>
      </c>
      <c r="F4499" t="str">
        <f>VLOOKUP(G4499,PC!B:D,2,FALSE)</f>
        <v>DESPESA PESSOAL</v>
      </c>
      <c r="G4499" s="4" t="s">
        <v>56</v>
      </c>
      <c r="H4499" s="1">
        <v>350</v>
      </c>
    </row>
    <row r="4500" spans="2:8" x14ac:dyDescent="0.2">
      <c r="B4500" t="str">
        <f>VLOOKUP(G4500,PC!B:D,3,FALSE)</f>
        <v>CPV</v>
      </c>
      <c r="C4500" s="22">
        <v>2024</v>
      </c>
      <c r="D4500" t="s">
        <v>112</v>
      </c>
      <c r="E4500" t="s">
        <v>129</v>
      </c>
      <c r="F4500" t="str">
        <f>VLOOKUP(G4500,PC!B:D,2,FALSE)</f>
        <v>COMIDA</v>
      </c>
      <c r="G4500" s="4" t="s">
        <v>33</v>
      </c>
      <c r="H4500" s="1">
        <v>130</v>
      </c>
    </row>
    <row r="4501" spans="2:8" x14ac:dyDescent="0.2">
      <c r="B4501" t="str">
        <f>VLOOKUP(G4501,PC!B:D,3,FALSE)</f>
        <v>CPV</v>
      </c>
      <c r="C4501" s="22">
        <v>2024</v>
      </c>
      <c r="D4501" t="s">
        <v>112</v>
      </c>
      <c r="F4501" t="str">
        <f>VLOOKUP(G4501,PC!B:D,2,FALSE)</f>
        <v>OUTROS</v>
      </c>
      <c r="G4501" s="4" t="s">
        <v>37</v>
      </c>
      <c r="H4501" s="1">
        <v>45</v>
      </c>
    </row>
    <row r="4502" spans="2:8" x14ac:dyDescent="0.2">
      <c r="B4502" t="str">
        <f>VLOOKUP(G4502,PC!B:D,3,FALSE)</f>
        <v>DESPESA PESSOAL</v>
      </c>
      <c r="C4502" s="22">
        <v>2024</v>
      </c>
      <c r="D4502" t="s">
        <v>112</v>
      </c>
      <c r="F4502" t="str">
        <f>VLOOKUP(G4502,PC!B:D,2,FALSE)</f>
        <v>DESPESA PESSOAL</v>
      </c>
      <c r="G4502" s="4" t="s">
        <v>68</v>
      </c>
      <c r="H4502" s="1">
        <v>120</v>
      </c>
    </row>
    <row r="4503" spans="2:8" x14ac:dyDescent="0.2">
      <c r="B4503" t="str">
        <f>VLOOKUP(G4503,PC!B:D,3,FALSE)</f>
        <v>RECEITA</v>
      </c>
      <c r="C4503" s="22">
        <v>2024</v>
      </c>
      <c r="D4503" t="s">
        <v>112</v>
      </c>
      <c r="F4503" t="str">
        <f>VLOOKUP(G4503,PC!B:D,2,FALSE)</f>
        <v>RECEITA</v>
      </c>
      <c r="G4503" s="4" t="s">
        <v>54</v>
      </c>
      <c r="H4503" s="1">
        <f>127+30+282+166+45+234+66+1000+400+50+55+44+20+254+36+100+90+1350+28+66+750+192+125+211+159+60+1200+1300</f>
        <v>8440</v>
      </c>
    </row>
    <row r="4504" spans="2:8" x14ac:dyDescent="0.2">
      <c r="B4504" t="str">
        <f>VLOOKUP(G4504,PC!B:D,3,FALSE)</f>
        <v>CPV</v>
      </c>
      <c r="C4504" s="22">
        <v>2024</v>
      </c>
      <c r="D4504" t="s">
        <v>112</v>
      </c>
      <c r="E4504" t="s">
        <v>129</v>
      </c>
      <c r="F4504" t="str">
        <f>VLOOKUP(G4504,PC!B:D,2,FALSE)</f>
        <v>OUTROS</v>
      </c>
      <c r="G4504" s="4" t="s">
        <v>37</v>
      </c>
      <c r="H4504" s="1">
        <v>125</v>
      </c>
    </row>
    <row r="4505" spans="2:8" x14ac:dyDescent="0.2">
      <c r="B4505" t="str">
        <f>VLOOKUP(G4505,PC!B:D,3,FALSE)</f>
        <v>CPV</v>
      </c>
      <c r="C4505" s="22">
        <v>2024</v>
      </c>
      <c r="D4505" t="s">
        <v>112</v>
      </c>
      <c r="E4505" t="s">
        <v>129</v>
      </c>
      <c r="F4505" t="str">
        <f>VLOOKUP(G4505,PC!B:D,2,FALSE)</f>
        <v>COMIDA</v>
      </c>
      <c r="G4505" s="4" t="s">
        <v>38</v>
      </c>
      <c r="H4505" s="1">
        <v>192</v>
      </c>
    </row>
    <row r="4506" spans="2:8" x14ac:dyDescent="0.2">
      <c r="B4506" t="str">
        <f>VLOOKUP(G4506,PC!B:D,3,FALSE)</f>
        <v>CPV</v>
      </c>
      <c r="C4506" s="22">
        <v>2024</v>
      </c>
      <c r="D4506" t="s">
        <v>112</v>
      </c>
      <c r="E4506" t="s">
        <v>129</v>
      </c>
      <c r="F4506" t="str">
        <f>VLOOKUP(G4506,PC!B:D,2,FALSE)</f>
        <v>OUTROS</v>
      </c>
      <c r="G4506" s="4" t="s">
        <v>37</v>
      </c>
      <c r="H4506" s="1">
        <v>90</v>
      </c>
    </row>
    <row r="4507" spans="2:8" x14ac:dyDescent="0.2">
      <c r="B4507" t="str">
        <f>VLOOKUP(G4507,PC!B:D,3,FALSE)</f>
        <v>DESPESA PESSOAL</v>
      </c>
      <c r="C4507" s="22">
        <v>2024</v>
      </c>
      <c r="D4507" t="s">
        <v>112</v>
      </c>
      <c r="F4507" t="str">
        <f>VLOOKUP(G4507,PC!B:D,2,FALSE)</f>
        <v>DESPESA PESSOAL</v>
      </c>
      <c r="G4507" s="4" t="s">
        <v>68</v>
      </c>
      <c r="H4507" s="1">
        <v>50</v>
      </c>
    </row>
    <row r="4508" spans="2:8" x14ac:dyDescent="0.2">
      <c r="B4508" t="str">
        <f>VLOOKUP(G4508,PC!B:D,3,FALSE)</f>
        <v>DESPESA OPERACIONAL</v>
      </c>
      <c r="C4508" s="22">
        <v>2024</v>
      </c>
      <c r="D4508" t="s">
        <v>112</v>
      </c>
      <c r="F4508" t="str">
        <f>VLOOKUP(G4508,PC!B:D,2,FALSE)</f>
        <v>DESPESA OPERACIONAL</v>
      </c>
      <c r="G4508" s="4" t="s">
        <v>70</v>
      </c>
      <c r="H4508" s="1">
        <v>166</v>
      </c>
    </row>
    <row r="4509" spans="2:8" x14ac:dyDescent="0.2">
      <c r="B4509" t="str">
        <f>VLOOKUP(G4509,PC!B:D,3,FALSE)</f>
        <v>CPV</v>
      </c>
      <c r="C4509" s="22">
        <v>2024</v>
      </c>
      <c r="D4509" t="s">
        <v>112</v>
      </c>
      <c r="E4509" t="s">
        <v>129</v>
      </c>
      <c r="F4509" t="str">
        <f>VLOOKUP(G4509,PC!B:D,2,FALSE)</f>
        <v>COMIDA</v>
      </c>
      <c r="G4509" s="4" t="s">
        <v>12</v>
      </c>
      <c r="H4509" s="1">
        <v>160</v>
      </c>
    </row>
    <row r="4510" spans="2:8" x14ac:dyDescent="0.2">
      <c r="B4510" t="str">
        <f>VLOOKUP(G4510,PC!B:D,3,FALSE)</f>
        <v>DESPESA PESSOAL</v>
      </c>
      <c r="C4510" s="22">
        <v>2024</v>
      </c>
      <c r="D4510" t="s">
        <v>112</v>
      </c>
      <c r="F4510" t="str">
        <f>VLOOKUP(G4510,PC!B:D,2,FALSE)</f>
        <v>DESPESA PESSOAL</v>
      </c>
      <c r="G4510" s="4" t="s">
        <v>68</v>
      </c>
      <c r="H4510" s="1">
        <v>60</v>
      </c>
    </row>
    <row r="4511" spans="2:8" x14ac:dyDescent="0.2">
      <c r="B4511" t="str">
        <f>VLOOKUP(G4511,PC!B:D,3,FALSE)</f>
        <v>RECEITA</v>
      </c>
      <c r="C4511" s="22">
        <v>2024</v>
      </c>
      <c r="D4511" t="s">
        <v>112</v>
      </c>
      <c r="F4511" t="str">
        <f>VLOOKUP(G4511,PC!B:D,2,FALSE)</f>
        <v>RECEITA</v>
      </c>
      <c r="G4511" s="4" t="s">
        <v>54</v>
      </c>
      <c r="H4511" s="1">
        <f>66+500+1700+350+950+7+2150</f>
        <v>5723</v>
      </c>
    </row>
    <row r="4512" spans="2:8" x14ac:dyDescent="0.2">
      <c r="B4512" t="str">
        <f>VLOOKUP(G4512,PC!B:D,3,FALSE)</f>
        <v>DESPESA PESSOAL</v>
      </c>
      <c r="C4512" s="22">
        <v>2024</v>
      </c>
      <c r="D4512" t="s">
        <v>112</v>
      </c>
      <c r="F4512" t="str">
        <f>VLOOKUP(G4512,PC!B:D,2,FALSE)</f>
        <v>DESPESA PESSOAL</v>
      </c>
      <c r="G4512" s="4" t="s">
        <v>56</v>
      </c>
      <c r="H4512" s="1">
        <v>2000</v>
      </c>
    </row>
    <row r="4513" spans="2:8" x14ac:dyDescent="0.2">
      <c r="B4513" t="str">
        <f>VLOOKUP(G4513,PC!B:D,3,FALSE)</f>
        <v>SERV.TERCEIROS</v>
      </c>
      <c r="C4513" s="22">
        <v>2024</v>
      </c>
      <c r="D4513" t="s">
        <v>112</v>
      </c>
      <c r="F4513" t="str">
        <f>VLOOKUP(G4513,PC!B:D,2,FALSE)</f>
        <v>SERV.TERCEIROS</v>
      </c>
      <c r="G4513" s="4" t="s">
        <v>123</v>
      </c>
      <c r="H4513" s="1">
        <v>190</v>
      </c>
    </row>
    <row r="4514" spans="2:8" x14ac:dyDescent="0.2">
      <c r="B4514" t="str">
        <f>VLOOKUP(G4514,PC!B:D,3,FALSE)</f>
        <v>DESPESA PESSOAL</v>
      </c>
      <c r="C4514" s="22">
        <v>2024</v>
      </c>
      <c r="D4514" t="s">
        <v>112</v>
      </c>
      <c r="F4514" t="str">
        <f>VLOOKUP(G4514,PC!B:D,2,FALSE)</f>
        <v>DESPESA PESSOAL</v>
      </c>
      <c r="G4514" s="4" t="s">
        <v>124</v>
      </c>
      <c r="H4514" s="1">
        <v>2400</v>
      </c>
    </row>
    <row r="4515" spans="2:8" x14ac:dyDescent="0.2">
      <c r="B4515" t="e">
        <f>VLOOKUP(G4515,PC!B:D,3,FALSE)</f>
        <v>#N/A</v>
      </c>
      <c r="C4515" s="22">
        <v>2024</v>
      </c>
      <c r="D4515" t="s">
        <v>111</v>
      </c>
      <c r="F4515" t="e">
        <f>VLOOKUP(G4515,PC!B:D,2,FALSE)</f>
        <v>#N/A</v>
      </c>
      <c r="G4515" s="4" t="s">
        <v>157</v>
      </c>
      <c r="H4515" s="1">
        <v>192.5</v>
      </c>
    </row>
    <row r="4516" spans="2:8" x14ac:dyDescent="0.2">
      <c r="B4516" t="e">
        <f>VLOOKUP(G4516,PC!B:D,3,FALSE)</f>
        <v>#N/A</v>
      </c>
      <c r="C4516" s="22">
        <v>2024</v>
      </c>
      <c r="D4516" t="s">
        <v>112</v>
      </c>
      <c r="F4516" t="e">
        <f>VLOOKUP(G4516,PC!B:D,2,FALSE)</f>
        <v>#N/A</v>
      </c>
      <c r="G4516" s="4" t="s">
        <v>157</v>
      </c>
      <c r="H4516" s="1">
        <v>192.5</v>
      </c>
    </row>
    <row r="4517" spans="2:8" x14ac:dyDescent="0.2">
      <c r="B4517" t="str">
        <f>VLOOKUP(G4517,PC!B:D,3,FALSE)</f>
        <v>DESPESA FINANCEIRA</v>
      </c>
      <c r="C4517" s="22">
        <v>2024</v>
      </c>
      <c r="D4517" t="s">
        <v>112</v>
      </c>
      <c r="F4517" t="str">
        <f>VLOOKUP(G4517,PC!B:D,2,FALSE)</f>
        <v>DESPESA FINANCEIRA</v>
      </c>
      <c r="G4517" s="4" t="s">
        <v>125</v>
      </c>
      <c r="H4517" s="1">
        <v>100</v>
      </c>
    </row>
    <row r="4518" spans="2:8" x14ac:dyDescent="0.2">
      <c r="B4518" t="str">
        <f>VLOOKUP(G4518,PC!B:D,3,FALSE)</f>
        <v>DESPESA FINANCEIRA</v>
      </c>
      <c r="C4518" s="22">
        <v>2024</v>
      </c>
      <c r="D4518" t="s">
        <v>111</v>
      </c>
      <c r="F4518" t="str">
        <f>VLOOKUP(G4518,PC!B:D,2,FALSE)</f>
        <v>DESPESA FINANCEIRA</v>
      </c>
      <c r="G4518" s="4" t="s">
        <v>125</v>
      </c>
      <c r="H4518" s="1">
        <v>100</v>
      </c>
    </row>
    <row r="4519" spans="2:8" x14ac:dyDescent="0.2">
      <c r="B4519" t="str">
        <f>VLOOKUP(G4519,PC!B:D,3,FALSE)</f>
        <v>DESPESA FINANCEIRA</v>
      </c>
      <c r="C4519" s="22">
        <v>2024</v>
      </c>
      <c r="D4519" t="s">
        <v>110</v>
      </c>
      <c r="F4519" t="str">
        <f>VLOOKUP(G4519,PC!B:D,2,FALSE)</f>
        <v>DESPESA FINANCEIRA</v>
      </c>
      <c r="G4519" s="4" t="s">
        <v>125</v>
      </c>
      <c r="H4519" s="1">
        <v>100</v>
      </c>
    </row>
    <row r="4520" spans="2:8" x14ac:dyDescent="0.2">
      <c r="B4520" t="str">
        <f>VLOOKUP(G4520,PC!B:D,3,FALSE)</f>
        <v>DESPESA FINANCEIRA</v>
      </c>
      <c r="C4520" s="22">
        <v>2024</v>
      </c>
      <c r="D4520" t="s">
        <v>111</v>
      </c>
      <c r="F4520" t="str">
        <f>VLOOKUP(G4520,PC!B:D,2,FALSE)</f>
        <v>DESPESA FINANCEIRA</v>
      </c>
      <c r="G4520" s="4" t="s">
        <v>90</v>
      </c>
      <c r="H4520" s="1">
        <v>730</v>
      </c>
    </row>
    <row r="4521" spans="2:8" x14ac:dyDescent="0.2">
      <c r="B4521" t="str">
        <f>VLOOKUP(G4521,PC!B:D,3,FALSE)</f>
        <v>DESPESA OPERACIONAL</v>
      </c>
      <c r="C4521" s="22">
        <v>2024</v>
      </c>
      <c r="D4521" t="s">
        <v>113</v>
      </c>
      <c r="F4521" t="str">
        <f>VLOOKUP(G4521,PC!B:D,2,FALSE)</f>
        <v>DESPESA OPERACIONAL</v>
      </c>
      <c r="G4521" s="4" t="s">
        <v>73</v>
      </c>
      <c r="H4521" s="1">
        <f>438.13+655.86+344.14+293.24+366.67</f>
        <v>2098.04</v>
      </c>
    </row>
    <row r="4522" spans="2:8" x14ac:dyDescent="0.2">
      <c r="B4522" t="str">
        <f>VLOOKUP(G4522,PC!B:D,3,FALSE)</f>
        <v>RECEITA</v>
      </c>
      <c r="C4522" s="22">
        <v>2024</v>
      </c>
      <c r="D4522" t="s">
        <v>113</v>
      </c>
      <c r="F4522" t="str">
        <f>VLOOKUP(G4522,PC!B:D,2,FALSE)</f>
        <v>RECEITA</v>
      </c>
      <c r="G4522" s="4" t="s">
        <v>64</v>
      </c>
      <c r="H4522" s="1">
        <f>9.37+12.54+7.35+6.26+7.83</f>
        <v>43.349999999999994</v>
      </c>
    </row>
    <row r="4523" spans="2:8" x14ac:dyDescent="0.2">
      <c r="B4523" t="str">
        <f>VLOOKUP(G4523,PC!B:D,3,FALSE)</f>
        <v>CPV</v>
      </c>
      <c r="C4523" s="22">
        <v>2024</v>
      </c>
      <c r="D4523" t="s">
        <v>113</v>
      </c>
      <c r="E4523" t="s">
        <v>129</v>
      </c>
      <c r="F4523" t="str">
        <f>VLOOKUP(G4523,PC!B:D,2,FALSE)</f>
        <v>BEBIDAS</v>
      </c>
      <c r="G4523" s="4" t="s">
        <v>48</v>
      </c>
      <c r="H4523" s="1">
        <v>100</v>
      </c>
    </row>
    <row r="4524" spans="2:8" x14ac:dyDescent="0.2">
      <c r="B4524" t="str">
        <f>VLOOKUP(G4524,PC!B:D,3,FALSE)</f>
        <v>SERV. PUBLICOS</v>
      </c>
      <c r="C4524" s="22">
        <v>2024</v>
      </c>
      <c r="D4524" t="s">
        <v>112</v>
      </c>
      <c r="F4524" t="str">
        <f>VLOOKUP(G4524,PC!B:D,2,FALSE)</f>
        <v>SERV. PUBLICOS</v>
      </c>
      <c r="G4524" s="4" t="s">
        <v>91</v>
      </c>
      <c r="H4524" s="1">
        <v>351.6</v>
      </c>
    </row>
    <row r="4525" spans="2:8" x14ac:dyDescent="0.2">
      <c r="B4525" t="str">
        <f>VLOOKUP(G4525,PC!B:D,3,FALSE)</f>
        <v>DESPESA PESSOAL</v>
      </c>
      <c r="C4525" s="22">
        <v>2024</v>
      </c>
      <c r="D4525" t="s">
        <v>113</v>
      </c>
      <c r="F4525" t="str">
        <f>VLOOKUP(G4525,PC!B:D,2,FALSE)</f>
        <v>DESPESA PESSOAL</v>
      </c>
      <c r="G4525" s="4" t="s">
        <v>68</v>
      </c>
      <c r="H4525" s="1">
        <v>1308.2</v>
      </c>
    </row>
    <row r="4526" spans="2:8" x14ac:dyDescent="0.2">
      <c r="B4526" t="str">
        <f>VLOOKUP(G4526,PC!B:D,3,FALSE)</f>
        <v>SERV. PUBLICOS</v>
      </c>
      <c r="C4526" s="22">
        <v>2024</v>
      </c>
      <c r="D4526" t="s">
        <v>113</v>
      </c>
      <c r="F4526" t="str">
        <f>VLOOKUP(G4526,PC!B:D,2,FALSE)</f>
        <v>SERV. PUBLICOS</v>
      </c>
      <c r="G4526" s="4" t="s">
        <v>91</v>
      </c>
      <c r="H4526" s="1">
        <v>282.66000000000003</v>
      </c>
    </row>
    <row r="4527" spans="2:8" x14ac:dyDescent="0.2">
      <c r="B4527" t="str">
        <f>VLOOKUP(G4527,PC!B:D,3,FALSE)</f>
        <v>DESPESA PESSOAL</v>
      </c>
      <c r="C4527" s="22">
        <v>2024</v>
      </c>
      <c r="D4527" t="s">
        <v>44</v>
      </c>
      <c r="F4527" t="str">
        <f>VLOOKUP(G4527,PC!B:D,2,FALSE)</f>
        <v>DESPESA PESSOAL</v>
      </c>
      <c r="G4527" s="4" t="s">
        <v>68</v>
      </c>
      <c r="H4527" s="1">
        <v>1666.8</v>
      </c>
    </row>
    <row r="4528" spans="2:8" x14ac:dyDescent="0.2">
      <c r="B4528" t="str">
        <f>VLOOKUP(G4528,PC!B:D,3,FALSE)</f>
        <v>CPV</v>
      </c>
      <c r="C4528" s="22">
        <v>2024</v>
      </c>
      <c r="D4528" t="s">
        <v>113</v>
      </c>
      <c r="E4528" t="s">
        <v>129</v>
      </c>
      <c r="F4528" t="str">
        <f>VLOOKUP(G4528,PC!B:D,2,FALSE)</f>
        <v>COMIDA</v>
      </c>
      <c r="G4528" s="4" t="s">
        <v>22</v>
      </c>
      <c r="H4528" s="1">
        <v>338.27</v>
      </c>
    </row>
    <row r="4529" spans="2:8" x14ac:dyDescent="0.2">
      <c r="B4529" t="str">
        <f>VLOOKUP(G4529,PC!B:D,3,FALSE)</f>
        <v>SERV. PUBLICOS</v>
      </c>
      <c r="C4529" s="22">
        <v>2024</v>
      </c>
      <c r="D4529" t="s">
        <v>113</v>
      </c>
      <c r="F4529" t="str">
        <f>VLOOKUP(G4529,PC!B:D,2,FALSE)</f>
        <v>SERV. PUBLICOS</v>
      </c>
      <c r="G4529" s="4" t="s">
        <v>104</v>
      </c>
      <c r="H4529" s="1">
        <v>250</v>
      </c>
    </row>
    <row r="4530" spans="2:8" x14ac:dyDescent="0.2">
      <c r="B4530" t="str">
        <f>VLOOKUP(G4530,PC!B:D,3,FALSE)</f>
        <v>SERV. PUBLICOS</v>
      </c>
      <c r="C4530" s="22">
        <v>2024</v>
      </c>
      <c r="D4530" t="s">
        <v>113</v>
      </c>
      <c r="F4530" t="str">
        <f>VLOOKUP(G4530,PC!B:D,2,FALSE)</f>
        <v>SERV. PUBLICOS</v>
      </c>
      <c r="G4530" s="4" t="s">
        <v>91</v>
      </c>
      <c r="H4530" s="1">
        <v>41.89</v>
      </c>
    </row>
    <row r="4531" spans="2:8" x14ac:dyDescent="0.2">
      <c r="B4531" t="str">
        <f>VLOOKUP(G4531,PC!B:D,3,FALSE)</f>
        <v>DESPESA PESSOAL</v>
      </c>
      <c r="C4531" s="22">
        <v>2024</v>
      </c>
      <c r="D4531" t="s">
        <v>113</v>
      </c>
      <c r="F4531" t="str">
        <f>VLOOKUP(G4531,PC!B:D,2,FALSE)</f>
        <v>DESPESA PESSOAL</v>
      </c>
      <c r="G4531" s="4" t="s">
        <v>68</v>
      </c>
      <c r="H4531" s="1">
        <v>188.33</v>
      </c>
    </row>
    <row r="4532" spans="2:8" x14ac:dyDescent="0.2">
      <c r="B4532" t="str">
        <f>VLOOKUP(G4532,PC!B:D,3,FALSE)</f>
        <v>CPV</v>
      </c>
      <c r="C4532" s="22">
        <v>2024</v>
      </c>
      <c r="D4532" t="s">
        <v>113</v>
      </c>
      <c r="E4532" t="s">
        <v>129</v>
      </c>
      <c r="F4532" t="str">
        <f>VLOOKUP(G4532,PC!B:D,2,FALSE)</f>
        <v>OUTROS</v>
      </c>
      <c r="G4532" s="4" t="s">
        <v>37</v>
      </c>
      <c r="H4532" s="1">
        <f>383+396+93+40</f>
        <v>912</v>
      </c>
    </row>
    <row r="4533" spans="2:8" x14ac:dyDescent="0.2">
      <c r="B4533" t="str">
        <f>VLOOKUP(G4533,PC!B:D,3,FALSE)</f>
        <v>CPV</v>
      </c>
      <c r="C4533" s="22">
        <v>2024</v>
      </c>
      <c r="D4533" t="s">
        <v>113</v>
      </c>
      <c r="E4533" t="s">
        <v>129</v>
      </c>
      <c r="F4533" t="str">
        <f>VLOOKUP(G4533,PC!B:D,2,FALSE)</f>
        <v>LIMPEZA</v>
      </c>
      <c r="G4533" s="4" t="s">
        <v>43</v>
      </c>
      <c r="H4533" s="1">
        <v>40</v>
      </c>
    </row>
    <row r="4534" spans="2:8" x14ac:dyDescent="0.2">
      <c r="B4534" t="str">
        <f>VLOOKUP(G4534,PC!B:D,3,FALSE)</f>
        <v>CPV</v>
      </c>
      <c r="C4534" s="22">
        <v>2024</v>
      </c>
      <c r="D4534" t="s">
        <v>113</v>
      </c>
      <c r="E4534" t="s">
        <v>129</v>
      </c>
      <c r="F4534" t="str">
        <f>VLOOKUP(G4534,PC!B:D,2,FALSE)</f>
        <v>CIGARRO</v>
      </c>
      <c r="G4534" s="4" t="s">
        <v>57</v>
      </c>
      <c r="H4534" s="1">
        <v>800</v>
      </c>
    </row>
    <row r="4535" spans="2:8" x14ac:dyDescent="0.2">
      <c r="B4535" t="str">
        <f>VLOOKUP(G4535,PC!B:D,3,FALSE)</f>
        <v>CPV</v>
      </c>
      <c r="C4535" s="22">
        <v>2024</v>
      </c>
      <c r="D4535" t="s">
        <v>113</v>
      </c>
      <c r="E4535" t="s">
        <v>129</v>
      </c>
      <c r="F4535" t="str">
        <f>VLOOKUP(G4535,PC!B:D,2,FALSE)</f>
        <v>CIGARRO</v>
      </c>
      <c r="G4535" s="4" t="s">
        <v>131</v>
      </c>
      <c r="H4535" s="1">
        <v>600</v>
      </c>
    </row>
    <row r="4536" spans="2:8" x14ac:dyDescent="0.2">
      <c r="B4536" t="str">
        <f>VLOOKUP(G4536,PC!B:D,3,FALSE)</f>
        <v>CPV</v>
      </c>
      <c r="C4536" s="22">
        <v>2024</v>
      </c>
      <c r="D4536" t="s">
        <v>113</v>
      </c>
      <c r="E4536" t="s">
        <v>129</v>
      </c>
      <c r="F4536" t="str">
        <f>VLOOKUP(G4536,PC!B:D,2,FALSE)</f>
        <v>SOBREMESA</v>
      </c>
      <c r="G4536" s="4" t="s">
        <v>7</v>
      </c>
      <c r="H4536" s="1">
        <v>29</v>
      </c>
    </row>
    <row r="4537" spans="2:8" x14ac:dyDescent="0.2">
      <c r="B4537" t="str">
        <f>VLOOKUP(G4537,PC!B:D,3,FALSE)</f>
        <v>CPV</v>
      </c>
      <c r="C4537" s="22">
        <v>2024</v>
      </c>
      <c r="D4537" t="s">
        <v>113</v>
      </c>
      <c r="E4537" t="s">
        <v>129</v>
      </c>
      <c r="F4537" t="str">
        <f>VLOOKUP(G4537,PC!B:D,2,FALSE)</f>
        <v>COMIDA</v>
      </c>
      <c r="G4537" s="4" t="s">
        <v>155</v>
      </c>
      <c r="H4537" s="1">
        <v>650</v>
      </c>
    </row>
    <row r="4538" spans="2:8" x14ac:dyDescent="0.2">
      <c r="B4538" t="str">
        <f>VLOOKUP(G4538,PC!B:D,3,FALSE)</f>
        <v>CPV</v>
      </c>
      <c r="C4538" s="22">
        <v>2024</v>
      </c>
      <c r="D4538" t="s">
        <v>113</v>
      </c>
      <c r="E4538" t="s">
        <v>129</v>
      </c>
      <c r="F4538" t="str">
        <f>VLOOKUP(G4538,PC!B:D,2,FALSE)</f>
        <v>SOBREMESA</v>
      </c>
      <c r="G4538" s="4" t="s">
        <v>7</v>
      </c>
      <c r="H4538" s="1">
        <v>343</v>
      </c>
    </row>
    <row r="4539" spans="2:8" x14ac:dyDescent="0.2">
      <c r="B4539" t="str">
        <f>VLOOKUP(G4539,PC!B:D,3,FALSE)</f>
        <v>CPV</v>
      </c>
      <c r="C4539" s="22">
        <v>2024</v>
      </c>
      <c r="D4539" t="s">
        <v>113</v>
      </c>
      <c r="E4539" t="s">
        <v>129</v>
      </c>
      <c r="F4539" t="str">
        <f>VLOOKUP(G4539,PC!B:D,2,FALSE)</f>
        <v>SOBREMESA</v>
      </c>
      <c r="G4539" s="4" t="s">
        <v>7</v>
      </c>
      <c r="H4539" s="1">
        <v>345</v>
      </c>
    </row>
    <row r="4540" spans="2:8" x14ac:dyDescent="0.2">
      <c r="B4540" t="str">
        <f>VLOOKUP(G4540,PC!B:D,3,FALSE)</f>
        <v>CPV</v>
      </c>
      <c r="C4540" s="22">
        <v>2024</v>
      </c>
      <c r="D4540" t="s">
        <v>113</v>
      </c>
      <c r="E4540" t="s">
        <v>129</v>
      </c>
      <c r="F4540" t="str">
        <f>VLOOKUP(G4540,PC!B:D,2,FALSE)</f>
        <v>COMIDA</v>
      </c>
      <c r="G4540" s="4" t="s">
        <v>155</v>
      </c>
      <c r="H4540" s="1">
        <v>650</v>
      </c>
    </row>
    <row r="4541" spans="2:8" x14ac:dyDescent="0.2">
      <c r="B4541" t="str">
        <f>VLOOKUP(G4541,PC!B:D,3,FALSE)</f>
        <v>CPV</v>
      </c>
      <c r="C4541" s="22">
        <v>2024</v>
      </c>
      <c r="D4541" t="s">
        <v>113</v>
      </c>
      <c r="F4541" t="str">
        <f>VLOOKUP(G4541,PC!B:D,2,FALSE)</f>
        <v>BEBIDAS</v>
      </c>
      <c r="G4541" s="4" t="s">
        <v>46</v>
      </c>
      <c r="H4541" s="1">
        <v>362.8</v>
      </c>
    </row>
    <row r="4542" spans="2:8" x14ac:dyDescent="0.2">
      <c r="B4542" t="str">
        <f>VLOOKUP(G4542,PC!B:D,3,FALSE)</f>
        <v>CPV</v>
      </c>
      <c r="C4542" s="22">
        <v>2024</v>
      </c>
      <c r="D4542" t="s">
        <v>113</v>
      </c>
      <c r="F4542" t="str">
        <f>VLOOKUP(G4542,PC!B:D,2,FALSE)</f>
        <v>SOBREMESA</v>
      </c>
      <c r="G4542" s="4" t="s">
        <v>7</v>
      </c>
      <c r="H4542" s="1">
        <v>81</v>
      </c>
    </row>
    <row r="4543" spans="2:8" x14ac:dyDescent="0.2">
      <c r="B4543" t="str">
        <f>VLOOKUP(G4543,PC!B:D,3,FALSE)</f>
        <v>CPV</v>
      </c>
      <c r="C4543" s="22">
        <v>2024</v>
      </c>
      <c r="D4543" t="s">
        <v>113</v>
      </c>
      <c r="F4543" t="str">
        <f>VLOOKUP(G4543,PC!B:D,2,FALSE)</f>
        <v>CIGARRO</v>
      </c>
      <c r="G4543" s="4" t="s">
        <v>57</v>
      </c>
      <c r="H4543" s="1">
        <v>700</v>
      </c>
    </row>
    <row r="4544" spans="2:8" x14ac:dyDescent="0.2">
      <c r="B4544" t="str">
        <f>VLOOKUP(G4544,PC!B:D,3,FALSE)</f>
        <v>CPV</v>
      </c>
      <c r="C4544" s="22">
        <v>2024</v>
      </c>
      <c r="D4544" t="s">
        <v>113</v>
      </c>
      <c r="F4544" t="str">
        <f>VLOOKUP(G4544,PC!B:D,2,FALSE)</f>
        <v>CIGARRO</v>
      </c>
      <c r="G4544" s="4" t="s">
        <v>131</v>
      </c>
      <c r="H4544" s="1">
        <v>412</v>
      </c>
    </row>
    <row r="4545" spans="2:8" x14ac:dyDescent="0.2">
      <c r="B4545" t="str">
        <f>VLOOKUP(G4545,PC!B:D,3,FALSE)</f>
        <v>CPV</v>
      </c>
      <c r="C4545" s="22">
        <v>2024</v>
      </c>
      <c r="D4545" t="s">
        <v>113</v>
      </c>
      <c r="F4545" t="str">
        <f>VLOOKUP(G4545,PC!B:D,2,FALSE)</f>
        <v>OUTROS</v>
      </c>
      <c r="G4545" s="4" t="s">
        <v>149</v>
      </c>
      <c r="H4545" s="1">
        <v>137.6</v>
      </c>
    </row>
    <row r="4546" spans="2:8" x14ac:dyDescent="0.2">
      <c r="B4546" t="str">
        <f>VLOOKUP(G4546,PC!B:D,3,FALSE)</f>
        <v>CPV</v>
      </c>
      <c r="C4546" s="22">
        <v>2024</v>
      </c>
      <c r="D4546" t="s">
        <v>113</v>
      </c>
      <c r="F4546" t="str">
        <f>VLOOKUP(G4546,PC!B:D,2,FALSE)</f>
        <v>OUTROS</v>
      </c>
      <c r="G4546" s="4" t="s">
        <v>37</v>
      </c>
      <c r="H4546" s="1">
        <v>352</v>
      </c>
    </row>
    <row r="4547" spans="2:8" x14ac:dyDescent="0.2">
      <c r="B4547" t="str">
        <f>VLOOKUP(G4547,PC!B:D,3,FALSE)</f>
        <v>CPV</v>
      </c>
      <c r="C4547" s="22">
        <v>2024</v>
      </c>
      <c r="D4547" t="s">
        <v>113</v>
      </c>
      <c r="F4547" t="str">
        <f>VLOOKUP(G4547,PC!B:D,2,FALSE)</f>
        <v>COMIDA</v>
      </c>
      <c r="G4547" s="4" t="s">
        <v>155</v>
      </c>
      <c r="H4547" s="1">
        <v>520</v>
      </c>
    </row>
    <row r="4548" spans="2:8" x14ac:dyDescent="0.2">
      <c r="B4548" t="str">
        <f>VLOOKUP(G4548,PC!B:D,3,FALSE)</f>
        <v>CPV</v>
      </c>
      <c r="C4548" s="22">
        <v>2024</v>
      </c>
      <c r="D4548" t="s">
        <v>113</v>
      </c>
      <c r="F4548" t="str">
        <f>VLOOKUP(G4548,PC!B:D,2,FALSE)</f>
        <v>SOBREMESA</v>
      </c>
      <c r="G4548" s="4" t="s">
        <v>7</v>
      </c>
      <c r="H4548" s="1">
        <v>259</v>
      </c>
    </row>
    <row r="4549" spans="2:8" x14ac:dyDescent="0.2">
      <c r="B4549" t="str">
        <f>VLOOKUP(G4549,PC!B:D,3,FALSE)</f>
        <v>CPV</v>
      </c>
      <c r="C4549" s="22">
        <v>2024</v>
      </c>
      <c r="D4549" t="s">
        <v>113</v>
      </c>
      <c r="F4549" t="str">
        <f>VLOOKUP(G4549,PC!B:D,2,FALSE)</f>
        <v>COMIDA</v>
      </c>
      <c r="G4549" s="4" t="s">
        <v>12</v>
      </c>
      <c r="H4549" s="1">
        <v>800</v>
      </c>
    </row>
    <row r="4550" spans="2:8" x14ac:dyDescent="0.2">
      <c r="B4550" t="str">
        <f>VLOOKUP(G4550,PC!B:D,3,FALSE)</f>
        <v>CPV</v>
      </c>
      <c r="C4550" s="22">
        <v>2024</v>
      </c>
      <c r="D4550" t="s">
        <v>113</v>
      </c>
      <c r="F4550" t="str">
        <f>VLOOKUP(G4550,PC!B:D,2,FALSE)</f>
        <v>COMIDA</v>
      </c>
      <c r="G4550" s="4" t="s">
        <v>33</v>
      </c>
      <c r="H4550" s="1">
        <v>60</v>
      </c>
    </row>
    <row r="4551" spans="2:8" x14ac:dyDescent="0.2">
      <c r="B4551" t="str">
        <f>VLOOKUP(G4551,PC!B:D,3,FALSE)</f>
        <v>CPV</v>
      </c>
      <c r="C4551" s="22">
        <v>2024</v>
      </c>
      <c r="D4551" t="s">
        <v>113</v>
      </c>
      <c r="F4551" t="str">
        <f>VLOOKUP(G4551,PC!B:D,2,FALSE)</f>
        <v>BEBIDAS</v>
      </c>
      <c r="G4551" s="4" t="s">
        <v>46</v>
      </c>
      <c r="H4551" s="1">
        <v>26</v>
      </c>
    </row>
    <row r="4552" spans="2:8" x14ac:dyDescent="0.2">
      <c r="B4552" t="str">
        <f>VLOOKUP(G4552,PC!B:D,3,FALSE)</f>
        <v>CPV</v>
      </c>
      <c r="C4552" s="22">
        <v>2024</v>
      </c>
      <c r="D4552" t="s">
        <v>113</v>
      </c>
      <c r="F4552" t="str">
        <f>VLOOKUP(G4552,PC!B:D,2,FALSE)</f>
        <v>SOBREMESA</v>
      </c>
      <c r="G4552" s="4" t="s">
        <v>7</v>
      </c>
      <c r="H4552" s="1">
        <v>123</v>
      </c>
    </row>
    <row r="4553" spans="2:8" x14ac:dyDescent="0.2">
      <c r="B4553" t="str">
        <f>VLOOKUP(G4553,PC!B:D,3,FALSE)</f>
        <v>CPV</v>
      </c>
      <c r="C4553" s="22">
        <v>2024</v>
      </c>
      <c r="D4553" t="s">
        <v>113</v>
      </c>
      <c r="F4553" t="str">
        <f>VLOOKUP(G4553,PC!B:D,2,FALSE)</f>
        <v>COMIDA</v>
      </c>
      <c r="G4553" s="4" t="s">
        <v>12</v>
      </c>
      <c r="H4553" s="1">
        <v>52.5</v>
      </c>
    </row>
    <row r="4554" spans="2:8" x14ac:dyDescent="0.2">
      <c r="B4554" t="str">
        <f>VLOOKUP(G4554,PC!B:D,3,FALSE)</f>
        <v>CPV</v>
      </c>
      <c r="C4554" s="22">
        <v>2024</v>
      </c>
      <c r="D4554" t="s">
        <v>113</v>
      </c>
      <c r="E4554" t="s">
        <v>191</v>
      </c>
      <c r="F4554" t="str">
        <f>VLOOKUP(G4554,PC!B:D,2,FALSE)</f>
        <v>COMIDA</v>
      </c>
      <c r="G4554" s="4" t="s">
        <v>33</v>
      </c>
      <c r="H4554" s="1">
        <v>168</v>
      </c>
    </row>
    <row r="4555" spans="2:8" x14ac:dyDescent="0.2">
      <c r="B4555" t="str">
        <f>VLOOKUP(G4555,PC!B:D,3,FALSE)</f>
        <v>CPV</v>
      </c>
      <c r="C4555" s="22">
        <v>2024</v>
      </c>
      <c r="D4555" t="s">
        <v>113</v>
      </c>
      <c r="F4555" t="str">
        <f>VLOOKUP(G4555,PC!B:D,2,FALSE)</f>
        <v>OUTROS</v>
      </c>
      <c r="G4555" s="4" t="s">
        <v>58</v>
      </c>
      <c r="H4555" s="1">
        <v>192</v>
      </c>
    </row>
    <row r="4556" spans="2:8" x14ac:dyDescent="0.2">
      <c r="B4556" t="str">
        <f>VLOOKUP(G4556,PC!B:D,3,FALSE)</f>
        <v>CPV</v>
      </c>
      <c r="C4556" s="22">
        <v>2024</v>
      </c>
      <c r="D4556" t="s">
        <v>113</v>
      </c>
      <c r="F4556" t="str">
        <f>VLOOKUP(G4556,PC!B:D,2,FALSE)</f>
        <v>BEBIDAS</v>
      </c>
      <c r="G4556" s="4" t="s">
        <v>48</v>
      </c>
      <c r="H4556" s="1">
        <f>211.2+211.2</f>
        <v>422.4</v>
      </c>
    </row>
    <row r="4557" spans="2:8" x14ac:dyDescent="0.2">
      <c r="B4557" t="str">
        <f>VLOOKUP(G4557,PC!B:D,3,FALSE)</f>
        <v>CPV</v>
      </c>
      <c r="C4557" s="22">
        <v>2024</v>
      </c>
      <c r="D4557" t="s">
        <v>113</v>
      </c>
      <c r="E4557" t="s">
        <v>49</v>
      </c>
      <c r="F4557" t="str">
        <f>VLOOKUP(G4557,PC!B:D,2,FALSE)</f>
        <v>CIGARRO</v>
      </c>
      <c r="G4557" s="4" t="s">
        <v>52</v>
      </c>
      <c r="H4557" s="1">
        <f>4642.62+7244.91+5362.2+5631.36</f>
        <v>22881.09</v>
      </c>
    </row>
    <row r="4558" spans="2:8" x14ac:dyDescent="0.2">
      <c r="B4558" t="str">
        <f>VLOOKUP(G4558,PC!B:D,3,FALSE)</f>
        <v>DESPESA OPERACIONAL</v>
      </c>
      <c r="C4558" s="22">
        <v>2024</v>
      </c>
      <c r="D4558" t="s">
        <v>113</v>
      </c>
      <c r="F4558" t="str">
        <f>VLOOKUP(G4558,PC!B:D,2,FALSE)</f>
        <v>MANUTENÇÃO MÁQUINAS</v>
      </c>
      <c r="G4558" s="4" t="s">
        <v>147</v>
      </c>
      <c r="H4558" s="1">
        <v>121.06</v>
      </c>
    </row>
    <row r="4559" spans="2:8" x14ac:dyDescent="0.2">
      <c r="B4559" t="str">
        <f>VLOOKUP(G4559,PC!B:D,3,FALSE)</f>
        <v>CPV</v>
      </c>
      <c r="C4559" s="22">
        <v>2024</v>
      </c>
      <c r="D4559" t="s">
        <v>113</v>
      </c>
      <c r="E4559" t="s">
        <v>129</v>
      </c>
      <c r="F4559" t="str">
        <f>VLOOKUP(G4559,PC!B:D,2,FALSE)</f>
        <v>COMIDA</v>
      </c>
      <c r="G4559" s="4" t="s">
        <v>12</v>
      </c>
      <c r="H4559" s="1">
        <v>87.5</v>
      </c>
    </row>
    <row r="4560" spans="2:8" x14ac:dyDescent="0.2">
      <c r="B4560" t="str">
        <f>VLOOKUP(G4560,PC!B:D,3,FALSE)</f>
        <v>CPV</v>
      </c>
      <c r="C4560" s="22">
        <v>2024</v>
      </c>
      <c r="D4560" t="s">
        <v>113</v>
      </c>
      <c r="E4560" t="s">
        <v>129</v>
      </c>
      <c r="F4560" t="str">
        <f>VLOOKUP(G4560,PC!B:D,2,FALSE)</f>
        <v>SOBREMESA</v>
      </c>
      <c r="G4560" s="4" t="s">
        <v>7</v>
      </c>
      <c r="H4560" s="1">
        <v>58</v>
      </c>
    </row>
    <row r="4561" spans="2:8" x14ac:dyDescent="0.2">
      <c r="B4561" t="str">
        <f>VLOOKUP(G4561,PC!B:D,3,FALSE)</f>
        <v>CPV</v>
      </c>
      <c r="C4561" s="22">
        <v>2024</v>
      </c>
      <c r="D4561" t="s">
        <v>113</v>
      </c>
      <c r="E4561" t="s">
        <v>129</v>
      </c>
      <c r="F4561" t="str">
        <f>VLOOKUP(G4561,PC!B:D,2,FALSE)</f>
        <v>OUTROS</v>
      </c>
      <c r="G4561" s="4" t="s">
        <v>37</v>
      </c>
      <c r="H4561" s="1">
        <f>209+445</f>
        <v>654</v>
      </c>
    </row>
    <row r="4562" spans="2:8" x14ac:dyDescent="0.2">
      <c r="B4562" t="str">
        <f>VLOOKUP(G4562,PC!B:D,3,FALSE)</f>
        <v>CPV</v>
      </c>
      <c r="C4562" s="22">
        <v>2024</v>
      </c>
      <c r="D4562" t="s">
        <v>113</v>
      </c>
      <c r="E4562" t="s">
        <v>129</v>
      </c>
      <c r="F4562" t="str">
        <f>VLOOKUP(G4562,PC!B:D,2,FALSE)</f>
        <v>CIGARRO</v>
      </c>
      <c r="G4562" s="4" t="s">
        <v>57</v>
      </c>
      <c r="H4562" s="1">
        <v>900</v>
      </c>
    </row>
    <row r="4563" spans="2:8" x14ac:dyDescent="0.2">
      <c r="B4563" t="str">
        <f>VLOOKUP(G4563,PC!B:D,3,FALSE)</f>
        <v>CPV</v>
      </c>
      <c r="C4563" s="22">
        <v>2024</v>
      </c>
      <c r="D4563" t="s">
        <v>113</v>
      </c>
      <c r="E4563" t="s">
        <v>129</v>
      </c>
      <c r="F4563" t="str">
        <f>VLOOKUP(G4563,PC!B:D,2,FALSE)</f>
        <v>CIGARRO</v>
      </c>
      <c r="G4563" s="4" t="s">
        <v>131</v>
      </c>
      <c r="H4563" s="1">
        <v>387</v>
      </c>
    </row>
    <row r="4564" spans="2:8" x14ac:dyDescent="0.2">
      <c r="B4564" t="str">
        <f>VLOOKUP(G4564,PC!B:D,3,FALSE)</f>
        <v>CPV</v>
      </c>
      <c r="C4564" s="22">
        <v>2024</v>
      </c>
      <c r="D4564" t="s">
        <v>113</v>
      </c>
      <c r="E4564" t="s">
        <v>129</v>
      </c>
      <c r="F4564" t="str">
        <f>VLOOKUP(G4564,PC!B:D,2,FALSE)</f>
        <v>BEBIDAS</v>
      </c>
      <c r="G4564" s="4" t="s">
        <v>48</v>
      </c>
      <c r="H4564" s="1">
        <v>416.3</v>
      </c>
    </row>
    <row r="4565" spans="2:8" x14ac:dyDescent="0.2">
      <c r="B4565" t="str">
        <f>VLOOKUP(G4565,PC!B:D,3,FALSE)</f>
        <v>CPV</v>
      </c>
      <c r="C4565" s="22">
        <v>2024</v>
      </c>
      <c r="D4565" t="s">
        <v>113</v>
      </c>
      <c r="E4565" t="s">
        <v>95</v>
      </c>
      <c r="F4565" t="str">
        <f>VLOOKUP(G4565,PC!B:D,2,FALSE)</f>
        <v>BEBIDAS</v>
      </c>
      <c r="G4565" s="4" t="s">
        <v>144</v>
      </c>
      <c r="H4565" s="1">
        <v>429.95</v>
      </c>
    </row>
    <row r="4566" spans="2:8" x14ac:dyDescent="0.2">
      <c r="B4566" t="str">
        <f>VLOOKUP(G4566,PC!B:D,3,FALSE)</f>
        <v>CPV</v>
      </c>
      <c r="C4566" s="22">
        <v>2024</v>
      </c>
      <c r="D4566" t="s">
        <v>113</v>
      </c>
      <c r="E4566" t="s">
        <v>235</v>
      </c>
      <c r="F4566" t="str">
        <f>VLOOKUP(G4566,PC!B:D,2,FALSE)</f>
        <v>COMIDA</v>
      </c>
      <c r="G4566" s="4" t="s">
        <v>38</v>
      </c>
      <c r="H4566" s="1">
        <v>96.47</v>
      </c>
    </row>
    <row r="4567" spans="2:8" x14ac:dyDescent="0.2">
      <c r="B4567" t="str">
        <f>VLOOKUP(G4567,PC!B:D,3,FALSE)</f>
        <v>CPV</v>
      </c>
      <c r="C4567" s="22">
        <v>2024</v>
      </c>
      <c r="D4567" t="s">
        <v>113</v>
      </c>
      <c r="E4567" t="s">
        <v>237</v>
      </c>
      <c r="F4567" t="str">
        <f>VLOOKUP(G4567,PC!B:D,2,FALSE)</f>
        <v>SOBREMESA</v>
      </c>
      <c r="G4567" s="4" t="s">
        <v>23</v>
      </c>
      <c r="H4567" s="1">
        <v>690.83</v>
      </c>
    </row>
    <row r="4568" spans="2:8" x14ac:dyDescent="0.2">
      <c r="B4568" t="str">
        <f>VLOOKUP(G4568,PC!B:D,3,FALSE)</f>
        <v>CPV</v>
      </c>
      <c r="C4568" s="22">
        <v>2024</v>
      </c>
      <c r="D4568" t="s">
        <v>113</v>
      </c>
      <c r="E4568" t="s">
        <v>10</v>
      </c>
      <c r="F4568" t="str">
        <f>VLOOKUP(G4568,PC!B:D,2,FALSE)</f>
        <v>COMIDA</v>
      </c>
      <c r="G4568" s="4" t="s">
        <v>12</v>
      </c>
      <c r="H4568" s="1">
        <v>737.7</v>
      </c>
    </row>
    <row r="4569" spans="2:8" x14ac:dyDescent="0.2">
      <c r="B4569" t="str">
        <f>VLOOKUP(G4569,PC!B:D,3,FALSE)</f>
        <v>CPV</v>
      </c>
      <c r="C4569" s="22">
        <v>2024</v>
      </c>
      <c r="D4569" t="s">
        <v>113</v>
      </c>
      <c r="E4569" t="s">
        <v>45</v>
      </c>
      <c r="F4569" t="str">
        <f>VLOOKUP(G4569,PC!B:D,2,FALSE)</f>
        <v>COMIDA</v>
      </c>
      <c r="G4569" s="4" t="s">
        <v>145</v>
      </c>
      <c r="H4569" s="1">
        <v>234.99</v>
      </c>
    </row>
    <row r="4570" spans="2:8" x14ac:dyDescent="0.2">
      <c r="B4570" t="str">
        <f>VLOOKUP(G4570,PC!B:D,3,FALSE)</f>
        <v>CPV</v>
      </c>
      <c r="C4570" s="22">
        <v>2024</v>
      </c>
      <c r="D4570" t="s">
        <v>113</v>
      </c>
      <c r="E4570" t="s">
        <v>5</v>
      </c>
      <c r="F4570" t="str">
        <f>VLOOKUP(G4570,PC!B:D,2,FALSE)</f>
        <v>COMIDA</v>
      </c>
      <c r="G4570" s="4" t="s">
        <v>18</v>
      </c>
      <c r="H4570" s="1">
        <v>282.23</v>
      </c>
    </row>
    <row r="4571" spans="2:8" x14ac:dyDescent="0.2">
      <c r="B4571" t="str">
        <f>VLOOKUP(G4571,PC!B:D,3,FALSE)</f>
        <v>CPV</v>
      </c>
      <c r="C4571" s="22">
        <v>2024</v>
      </c>
      <c r="D4571" t="s">
        <v>113</v>
      </c>
      <c r="E4571" t="s">
        <v>30</v>
      </c>
      <c r="F4571" t="str">
        <f>VLOOKUP(G4571,PC!B:D,2,FALSE)</f>
        <v>SOBREMESA</v>
      </c>
      <c r="G4571" s="4" t="s">
        <v>23</v>
      </c>
      <c r="H4571" s="1">
        <v>130.6</v>
      </c>
    </row>
    <row r="4572" spans="2:8" x14ac:dyDescent="0.2">
      <c r="B4572" t="str">
        <f>VLOOKUP(G4572,PC!B:D,3,FALSE)</f>
        <v>CPV</v>
      </c>
      <c r="C4572" s="22">
        <v>2024</v>
      </c>
      <c r="D4572" t="s">
        <v>113</v>
      </c>
      <c r="E4572" t="s">
        <v>227</v>
      </c>
      <c r="F4572" t="str">
        <f>VLOOKUP(G4572,PC!B:D,2,FALSE)</f>
        <v>LIMPEZA</v>
      </c>
      <c r="G4572" s="4" t="s">
        <v>43</v>
      </c>
      <c r="H4572" s="1">
        <v>809.24</v>
      </c>
    </row>
    <row r="4573" spans="2:8" x14ac:dyDescent="0.2">
      <c r="B4573" t="str">
        <f>VLOOKUP(G4573,PC!B:D,3,FALSE)</f>
        <v>CPV</v>
      </c>
      <c r="C4573" s="22">
        <v>2024</v>
      </c>
      <c r="D4573" t="s">
        <v>113</v>
      </c>
      <c r="E4573" t="s">
        <v>156</v>
      </c>
      <c r="F4573" t="str">
        <f>VLOOKUP(G4573,PC!B:D,2,FALSE)</f>
        <v>BEBIDAS</v>
      </c>
      <c r="G4573" s="4" t="s">
        <v>26</v>
      </c>
      <c r="H4573" s="1">
        <v>56.94</v>
      </c>
    </row>
    <row r="4574" spans="2:8" x14ac:dyDescent="0.2">
      <c r="B4574" t="str">
        <f>VLOOKUP(G4574,PC!B:D,3,FALSE)</f>
        <v>CPV</v>
      </c>
      <c r="C4574" s="22">
        <v>2024</v>
      </c>
      <c r="D4574" t="s">
        <v>113</v>
      </c>
      <c r="E4574" t="s">
        <v>20</v>
      </c>
      <c r="F4574" t="str">
        <f>VLOOKUP(G4574,PC!B:D,2,FALSE)</f>
        <v>COMIDA</v>
      </c>
      <c r="G4574" s="4" t="s">
        <v>29</v>
      </c>
      <c r="H4574" s="1">
        <v>222.9</v>
      </c>
    </row>
    <row r="4575" spans="2:8" x14ac:dyDescent="0.2">
      <c r="B4575" t="str">
        <f>VLOOKUP(G4575,PC!B:D,3,FALSE)</f>
        <v>CPV</v>
      </c>
      <c r="C4575" s="22">
        <v>2024</v>
      </c>
      <c r="D4575" t="s">
        <v>113</v>
      </c>
      <c r="E4575" t="s">
        <v>239</v>
      </c>
      <c r="F4575" t="str">
        <f>VLOOKUP(G4575,PC!B:D,2,FALSE)</f>
        <v>BEBIDAS</v>
      </c>
      <c r="G4575" s="4" t="s">
        <v>26</v>
      </c>
      <c r="H4575" s="1">
        <v>652.20000000000005</v>
      </c>
    </row>
    <row r="4576" spans="2:8" x14ac:dyDescent="0.2">
      <c r="B4576" t="str">
        <f>VLOOKUP(G4576,PC!B:D,3,FALSE)</f>
        <v>CPV</v>
      </c>
      <c r="C4576" s="22">
        <v>2024</v>
      </c>
      <c r="D4576" t="s">
        <v>113</v>
      </c>
      <c r="E4576" t="s">
        <v>19</v>
      </c>
      <c r="F4576" t="str">
        <f>VLOOKUP(G4576,PC!B:D,2,FALSE)</f>
        <v>COMIDA</v>
      </c>
      <c r="G4576" s="4" t="s">
        <v>145</v>
      </c>
      <c r="H4576" s="1">
        <v>205.47</v>
      </c>
    </row>
    <row r="4577" spans="2:8" x14ac:dyDescent="0.2">
      <c r="B4577" t="str">
        <f>VLOOKUP(G4577,PC!B:D,3,FALSE)</f>
        <v>CPV</v>
      </c>
      <c r="C4577" s="22">
        <v>2024</v>
      </c>
      <c r="D4577" t="s">
        <v>113</v>
      </c>
      <c r="E4577" t="s">
        <v>226</v>
      </c>
      <c r="F4577" t="str">
        <f>VLOOKUP(G4577,PC!B:D,2,FALSE)</f>
        <v>BEBIDAS</v>
      </c>
      <c r="G4577" s="4" t="s">
        <v>46</v>
      </c>
      <c r="H4577" s="1">
        <v>631.19000000000005</v>
      </c>
    </row>
    <row r="4578" spans="2:8" x14ac:dyDescent="0.2">
      <c r="B4578" t="str">
        <f>VLOOKUP(G4578,PC!B:D,3,FALSE)</f>
        <v>CPV</v>
      </c>
      <c r="C4578" s="22">
        <v>2024</v>
      </c>
      <c r="D4578" t="s">
        <v>113</v>
      </c>
      <c r="E4578" t="s">
        <v>226</v>
      </c>
      <c r="F4578" t="str">
        <f>VLOOKUP(G4578,PC!B:D,2,FALSE)</f>
        <v>BEBIDAS</v>
      </c>
      <c r="G4578" s="4" t="s">
        <v>25</v>
      </c>
      <c r="H4578" s="1">
        <f>1033.66+30.07+149.63+610.54+77.85+942.6+555.12+603.66+559.06</f>
        <v>4562.1899999999996</v>
      </c>
    </row>
    <row r="4579" spans="2:8" x14ac:dyDescent="0.2">
      <c r="B4579" t="str">
        <f>VLOOKUP(G4579,PC!B:D,3,FALSE)</f>
        <v>CPV</v>
      </c>
      <c r="C4579" s="22">
        <v>2024</v>
      </c>
      <c r="D4579" t="s">
        <v>113</v>
      </c>
      <c r="E4579" t="s">
        <v>28</v>
      </c>
      <c r="F4579" t="str">
        <f>VLOOKUP(G4579,PC!B:D,2,FALSE)</f>
        <v>BEBIDAS</v>
      </c>
      <c r="G4579" s="4" t="s">
        <v>26</v>
      </c>
      <c r="H4579" s="1">
        <f>3513.02+2816.15+2106.3+45.14+377.76+3809.32+2755.78+96.25+78.4+4509.58</f>
        <v>20107.7</v>
      </c>
    </row>
    <row r="4580" spans="2:8" x14ac:dyDescent="0.2">
      <c r="B4580" t="str">
        <f>VLOOKUP(G4580,PC!B:D,3,FALSE)</f>
        <v>CPV</v>
      </c>
      <c r="C4580" s="22">
        <v>2024</v>
      </c>
      <c r="D4580" t="s">
        <v>113</v>
      </c>
      <c r="E4580" t="s">
        <v>100</v>
      </c>
      <c r="F4580" t="str">
        <f>VLOOKUP(G4580,PC!B:D,2,FALSE)</f>
        <v>COMIDA</v>
      </c>
      <c r="G4580" s="4" t="s">
        <v>18</v>
      </c>
      <c r="H4580" s="1">
        <v>252.79</v>
      </c>
    </row>
    <row r="4581" spans="2:8" x14ac:dyDescent="0.2">
      <c r="B4581" t="str">
        <f>VLOOKUP(G4581,PC!B:D,3,FALSE)</f>
        <v>CPV</v>
      </c>
      <c r="C4581" s="22">
        <v>2024</v>
      </c>
      <c r="D4581" t="s">
        <v>113</v>
      </c>
      <c r="E4581" t="s">
        <v>6</v>
      </c>
      <c r="F4581" t="str">
        <f>VLOOKUP(G4581,PC!B:D,2,FALSE)</f>
        <v>COMIDA</v>
      </c>
      <c r="G4581" s="4" t="s">
        <v>18</v>
      </c>
      <c r="H4581" s="1">
        <v>124</v>
      </c>
    </row>
    <row r="4582" spans="2:8" x14ac:dyDescent="0.2">
      <c r="B4582" t="str">
        <f>VLOOKUP(G4582,PC!B:D,3,FALSE)</f>
        <v>CPV</v>
      </c>
      <c r="C4582" s="22">
        <v>2024</v>
      </c>
      <c r="D4582" t="s">
        <v>113</v>
      </c>
      <c r="E4582" t="s">
        <v>156</v>
      </c>
      <c r="F4582" t="str">
        <f>VLOOKUP(G4582,PC!B:D,2,FALSE)</f>
        <v>BEBIDAS</v>
      </c>
      <c r="G4582" s="4" t="s">
        <v>26</v>
      </c>
      <c r="H4582" s="1">
        <v>452.76</v>
      </c>
    </row>
    <row r="4583" spans="2:8" x14ac:dyDescent="0.2">
      <c r="B4583" t="str">
        <f>VLOOKUP(G4583,PC!B:D,3,FALSE)</f>
        <v>CPV</v>
      </c>
      <c r="C4583" s="22">
        <v>2024</v>
      </c>
      <c r="D4583" t="s">
        <v>113</v>
      </c>
      <c r="E4583" t="s">
        <v>227</v>
      </c>
      <c r="F4583" t="str">
        <f>VLOOKUP(G4583,PC!B:D,2,FALSE)</f>
        <v>HIGIENE</v>
      </c>
      <c r="G4583" s="4" t="s">
        <v>36</v>
      </c>
      <c r="H4583" s="1">
        <v>935.36</v>
      </c>
    </row>
    <row r="4584" spans="2:8" x14ac:dyDescent="0.2">
      <c r="B4584" t="str">
        <f>VLOOKUP(G4584,PC!B:D,3,FALSE)</f>
        <v>CPV</v>
      </c>
      <c r="C4584" s="22">
        <v>2024</v>
      </c>
      <c r="D4584" t="s">
        <v>113</v>
      </c>
      <c r="E4584" t="s">
        <v>211</v>
      </c>
      <c r="F4584" t="str">
        <f>VLOOKUP(G4584,PC!B:D,2,FALSE)</f>
        <v>BEBIDAS</v>
      </c>
      <c r="G4584" s="4" t="s">
        <v>26</v>
      </c>
      <c r="H4584" s="1">
        <v>2413.7800000000002</v>
      </c>
    </row>
    <row r="4585" spans="2:8" x14ac:dyDescent="0.2">
      <c r="B4585" t="str">
        <f>VLOOKUP(G4585,PC!B:D,3,FALSE)</f>
        <v>CPV</v>
      </c>
      <c r="C4585" s="22">
        <v>2024</v>
      </c>
      <c r="D4585" t="s">
        <v>113</v>
      </c>
      <c r="E4585" t="s">
        <v>241</v>
      </c>
      <c r="F4585" t="str">
        <f>VLOOKUP(G4585,PC!B:D,2,FALSE)</f>
        <v>COMIDA</v>
      </c>
      <c r="G4585" s="4" t="s">
        <v>12</v>
      </c>
      <c r="H4585" s="1">
        <v>123.8</v>
      </c>
    </row>
    <row r="4586" spans="2:8" x14ac:dyDescent="0.2">
      <c r="B4586" t="str">
        <f>VLOOKUP(G4586,PC!B:D,3,FALSE)</f>
        <v>CPV</v>
      </c>
      <c r="C4586" s="22">
        <v>2024</v>
      </c>
      <c r="D4586" t="s">
        <v>113</v>
      </c>
      <c r="E4586" t="s">
        <v>16</v>
      </c>
      <c r="F4586" t="str">
        <f>VLOOKUP(G4586,PC!B:D,2,FALSE)</f>
        <v>COMIDA</v>
      </c>
      <c r="G4586" s="4" t="s">
        <v>12</v>
      </c>
      <c r="H4586" s="1">
        <v>223.4</v>
      </c>
    </row>
    <row r="4587" spans="2:8" x14ac:dyDescent="0.2">
      <c r="B4587" t="str">
        <f>VLOOKUP(G4587,PC!B:D,3,FALSE)</f>
        <v>CPV</v>
      </c>
      <c r="C4587" s="22">
        <v>2024</v>
      </c>
      <c r="D4587" t="s">
        <v>113</v>
      </c>
      <c r="E4587" t="s">
        <v>78</v>
      </c>
      <c r="F4587" t="str">
        <f>VLOOKUP(G4587,PC!B:D,2,FALSE)</f>
        <v>CIGARRO</v>
      </c>
      <c r="G4587" s="4" t="s">
        <v>82</v>
      </c>
      <c r="H4587" s="1">
        <v>878.87</v>
      </c>
    </row>
    <row r="4588" spans="2:8" x14ac:dyDescent="0.2">
      <c r="B4588" t="str">
        <f>VLOOKUP(G4588,PC!B:D,3,FALSE)</f>
        <v>CPV</v>
      </c>
      <c r="C4588" s="22">
        <v>2024</v>
      </c>
      <c r="D4588" t="s">
        <v>113</v>
      </c>
      <c r="E4588" t="s">
        <v>237</v>
      </c>
      <c r="F4588" t="str">
        <f>VLOOKUP(G4588,PC!B:D,2,FALSE)</f>
        <v>LIMPEZA</v>
      </c>
      <c r="G4588" s="4" t="s">
        <v>43</v>
      </c>
      <c r="H4588" s="1">
        <v>334.71</v>
      </c>
    </row>
    <row r="4589" spans="2:8" x14ac:dyDescent="0.2">
      <c r="B4589" t="str">
        <f>VLOOKUP(G4589,PC!B:D,3,FALSE)</f>
        <v>CPV</v>
      </c>
      <c r="C4589" s="22">
        <v>2024</v>
      </c>
      <c r="D4589" t="s">
        <v>113</v>
      </c>
      <c r="E4589" t="s">
        <v>19</v>
      </c>
      <c r="F4589" t="str">
        <f>VLOOKUP(G4589,PC!B:D,2,FALSE)</f>
        <v>COMIDA</v>
      </c>
      <c r="G4589" s="4" t="s">
        <v>34</v>
      </c>
      <c r="H4589" s="1">
        <v>104.6</v>
      </c>
    </row>
    <row r="4590" spans="2:8" x14ac:dyDescent="0.2">
      <c r="B4590" t="str">
        <f>VLOOKUP(G4590,PC!B:D,3,FALSE)</f>
        <v>CPV</v>
      </c>
      <c r="C4590" s="22">
        <v>2024</v>
      </c>
      <c r="D4590" t="s">
        <v>113</v>
      </c>
      <c r="E4590" t="s">
        <v>27</v>
      </c>
      <c r="F4590" t="str">
        <f>VLOOKUP(G4590,PC!B:D,2,FALSE)</f>
        <v>COMIDA</v>
      </c>
      <c r="G4590" s="4" t="s">
        <v>12</v>
      </c>
      <c r="H4590" s="1">
        <v>226.39</v>
      </c>
    </row>
    <row r="4591" spans="2:8" x14ac:dyDescent="0.2">
      <c r="B4591" t="str">
        <f>VLOOKUP(G4591,PC!B:D,3,FALSE)</f>
        <v>CPV</v>
      </c>
      <c r="C4591" s="22">
        <v>2024</v>
      </c>
      <c r="D4591" t="s">
        <v>113</v>
      </c>
      <c r="E4591" t="s">
        <v>24</v>
      </c>
      <c r="F4591" t="str">
        <f>VLOOKUP(G4591,PC!B:D,2,FALSE)</f>
        <v>COMIDA</v>
      </c>
      <c r="G4591" s="4" t="s">
        <v>12</v>
      </c>
      <c r="H4591" s="1">
        <v>132.28</v>
      </c>
    </row>
    <row r="4592" spans="2:8" x14ac:dyDescent="0.2">
      <c r="B4592" t="str">
        <f>VLOOKUP(G4592,PC!B:D,3,FALSE)</f>
        <v>CPV</v>
      </c>
      <c r="C4592" s="22">
        <v>2024</v>
      </c>
      <c r="D4592" t="s">
        <v>113</v>
      </c>
      <c r="E4592" t="s">
        <v>212</v>
      </c>
      <c r="F4592" t="str">
        <f>VLOOKUP(G4592,PC!B:D,2,FALSE)</f>
        <v>COMIDA</v>
      </c>
      <c r="G4592" s="4" t="s">
        <v>33</v>
      </c>
      <c r="H4592" s="1">
        <v>164.61</v>
      </c>
    </row>
    <row r="4593" spans="2:8" x14ac:dyDescent="0.2">
      <c r="B4593" t="str">
        <f>VLOOKUP(G4593,PC!B:D,3,FALSE)</f>
        <v>CPV</v>
      </c>
      <c r="C4593" s="22">
        <v>2024</v>
      </c>
      <c r="D4593" t="s">
        <v>113</v>
      </c>
      <c r="E4593" t="s">
        <v>235</v>
      </c>
      <c r="F4593" t="str">
        <f>VLOOKUP(G4593,PC!B:D,2,FALSE)</f>
        <v>BEBIDAS</v>
      </c>
      <c r="G4593" s="4" t="s">
        <v>48</v>
      </c>
      <c r="H4593" s="1">
        <v>162.72</v>
      </c>
    </row>
    <row r="4594" spans="2:8" x14ac:dyDescent="0.2">
      <c r="B4594" t="str">
        <f>VLOOKUP(G4594,PC!B:D,3,FALSE)</f>
        <v>CPV</v>
      </c>
      <c r="C4594" s="22">
        <v>2024</v>
      </c>
      <c r="D4594" t="s">
        <v>113</v>
      </c>
      <c r="E4594" t="s">
        <v>129</v>
      </c>
      <c r="F4594" t="str">
        <f>VLOOKUP(G4594,PC!B:D,2,FALSE)</f>
        <v>BEBIDAS</v>
      </c>
      <c r="G4594" s="4" t="s">
        <v>48</v>
      </c>
      <c r="H4594" s="1">
        <v>234</v>
      </c>
    </row>
    <row r="4595" spans="2:8" x14ac:dyDescent="0.2">
      <c r="B4595" t="str">
        <f>VLOOKUP(G4595,PC!B:D,3,FALSE)</f>
        <v>CPV</v>
      </c>
      <c r="C4595" s="22">
        <v>2024</v>
      </c>
      <c r="D4595" t="s">
        <v>113</v>
      </c>
      <c r="E4595" t="s">
        <v>129</v>
      </c>
      <c r="F4595" t="str">
        <f>VLOOKUP(G4595,PC!B:D,2,FALSE)</f>
        <v>SOBREMESA</v>
      </c>
      <c r="G4595" s="4" t="s">
        <v>7</v>
      </c>
      <c r="H4595" s="1">
        <v>381.47</v>
      </c>
    </row>
    <row r="4596" spans="2:8" x14ac:dyDescent="0.2">
      <c r="B4596" t="str">
        <f>VLOOKUP(G4596,PC!B:D,3,FALSE)</f>
        <v>CPV</v>
      </c>
      <c r="C4596" s="22">
        <v>2024</v>
      </c>
      <c r="D4596" t="s">
        <v>113</v>
      </c>
      <c r="E4596" t="s">
        <v>24</v>
      </c>
      <c r="F4596" t="str">
        <f>VLOOKUP(G4596,PC!B:D,2,FALSE)</f>
        <v>COMIDA</v>
      </c>
      <c r="G4596" s="4" t="s">
        <v>33</v>
      </c>
      <c r="H4596" s="1">
        <v>176.95</v>
      </c>
    </row>
    <row r="4597" spans="2:8" x14ac:dyDescent="0.2">
      <c r="B4597" t="str">
        <f>VLOOKUP(G4597,PC!B:D,3,FALSE)</f>
        <v>CPV</v>
      </c>
      <c r="C4597" s="22">
        <v>2024</v>
      </c>
      <c r="D4597" t="s">
        <v>113</v>
      </c>
      <c r="E4597" t="s">
        <v>24</v>
      </c>
      <c r="F4597" t="str">
        <f>VLOOKUP(G4597,PC!B:D,2,FALSE)</f>
        <v>COMIDA</v>
      </c>
      <c r="G4597" s="4" t="s">
        <v>33</v>
      </c>
      <c r="H4597" s="1">
        <v>180</v>
      </c>
    </row>
    <row r="4598" spans="2:8" x14ac:dyDescent="0.2">
      <c r="B4598" t="str">
        <f>VLOOKUP(G4598,PC!B:D,3,FALSE)</f>
        <v>CPV</v>
      </c>
      <c r="C4598" s="22">
        <v>2024</v>
      </c>
      <c r="D4598" t="s">
        <v>113</v>
      </c>
      <c r="E4598" t="s">
        <v>5</v>
      </c>
      <c r="F4598" t="str">
        <f>VLOOKUP(G4598,PC!B:D,2,FALSE)</f>
        <v>COMIDA</v>
      </c>
      <c r="G4598" s="4" t="s">
        <v>18</v>
      </c>
      <c r="H4598" s="1">
        <v>389.15</v>
      </c>
    </row>
    <row r="4599" spans="2:8" x14ac:dyDescent="0.2">
      <c r="B4599" t="str">
        <f>VLOOKUP(G4599,PC!B:D,3,FALSE)</f>
        <v>CPV</v>
      </c>
      <c r="C4599" s="22">
        <v>2024</v>
      </c>
      <c r="D4599" t="s">
        <v>113</v>
      </c>
      <c r="E4599" t="s">
        <v>228</v>
      </c>
      <c r="F4599" t="str">
        <f>VLOOKUP(G4599,PC!B:D,2,FALSE)</f>
        <v>SOBREMESA</v>
      </c>
      <c r="G4599" s="4" t="s">
        <v>7</v>
      </c>
      <c r="H4599" s="1">
        <v>232.66</v>
      </c>
    </row>
    <row r="4600" spans="2:8" x14ac:dyDescent="0.2">
      <c r="B4600" t="str">
        <f>VLOOKUP(G4600,PC!B:D,3,FALSE)</f>
        <v>CPV</v>
      </c>
      <c r="C4600" s="22">
        <v>2024</v>
      </c>
      <c r="D4600" t="s">
        <v>113</v>
      </c>
      <c r="E4600" t="s">
        <v>233</v>
      </c>
      <c r="F4600" t="str">
        <f>VLOOKUP(G4600,PC!B:D,2,FALSE)</f>
        <v>BEBIDAS</v>
      </c>
      <c r="G4600" s="4" t="s">
        <v>39</v>
      </c>
      <c r="H4600" s="1">
        <v>479.7</v>
      </c>
    </row>
    <row r="4601" spans="2:8" x14ac:dyDescent="0.2">
      <c r="B4601" t="str">
        <f>VLOOKUP(G4601,PC!B:D,3,FALSE)</f>
        <v>CPV</v>
      </c>
      <c r="C4601" s="22">
        <v>2024</v>
      </c>
      <c r="D4601" t="s">
        <v>113</v>
      </c>
      <c r="E4601" t="s">
        <v>16</v>
      </c>
      <c r="F4601" t="str">
        <f>VLOOKUP(G4601,PC!B:D,2,FALSE)</f>
        <v>COMIDA</v>
      </c>
      <c r="G4601" s="4" t="s">
        <v>12</v>
      </c>
      <c r="H4601" s="1">
        <v>783.32</v>
      </c>
    </row>
    <row r="4602" spans="2:8" x14ac:dyDescent="0.2">
      <c r="B4602" t="str">
        <f>VLOOKUP(G4602,PC!B:D,3,FALSE)</f>
        <v>CPV</v>
      </c>
      <c r="C4602" s="22">
        <v>2024</v>
      </c>
      <c r="D4602" t="s">
        <v>113</v>
      </c>
      <c r="E4602" t="s">
        <v>129</v>
      </c>
      <c r="F4602" t="str">
        <f>VLOOKUP(G4602,PC!B:D,2,FALSE)</f>
        <v>LIMPEZA</v>
      </c>
      <c r="G4602" s="4" t="s">
        <v>43</v>
      </c>
      <c r="H4602" s="1">
        <v>318</v>
      </c>
    </row>
    <row r="4603" spans="2:8" x14ac:dyDescent="0.2">
      <c r="B4603" t="str">
        <f>VLOOKUP(G4603,PC!B:D,3,FALSE)</f>
        <v>CPV</v>
      </c>
      <c r="C4603" s="22">
        <v>2024</v>
      </c>
      <c r="D4603" t="s">
        <v>113</v>
      </c>
      <c r="E4603" t="s">
        <v>19</v>
      </c>
      <c r="F4603" t="str">
        <f>VLOOKUP(G4603,PC!B:D,2,FALSE)</f>
        <v>LIMPEZA</v>
      </c>
      <c r="G4603" s="4" t="s">
        <v>43</v>
      </c>
      <c r="H4603" s="1">
        <v>25.34</v>
      </c>
    </row>
    <row r="4604" spans="2:8" x14ac:dyDescent="0.2">
      <c r="B4604" t="str">
        <f>VLOOKUP(G4604,PC!B:D,3,FALSE)</f>
        <v>CPV</v>
      </c>
      <c r="C4604" s="22">
        <v>2024</v>
      </c>
      <c r="D4604" t="s">
        <v>113</v>
      </c>
      <c r="E4604" t="s">
        <v>20</v>
      </c>
      <c r="F4604" t="str">
        <f>VLOOKUP(G4604,PC!B:D,2,FALSE)</f>
        <v>COMIDA</v>
      </c>
      <c r="G4604" s="4" t="s">
        <v>29</v>
      </c>
      <c r="H4604" s="1">
        <v>147.9</v>
      </c>
    </row>
    <row r="4605" spans="2:8" x14ac:dyDescent="0.2">
      <c r="B4605" t="str">
        <f>VLOOKUP(G4605,PC!B:D,3,FALSE)</f>
        <v>CPV</v>
      </c>
      <c r="C4605" s="22">
        <v>2024</v>
      </c>
      <c r="D4605" t="s">
        <v>113</v>
      </c>
      <c r="E4605" t="s">
        <v>30</v>
      </c>
      <c r="F4605" t="str">
        <f>VLOOKUP(G4605,PC!B:D,2,FALSE)</f>
        <v>SOBREMESA</v>
      </c>
      <c r="G4605" s="4" t="s">
        <v>23</v>
      </c>
      <c r="H4605" s="1">
        <v>515.59</v>
      </c>
    </row>
    <row r="4606" spans="2:8" x14ac:dyDescent="0.2">
      <c r="B4606" t="str">
        <f>VLOOKUP(G4606,PC!B:D,3,FALSE)</f>
        <v>CPV</v>
      </c>
      <c r="C4606" s="22">
        <v>2024</v>
      </c>
      <c r="D4606" t="s">
        <v>113</v>
      </c>
      <c r="E4606" t="s">
        <v>19</v>
      </c>
      <c r="F4606" t="str">
        <f>VLOOKUP(G4606,PC!B:D,2,FALSE)</f>
        <v>COMIDA</v>
      </c>
      <c r="G4606" s="4" t="s">
        <v>145</v>
      </c>
      <c r="H4606" s="1">
        <v>347.63</v>
      </c>
    </row>
    <row r="4607" spans="2:8" x14ac:dyDescent="0.2">
      <c r="B4607" t="str">
        <f>VLOOKUP(G4607,PC!B:D,3,FALSE)</f>
        <v>CPV</v>
      </c>
      <c r="C4607" s="22">
        <v>2024</v>
      </c>
      <c r="D4607" t="s">
        <v>113</v>
      </c>
      <c r="E4607" t="s">
        <v>156</v>
      </c>
      <c r="F4607" t="str">
        <f>VLOOKUP(G4607,PC!B:D,2,FALSE)</f>
        <v>BEBIDAS</v>
      </c>
      <c r="G4607" s="4" t="s">
        <v>51</v>
      </c>
      <c r="H4607" s="1">
        <v>60</v>
      </c>
    </row>
    <row r="4608" spans="2:8" x14ac:dyDescent="0.2">
      <c r="B4608" t="str">
        <f>VLOOKUP(G4608,PC!B:D,3,FALSE)</f>
        <v>CPV</v>
      </c>
      <c r="C4608" s="22">
        <v>2024</v>
      </c>
      <c r="D4608" t="s">
        <v>113</v>
      </c>
      <c r="E4608" t="s">
        <v>129</v>
      </c>
      <c r="F4608" t="str">
        <f>VLOOKUP(G4608,PC!B:D,2,FALSE)</f>
        <v>COMIDA</v>
      </c>
      <c r="G4608" s="4" t="s">
        <v>34</v>
      </c>
      <c r="H4608" s="1">
        <v>90</v>
      </c>
    </row>
    <row r="4609" spans="2:8" x14ac:dyDescent="0.2">
      <c r="B4609" t="str">
        <f>VLOOKUP(G4609,PC!B:D,3,FALSE)</f>
        <v>CPV</v>
      </c>
      <c r="C4609" s="22">
        <v>2024</v>
      </c>
      <c r="D4609" t="s">
        <v>113</v>
      </c>
      <c r="E4609" t="s">
        <v>239</v>
      </c>
      <c r="F4609" t="str">
        <f>VLOOKUP(G4609,PC!B:D,2,FALSE)</f>
        <v>BEBIDAS</v>
      </c>
      <c r="G4609" s="4" t="s">
        <v>26</v>
      </c>
      <c r="H4609" s="1">
        <v>448.83</v>
      </c>
    </row>
    <row r="4610" spans="2:8" x14ac:dyDescent="0.2">
      <c r="B4610" t="str">
        <f>VLOOKUP(G4610,PC!B:D,3,FALSE)</f>
        <v>CPV</v>
      </c>
      <c r="C4610" s="22">
        <v>2024</v>
      </c>
      <c r="D4610" t="s">
        <v>113</v>
      </c>
      <c r="E4610" t="s">
        <v>19</v>
      </c>
      <c r="F4610" t="str">
        <f>VLOOKUP(G4610,PC!B:D,2,FALSE)</f>
        <v>SOBREMESA</v>
      </c>
      <c r="G4610" s="4" t="s">
        <v>8</v>
      </c>
      <c r="H4610" s="1">
        <v>51.96</v>
      </c>
    </row>
    <row r="4611" spans="2:8" x14ac:dyDescent="0.2">
      <c r="B4611" t="str">
        <f>VLOOKUP(G4611,PC!B:D,3,FALSE)</f>
        <v>CPV</v>
      </c>
      <c r="C4611" s="22">
        <v>2024</v>
      </c>
      <c r="D4611" t="s">
        <v>113</v>
      </c>
      <c r="E4611" t="s">
        <v>129</v>
      </c>
      <c r="F4611" t="str">
        <f>VLOOKUP(G4611,PC!B:D,2,FALSE)</f>
        <v>LIMPEZA</v>
      </c>
      <c r="G4611" s="4" t="s">
        <v>43</v>
      </c>
      <c r="H4611" s="1">
        <v>571.66999999999996</v>
      </c>
    </row>
    <row r="4612" spans="2:8" x14ac:dyDescent="0.2">
      <c r="B4612" t="str">
        <f>VLOOKUP(G4612,PC!B:D,3,FALSE)</f>
        <v>CPV</v>
      </c>
      <c r="C4612" s="22">
        <v>2024</v>
      </c>
      <c r="D4612" t="s">
        <v>113</v>
      </c>
      <c r="E4612" t="s">
        <v>237</v>
      </c>
      <c r="F4612" t="str">
        <f>VLOOKUP(G4612,PC!B:D,2,FALSE)</f>
        <v>OUTROS</v>
      </c>
      <c r="G4612" s="4" t="s">
        <v>37</v>
      </c>
      <c r="H4612" s="1">
        <v>341.57</v>
      </c>
    </row>
    <row r="4613" spans="2:8" x14ac:dyDescent="0.2">
      <c r="B4613" t="str">
        <f>VLOOKUP(G4613,PC!B:D,3,FALSE)</f>
        <v>CPV</v>
      </c>
      <c r="C4613" s="22">
        <v>2024</v>
      </c>
      <c r="D4613" t="s">
        <v>113</v>
      </c>
      <c r="E4613" t="s">
        <v>21</v>
      </c>
      <c r="F4613" t="str">
        <f>VLOOKUP(G4613,PC!B:D,2,FALSE)</f>
        <v>SOBREMESA</v>
      </c>
      <c r="G4613" s="4" t="s">
        <v>23</v>
      </c>
      <c r="H4613" s="1">
        <v>647.08000000000004</v>
      </c>
    </row>
    <row r="4614" spans="2:8" x14ac:dyDescent="0.2">
      <c r="B4614" t="str">
        <f>VLOOKUP(G4614,PC!B:D,3,FALSE)</f>
        <v>CPV</v>
      </c>
      <c r="C4614" s="22">
        <v>2024</v>
      </c>
      <c r="D4614" t="s">
        <v>113</v>
      </c>
      <c r="E4614" t="s">
        <v>27</v>
      </c>
      <c r="F4614" t="str">
        <f>VLOOKUP(G4614,PC!B:D,2,FALSE)</f>
        <v>COMIDA</v>
      </c>
      <c r="G4614" s="4" t="s">
        <v>12</v>
      </c>
      <c r="H4614" s="1">
        <v>207.49</v>
      </c>
    </row>
    <row r="4615" spans="2:8" x14ac:dyDescent="0.2">
      <c r="B4615" t="str">
        <f>VLOOKUP(G4615,PC!B:D,3,FALSE)</f>
        <v>RECEITA</v>
      </c>
      <c r="C4615" s="22">
        <v>2024</v>
      </c>
      <c r="D4615" t="s">
        <v>113</v>
      </c>
      <c r="F4615" t="str">
        <f>VLOOKUP(G4615,PC!B:D,2,FALSE)</f>
        <v>RECEITA</v>
      </c>
      <c r="G4615" s="4" t="s">
        <v>83</v>
      </c>
      <c r="H4615" s="1">
        <v>4.43</v>
      </c>
    </row>
    <row r="4616" spans="2:8" x14ac:dyDescent="0.2">
      <c r="B4616" t="str">
        <f>VLOOKUP(G4616,PC!B:D,3,FALSE)</f>
        <v>CPV</v>
      </c>
      <c r="C4616" s="22">
        <v>2024</v>
      </c>
      <c r="D4616" t="s">
        <v>113</v>
      </c>
      <c r="E4616" t="s">
        <v>45</v>
      </c>
      <c r="F4616" t="str">
        <f>VLOOKUP(G4616,PC!B:D,2,FALSE)</f>
        <v>COMIDA</v>
      </c>
      <c r="G4616" s="4" t="s">
        <v>38</v>
      </c>
      <c r="H4616" s="1">
        <v>326.66000000000003</v>
      </c>
    </row>
    <row r="4617" spans="2:8" x14ac:dyDescent="0.2">
      <c r="B4617" t="str">
        <f>VLOOKUP(G4617,PC!B:D,3,FALSE)</f>
        <v>CPV</v>
      </c>
      <c r="C4617" s="22">
        <v>2024</v>
      </c>
      <c r="D4617" t="s">
        <v>113</v>
      </c>
      <c r="E4617" t="s">
        <v>19</v>
      </c>
      <c r="F4617" t="str">
        <f>VLOOKUP(G4617,PC!B:D,2,FALSE)</f>
        <v>HIGIENE</v>
      </c>
      <c r="G4617" s="4" t="s">
        <v>36</v>
      </c>
      <c r="H4617" s="1">
        <v>363.92</v>
      </c>
    </row>
    <row r="4618" spans="2:8" x14ac:dyDescent="0.2">
      <c r="B4618" t="str">
        <f>VLOOKUP(G4618,PC!B:D,3,FALSE)</f>
        <v>CPV</v>
      </c>
      <c r="C4618" s="22">
        <v>2024</v>
      </c>
      <c r="D4618" t="s">
        <v>113</v>
      </c>
      <c r="E4618" t="s">
        <v>78</v>
      </c>
      <c r="F4618" t="str">
        <f>VLOOKUP(G4618,PC!B:D,2,FALSE)</f>
        <v>CIGARRO</v>
      </c>
      <c r="G4618" s="4" t="s">
        <v>82</v>
      </c>
      <c r="H4618" s="1">
        <v>885.75</v>
      </c>
    </row>
    <row r="4619" spans="2:8" x14ac:dyDescent="0.2">
      <c r="B4619" t="str">
        <f>VLOOKUP(G4619,PC!B:D,3,FALSE)</f>
        <v>CPV</v>
      </c>
      <c r="C4619" s="22">
        <v>2024</v>
      </c>
      <c r="D4619" t="s">
        <v>113</v>
      </c>
      <c r="E4619" t="s">
        <v>212</v>
      </c>
      <c r="F4619" t="str">
        <f>VLOOKUP(G4619,PC!B:D,2,FALSE)</f>
        <v>COMIDA</v>
      </c>
      <c r="G4619" s="4" t="s">
        <v>33</v>
      </c>
      <c r="H4619" s="1">
        <v>305.76</v>
      </c>
    </row>
    <row r="4620" spans="2:8" x14ac:dyDescent="0.2">
      <c r="B4620" t="str">
        <f>VLOOKUP(G4620,PC!B:D,3,FALSE)</f>
        <v>CPV</v>
      </c>
      <c r="C4620" s="22">
        <v>2024</v>
      </c>
      <c r="D4620" t="s">
        <v>113</v>
      </c>
      <c r="E4620" t="s">
        <v>227</v>
      </c>
      <c r="F4620" t="str">
        <f>VLOOKUP(G4620,PC!B:D,2,FALSE)</f>
        <v>OUTROS</v>
      </c>
      <c r="G4620" s="4" t="s">
        <v>37</v>
      </c>
      <c r="H4620" s="1">
        <v>851.81</v>
      </c>
    </row>
    <row r="4621" spans="2:8" x14ac:dyDescent="0.2">
      <c r="B4621" t="str">
        <f>VLOOKUP(G4621,PC!B:D,3,FALSE)</f>
        <v>CPV</v>
      </c>
      <c r="C4621" s="22">
        <v>2024</v>
      </c>
      <c r="D4621" t="s">
        <v>113</v>
      </c>
      <c r="E4621" t="s">
        <v>129</v>
      </c>
      <c r="F4621" t="str">
        <f>VLOOKUP(G4621,PC!B:D,2,FALSE)</f>
        <v>BEBIDAS</v>
      </c>
      <c r="G4621" s="4" t="s">
        <v>48</v>
      </c>
      <c r="H4621" s="1">
        <v>100</v>
      </c>
    </row>
    <row r="4622" spans="2:8" x14ac:dyDescent="0.2">
      <c r="B4622" t="str">
        <f>VLOOKUP(G4622,PC!B:D,3,FALSE)</f>
        <v>CPV</v>
      </c>
      <c r="C4622" s="22">
        <v>2024</v>
      </c>
      <c r="D4622" t="s">
        <v>113</v>
      </c>
      <c r="E4622" t="s">
        <v>208</v>
      </c>
      <c r="F4622" t="str">
        <f>VLOOKUP(G4622,PC!B:D,2,FALSE)</f>
        <v>SOBREMESA</v>
      </c>
      <c r="G4622" s="4" t="s">
        <v>8</v>
      </c>
      <c r="H4622" s="1">
        <v>441.57</v>
      </c>
    </row>
    <row r="4623" spans="2:8" x14ac:dyDescent="0.2">
      <c r="B4623" t="str">
        <f>VLOOKUP(G4623,PC!B:D,3,FALSE)</f>
        <v>CPV</v>
      </c>
      <c r="C4623" s="22">
        <v>2024</v>
      </c>
      <c r="D4623" t="s">
        <v>113</v>
      </c>
      <c r="E4623" t="s">
        <v>16</v>
      </c>
      <c r="F4623" t="str">
        <f>VLOOKUP(G4623,PC!B:D,2,FALSE)</f>
        <v>COMIDA</v>
      </c>
      <c r="G4623" s="4" t="s">
        <v>12</v>
      </c>
      <c r="H4623" s="1">
        <v>421.93</v>
      </c>
    </row>
    <row r="4624" spans="2:8" x14ac:dyDescent="0.2">
      <c r="B4624" t="str">
        <f>VLOOKUP(G4624,PC!B:D,3,FALSE)</f>
        <v>DESPESA FINANCEIRA</v>
      </c>
      <c r="C4624" s="22">
        <v>2024</v>
      </c>
      <c r="D4624" t="s">
        <v>112</v>
      </c>
      <c r="F4624" t="str">
        <f>VLOOKUP(G4624,PC!B:D,2,FALSE)</f>
        <v>DESPESA FINANCEIRA</v>
      </c>
      <c r="G4624" s="4" t="s">
        <v>90</v>
      </c>
      <c r="H4624" s="1">
        <v>738.68</v>
      </c>
    </row>
    <row r="4625" spans="2:8" x14ac:dyDescent="0.2">
      <c r="B4625" t="str">
        <f>VLOOKUP(G4625,PC!B:D,3,FALSE)</f>
        <v>DESPESA PESSOAL</v>
      </c>
      <c r="C4625" s="22">
        <v>2024</v>
      </c>
      <c r="D4625" t="s">
        <v>112</v>
      </c>
      <c r="F4625" t="str">
        <f>VLOOKUP(G4625,PC!B:D,2,FALSE)</f>
        <v>DESPESA PESSOAL</v>
      </c>
      <c r="G4625" s="4" t="s">
        <v>115</v>
      </c>
      <c r="H4625" s="1">
        <v>135.15</v>
      </c>
    </row>
    <row r="4626" spans="2:8" x14ac:dyDescent="0.2">
      <c r="B4626" t="e">
        <f>VLOOKUP(G4626,PC!B:D,3,FALSE)</f>
        <v>#N/A</v>
      </c>
      <c r="C4626" s="22">
        <v>2024</v>
      </c>
      <c r="D4626" t="s">
        <v>112</v>
      </c>
      <c r="F4626" t="e">
        <f>VLOOKUP(G4626,PC!B:D,2,FALSE)</f>
        <v>#N/A</v>
      </c>
      <c r="G4626" s="4" t="s">
        <v>157</v>
      </c>
      <c r="H4626" s="1">
        <v>160.52000000000001</v>
      </c>
    </row>
    <row r="4627" spans="2:8" x14ac:dyDescent="0.2">
      <c r="B4627" t="str">
        <f>VLOOKUP(G4627,PC!B:D,3,FALSE)</f>
        <v>DESCONTO DE FATURAMENTO</v>
      </c>
      <c r="C4627" s="22">
        <v>2024</v>
      </c>
      <c r="D4627" t="s">
        <v>112</v>
      </c>
      <c r="F4627" t="str">
        <f>VLOOKUP(G4627,PC!B:D,2,FALSE)</f>
        <v>IMPOSTO</v>
      </c>
      <c r="G4627" s="4" t="s">
        <v>88</v>
      </c>
      <c r="H4627" s="1">
        <v>4437.3999999999996</v>
      </c>
    </row>
    <row r="4628" spans="2:8" x14ac:dyDescent="0.2">
      <c r="B4628" t="str">
        <f>VLOOKUP(G4628,PC!B:D,3,FALSE)</f>
        <v>DESPESA PESSOAL</v>
      </c>
      <c r="C4628" s="22">
        <v>2024</v>
      </c>
      <c r="D4628" t="s">
        <v>112</v>
      </c>
      <c r="F4628" t="str">
        <f>VLOOKUP(G4628,PC!B:D,2,FALSE)</f>
        <v>DESPESA PESSOAL</v>
      </c>
      <c r="G4628" s="4" t="s">
        <v>56</v>
      </c>
      <c r="H4628" s="1">
        <v>1233</v>
      </c>
    </row>
    <row r="4629" spans="2:8" x14ac:dyDescent="0.2">
      <c r="B4629" t="str">
        <f>VLOOKUP(G4629,PC!B:D,3,FALSE)</f>
        <v>CPV</v>
      </c>
      <c r="C4629" s="22">
        <v>2024</v>
      </c>
      <c r="D4629" t="s">
        <v>113</v>
      </c>
      <c r="E4629" t="s">
        <v>49</v>
      </c>
      <c r="F4629" t="str">
        <f>VLOOKUP(G4629,PC!B:D,2,FALSE)</f>
        <v>CIGARRO</v>
      </c>
      <c r="G4629" s="4" t="s">
        <v>52</v>
      </c>
      <c r="H4629" s="1">
        <f>4147.21</f>
        <v>4147.21</v>
      </c>
    </row>
    <row r="4630" spans="2:8" x14ac:dyDescent="0.2">
      <c r="B4630" t="str">
        <f>VLOOKUP(G4630,PC!B:D,3,FALSE)</f>
        <v>CPV</v>
      </c>
      <c r="C4630" s="22">
        <v>2024</v>
      </c>
      <c r="D4630" t="s">
        <v>113</v>
      </c>
      <c r="E4630" t="s">
        <v>28</v>
      </c>
      <c r="F4630" t="str">
        <f>VLOOKUP(G4630,PC!B:D,2,FALSE)</f>
        <v>BEBIDAS</v>
      </c>
      <c r="G4630" s="4" t="s">
        <v>26</v>
      </c>
      <c r="H4630" s="1">
        <f>117.86+5045+3279.14</f>
        <v>8442</v>
      </c>
    </row>
    <row r="4631" spans="2:8" x14ac:dyDescent="0.2">
      <c r="B4631" t="str">
        <f>VLOOKUP(G4631,PC!B:D,3,FALSE)</f>
        <v>CPV</v>
      </c>
      <c r="C4631" s="22">
        <v>2024</v>
      </c>
      <c r="D4631" t="s">
        <v>113</v>
      </c>
      <c r="E4631" t="s">
        <v>226</v>
      </c>
      <c r="F4631" t="str">
        <f>VLOOKUP(G4631,PC!B:D,2,FALSE)</f>
        <v>BEBIDAS</v>
      </c>
      <c r="G4631" s="4" t="s">
        <v>25</v>
      </c>
      <c r="H4631" s="1">
        <f>13.98+881.15+351+305+889.59</f>
        <v>2440.7200000000003</v>
      </c>
    </row>
    <row r="4632" spans="2:8" x14ac:dyDescent="0.2">
      <c r="B4632" t="str">
        <f>VLOOKUP(G4632,PC!B:D,3,FALSE)</f>
        <v>CPV</v>
      </c>
      <c r="C4632" s="22">
        <v>2024</v>
      </c>
      <c r="D4632" t="s">
        <v>113</v>
      </c>
      <c r="E4632" t="s">
        <v>211</v>
      </c>
      <c r="F4632" t="str">
        <f>VLOOKUP(G4632,PC!B:D,2,FALSE)</f>
        <v>BEBIDAS</v>
      </c>
      <c r="G4632" s="4" t="s">
        <v>26</v>
      </c>
      <c r="H4632" s="1">
        <v>2173.36</v>
      </c>
    </row>
    <row r="4633" spans="2:8" x14ac:dyDescent="0.2">
      <c r="B4633" t="str">
        <f>VLOOKUP(G4633,PC!B:D,3,FALSE)</f>
        <v>CPV</v>
      </c>
      <c r="C4633" s="22">
        <v>2024</v>
      </c>
      <c r="D4633" t="s">
        <v>113</v>
      </c>
      <c r="E4633" t="s">
        <v>21</v>
      </c>
      <c r="F4633" t="str">
        <f>VLOOKUP(G4633,PC!B:D,2,FALSE)</f>
        <v>SOBREMESA</v>
      </c>
      <c r="G4633" s="4" t="s">
        <v>23</v>
      </c>
      <c r="H4633" s="1">
        <v>138.72</v>
      </c>
    </row>
    <row r="4634" spans="2:8" x14ac:dyDescent="0.2">
      <c r="B4634" t="str">
        <f>VLOOKUP(G4634,PC!B:D,3,FALSE)</f>
        <v>CPV</v>
      </c>
      <c r="C4634" s="22">
        <v>2024</v>
      </c>
      <c r="D4634" t="s">
        <v>113</v>
      </c>
      <c r="E4634" t="s">
        <v>27</v>
      </c>
      <c r="F4634" t="str">
        <f>VLOOKUP(G4634,PC!B:D,2,FALSE)</f>
        <v>COMIDA</v>
      </c>
      <c r="G4634" s="4" t="s">
        <v>12</v>
      </c>
      <c r="H4634" s="1">
        <v>212.02</v>
      </c>
    </row>
    <row r="4635" spans="2:8" x14ac:dyDescent="0.2">
      <c r="B4635" t="str">
        <f>VLOOKUP(G4635,PC!B:D,3,FALSE)</f>
        <v>RECEITA</v>
      </c>
      <c r="C4635" s="22">
        <v>2024</v>
      </c>
      <c r="D4635" t="s">
        <v>113</v>
      </c>
      <c r="F4635" t="str">
        <f>VLOOKUP(G4635,PC!B:D,2,FALSE)</f>
        <v>RECEITA</v>
      </c>
      <c r="G4635" s="4" t="s">
        <v>83</v>
      </c>
      <c r="H4635" s="1">
        <v>62.24</v>
      </c>
    </row>
    <row r="4636" spans="2:8" x14ac:dyDescent="0.2">
      <c r="B4636" t="str">
        <f>VLOOKUP(G4636,PC!B:D,3,FALSE)</f>
        <v>CPV</v>
      </c>
      <c r="C4636" s="22">
        <v>2024</v>
      </c>
      <c r="D4636" t="s">
        <v>113</v>
      </c>
      <c r="E4636" t="s">
        <v>19</v>
      </c>
      <c r="F4636" t="str">
        <f>VLOOKUP(G4636,PC!B:D,2,FALSE)</f>
        <v>OUTROS</v>
      </c>
      <c r="G4636" s="4" t="s">
        <v>37</v>
      </c>
      <c r="H4636" s="1">
        <v>249.45</v>
      </c>
    </row>
    <row r="4637" spans="2:8" x14ac:dyDescent="0.2">
      <c r="B4637" t="str">
        <f>VLOOKUP(G4637,PC!B:D,3,FALSE)</f>
        <v>CPV</v>
      </c>
      <c r="C4637" s="22">
        <v>2024</v>
      </c>
      <c r="D4637" t="s">
        <v>113</v>
      </c>
      <c r="E4637" t="s">
        <v>16</v>
      </c>
      <c r="F4637" t="str">
        <f>VLOOKUP(G4637,PC!B:D,2,FALSE)</f>
        <v>COMIDA</v>
      </c>
      <c r="G4637" s="4" t="s">
        <v>12</v>
      </c>
      <c r="H4637" s="1">
        <v>554.69000000000005</v>
      </c>
    </row>
    <row r="4638" spans="2:8" x14ac:dyDescent="0.2">
      <c r="B4638" t="str">
        <f>VLOOKUP(G4638,PC!B:D,3,FALSE)</f>
        <v>CPV</v>
      </c>
      <c r="C4638" s="22">
        <v>2024</v>
      </c>
      <c r="D4638" t="s">
        <v>113</v>
      </c>
      <c r="E4638" t="s">
        <v>129</v>
      </c>
      <c r="F4638" t="str">
        <f>VLOOKUP(G4638,PC!B:D,2,FALSE)</f>
        <v>BEBIDAS</v>
      </c>
      <c r="G4638" s="4" t="s">
        <v>39</v>
      </c>
      <c r="H4638" s="1">
        <v>129.5</v>
      </c>
    </row>
    <row r="4639" spans="2:8" x14ac:dyDescent="0.2">
      <c r="B4639" t="str">
        <f>VLOOKUP(G4639,PC!B:D,3,FALSE)</f>
        <v>CPV</v>
      </c>
      <c r="C4639" s="22">
        <v>2024</v>
      </c>
      <c r="D4639" t="s">
        <v>113</v>
      </c>
      <c r="E4639" t="s">
        <v>227</v>
      </c>
      <c r="F4639" t="str">
        <f>VLOOKUP(G4639,PC!B:D,2,FALSE)</f>
        <v>OUTROS</v>
      </c>
      <c r="G4639" s="4" t="s">
        <v>37</v>
      </c>
      <c r="H4639" s="1">
        <v>1939.49</v>
      </c>
    </row>
    <row r="4640" spans="2:8" x14ac:dyDescent="0.2">
      <c r="B4640" t="str">
        <f>VLOOKUP(G4640,PC!B:D,3,FALSE)</f>
        <v>CPV</v>
      </c>
      <c r="C4640" s="22">
        <v>2024</v>
      </c>
      <c r="D4640" t="s">
        <v>113</v>
      </c>
      <c r="E4640" t="s">
        <v>45</v>
      </c>
      <c r="F4640" t="str">
        <f>VLOOKUP(G4640,PC!B:D,2,FALSE)</f>
        <v>HIGIENE</v>
      </c>
      <c r="G4640" s="4" t="s">
        <v>36</v>
      </c>
      <c r="H4640" s="1">
        <v>240.17</v>
      </c>
    </row>
    <row r="4641" spans="2:8" x14ac:dyDescent="0.2">
      <c r="B4641" t="str">
        <f>VLOOKUP(G4641,PC!B:D,3,FALSE)</f>
        <v>CPV</v>
      </c>
      <c r="C4641" s="22">
        <v>2024</v>
      </c>
      <c r="D4641" t="s">
        <v>113</v>
      </c>
      <c r="E4641" t="s">
        <v>24</v>
      </c>
      <c r="F4641" t="str">
        <f>VLOOKUP(G4641,PC!B:D,2,FALSE)</f>
        <v>COMIDA</v>
      </c>
      <c r="G4641" s="4" t="s">
        <v>12</v>
      </c>
      <c r="H4641" s="1">
        <v>151.13</v>
      </c>
    </row>
    <row r="4642" spans="2:8" x14ac:dyDescent="0.2">
      <c r="B4642" t="str">
        <f>VLOOKUP(G4642,PC!B:D,3,FALSE)</f>
        <v>CPV</v>
      </c>
      <c r="C4642" s="22">
        <v>2024</v>
      </c>
      <c r="D4642" t="s">
        <v>113</v>
      </c>
      <c r="E4642" t="s">
        <v>236</v>
      </c>
      <c r="F4642" t="str">
        <f>VLOOKUP(G4642,PC!B:D,2,FALSE)</f>
        <v>SOBREMESA</v>
      </c>
      <c r="G4642" s="4" t="s">
        <v>8</v>
      </c>
      <c r="H4642" s="1">
        <v>699.24</v>
      </c>
    </row>
    <row r="4643" spans="2:8" x14ac:dyDescent="0.2">
      <c r="B4643" t="str">
        <f>VLOOKUP(G4643,PC!B:D,3,FALSE)</f>
        <v>CPV</v>
      </c>
      <c r="C4643" s="22">
        <v>2024</v>
      </c>
      <c r="D4643" t="s">
        <v>113</v>
      </c>
      <c r="E4643" t="s">
        <v>6</v>
      </c>
      <c r="F4643" t="str">
        <f>VLOOKUP(G4643,PC!B:D,2,FALSE)</f>
        <v>COMIDA</v>
      </c>
      <c r="G4643" s="4" t="s">
        <v>18</v>
      </c>
      <c r="H4643" s="1">
        <v>179.55</v>
      </c>
    </row>
    <row r="4644" spans="2:8" x14ac:dyDescent="0.2">
      <c r="B4644" t="str">
        <f>VLOOKUP(G4644,PC!B:D,3,FALSE)</f>
        <v>CPV</v>
      </c>
      <c r="C4644" s="22">
        <v>2024</v>
      </c>
      <c r="D4644" t="s">
        <v>113</v>
      </c>
      <c r="E4644" t="s">
        <v>27</v>
      </c>
      <c r="F4644" t="str">
        <f>VLOOKUP(G4644,PC!B:D,2,FALSE)</f>
        <v>COMIDA</v>
      </c>
      <c r="G4644" s="4" t="s">
        <v>12</v>
      </c>
      <c r="H4644" s="1">
        <v>166.85</v>
      </c>
    </row>
    <row r="4645" spans="2:8" x14ac:dyDescent="0.2">
      <c r="B4645" t="str">
        <f>VLOOKUP(G4645,PC!B:D,3,FALSE)</f>
        <v>CPV</v>
      </c>
      <c r="C4645" s="22">
        <v>2024</v>
      </c>
      <c r="D4645" t="s">
        <v>113</v>
      </c>
      <c r="E4645" t="s">
        <v>234</v>
      </c>
      <c r="F4645" t="str">
        <f>VLOOKUP(G4645,PC!B:D,2,FALSE)</f>
        <v>HIGIENE</v>
      </c>
      <c r="G4645" s="4" t="s">
        <v>36</v>
      </c>
      <c r="H4645" s="1">
        <v>1438.44</v>
      </c>
    </row>
    <row r="4646" spans="2:8" x14ac:dyDescent="0.2">
      <c r="B4646" t="str">
        <f>VLOOKUP(G4646,PC!B:D,3,FALSE)</f>
        <v>CPV</v>
      </c>
      <c r="C4646" s="22">
        <v>2024</v>
      </c>
      <c r="D4646" t="s">
        <v>113</v>
      </c>
      <c r="E4646" t="s">
        <v>241</v>
      </c>
      <c r="F4646" t="str">
        <f>VLOOKUP(G4646,PC!B:D,2,FALSE)</f>
        <v>COMIDA</v>
      </c>
      <c r="G4646" s="4" t="s">
        <v>12</v>
      </c>
      <c r="H4646" s="1">
        <v>274.58999999999997</v>
      </c>
    </row>
    <row r="4647" spans="2:8" x14ac:dyDescent="0.2">
      <c r="B4647" t="str">
        <f>VLOOKUP(G4647,PC!B:D,3,FALSE)</f>
        <v>CPV</v>
      </c>
      <c r="C4647" s="22">
        <v>2024</v>
      </c>
      <c r="D4647" t="s">
        <v>113</v>
      </c>
      <c r="F4647" t="str">
        <f>VLOOKUP(G4647,PC!B:D,2,FALSE)</f>
        <v>COMIDA</v>
      </c>
      <c r="G4647" s="4" t="s">
        <v>33</v>
      </c>
      <c r="H4647" s="1">
        <v>60</v>
      </c>
    </row>
    <row r="4648" spans="2:8" x14ac:dyDescent="0.2">
      <c r="B4648" t="str">
        <f>VLOOKUP(G4648,PC!B:D,3,FALSE)</f>
        <v>CPV</v>
      </c>
      <c r="C4648" s="22">
        <v>2024</v>
      </c>
      <c r="D4648" t="s">
        <v>113</v>
      </c>
      <c r="F4648" t="str">
        <f>VLOOKUP(G4648,PC!B:D,2,FALSE)</f>
        <v>COMIDA</v>
      </c>
      <c r="G4648" s="4" t="s">
        <v>22</v>
      </c>
      <c r="H4648" s="1">
        <v>72</v>
      </c>
    </row>
    <row r="4649" spans="2:8" x14ac:dyDescent="0.2">
      <c r="B4649" t="str">
        <f>VLOOKUP(G4649,PC!B:D,3,FALSE)</f>
        <v>CPV</v>
      </c>
      <c r="C4649" s="22">
        <v>2024</v>
      </c>
      <c r="D4649" t="s">
        <v>113</v>
      </c>
      <c r="F4649" t="str">
        <f>VLOOKUP(G4649,PC!B:D,2,FALSE)</f>
        <v>OUTROS</v>
      </c>
      <c r="G4649" s="4" t="s">
        <v>37</v>
      </c>
      <c r="H4649" s="1">
        <f>249.57+812.62+658.25</f>
        <v>1720.44</v>
      </c>
    </row>
    <row r="4650" spans="2:8" x14ac:dyDescent="0.2">
      <c r="B4650" t="str">
        <f>VLOOKUP(G4650,PC!B:D,3,FALSE)</f>
        <v>CPV</v>
      </c>
      <c r="C4650" s="22">
        <v>2024</v>
      </c>
      <c r="D4650" t="s">
        <v>113</v>
      </c>
      <c r="F4650" t="str">
        <f>VLOOKUP(G4650,PC!B:D,2,FALSE)</f>
        <v>SOBREMESA</v>
      </c>
      <c r="G4650" s="4" t="s">
        <v>7</v>
      </c>
      <c r="H4650" s="1">
        <v>217</v>
      </c>
    </row>
    <row r="4651" spans="2:8" x14ac:dyDescent="0.2">
      <c r="B4651" t="str">
        <f>VLOOKUP(G4651,PC!B:D,3,FALSE)</f>
        <v>CPV</v>
      </c>
      <c r="C4651" s="22">
        <v>2024</v>
      </c>
      <c r="D4651" t="s">
        <v>113</v>
      </c>
      <c r="F4651" t="str">
        <f>VLOOKUP(G4651,PC!B:D,2,FALSE)</f>
        <v>OUTROS</v>
      </c>
      <c r="G4651" s="4" t="s">
        <v>58</v>
      </c>
      <c r="H4651" s="1">
        <v>192</v>
      </c>
    </row>
    <row r="4652" spans="2:8" x14ac:dyDescent="0.2">
      <c r="B4652" t="str">
        <f>VLOOKUP(G4652,PC!B:D,3,FALSE)</f>
        <v>CPV</v>
      </c>
      <c r="C4652" s="22">
        <v>2024</v>
      </c>
      <c r="D4652" t="s">
        <v>113</v>
      </c>
      <c r="F4652" t="str">
        <f>VLOOKUP(G4652,PC!B:D,2,FALSE)</f>
        <v>SOBREMESA</v>
      </c>
      <c r="G4652" s="4" t="s">
        <v>7</v>
      </c>
      <c r="H4652" s="1">
        <v>88</v>
      </c>
    </row>
    <row r="4653" spans="2:8" x14ac:dyDescent="0.2">
      <c r="B4653" t="str">
        <f>VLOOKUP(G4653,PC!B:D,3,FALSE)</f>
        <v>CPV</v>
      </c>
      <c r="C4653" s="22">
        <v>2024</v>
      </c>
      <c r="D4653" t="s">
        <v>113</v>
      </c>
      <c r="F4653" t="str">
        <f>VLOOKUP(G4653,PC!B:D,2,FALSE)</f>
        <v>CIGARRO</v>
      </c>
      <c r="G4653" s="4" t="s">
        <v>57</v>
      </c>
      <c r="H4653" s="1">
        <v>1345</v>
      </c>
    </row>
    <row r="4654" spans="2:8" x14ac:dyDescent="0.2">
      <c r="B4654" t="str">
        <f>VLOOKUP(G4654,PC!B:D,3,FALSE)</f>
        <v>CPV</v>
      </c>
      <c r="C4654" s="22">
        <v>2024</v>
      </c>
      <c r="D4654" t="s">
        <v>113</v>
      </c>
      <c r="F4654" t="str">
        <f>VLOOKUP(G4654,PC!B:D,2,FALSE)</f>
        <v>BEBIDAS</v>
      </c>
      <c r="G4654" s="4" t="s">
        <v>46</v>
      </c>
      <c r="H4654" s="1">
        <v>474.4</v>
      </c>
    </row>
    <row r="4655" spans="2:8" x14ac:dyDescent="0.2">
      <c r="B4655" t="str">
        <f>VLOOKUP(G4655,PC!B:D,3,FALSE)</f>
        <v>CPV</v>
      </c>
      <c r="C4655" s="22">
        <v>2024</v>
      </c>
      <c r="D4655" t="s">
        <v>113</v>
      </c>
      <c r="F4655" t="str">
        <f>VLOOKUP(G4655,PC!B:D,2,FALSE)</f>
        <v>SOBREMESA</v>
      </c>
      <c r="G4655" s="4" t="s">
        <v>7</v>
      </c>
      <c r="H4655" s="1">
        <v>126</v>
      </c>
    </row>
    <row r="4656" spans="2:8" x14ac:dyDescent="0.2">
      <c r="B4656" t="str">
        <f>VLOOKUP(G4656,PC!B:D,3,FALSE)</f>
        <v>CPV</v>
      </c>
      <c r="C4656" s="22">
        <v>2024</v>
      </c>
      <c r="D4656" t="s">
        <v>113</v>
      </c>
      <c r="F4656" t="str">
        <f>VLOOKUP(G4656,PC!B:D,2,FALSE)</f>
        <v>BEBIDAS</v>
      </c>
      <c r="G4656" s="4" t="s">
        <v>48</v>
      </c>
      <c r="H4656" s="1">
        <v>1783</v>
      </c>
    </row>
    <row r="4657" spans="2:8" x14ac:dyDescent="0.2">
      <c r="B4657" t="str">
        <f>VLOOKUP(G4657,PC!B:D,3,FALSE)</f>
        <v>CPV</v>
      </c>
      <c r="C4657" s="22">
        <v>2024</v>
      </c>
      <c r="D4657" t="s">
        <v>113</v>
      </c>
      <c r="F4657" t="str">
        <f>VLOOKUP(G4657,PC!B:D,2,FALSE)</f>
        <v>COMIDA</v>
      </c>
      <c r="G4657" s="4" t="s">
        <v>155</v>
      </c>
      <c r="H4657" s="1">
        <v>625</v>
      </c>
    </row>
    <row r="4658" spans="2:8" x14ac:dyDescent="0.2">
      <c r="B4658" t="str">
        <f>VLOOKUP(G4658,PC!B:D,3,FALSE)</f>
        <v>RECEITA</v>
      </c>
      <c r="C4658" s="22">
        <v>2024</v>
      </c>
      <c r="D4658" t="s">
        <v>113</v>
      </c>
      <c r="F4658" t="str">
        <f>VLOOKUP(G4658,PC!B:D,2,FALSE)</f>
        <v>RECEITA</v>
      </c>
      <c r="G4658" s="4" t="s">
        <v>64</v>
      </c>
      <c r="H4658" s="1">
        <f>5.9+12+11.25</f>
        <v>29.15</v>
      </c>
    </row>
    <row r="4659" spans="2:8" x14ac:dyDescent="0.2">
      <c r="B4659" t="str">
        <f>VLOOKUP(G4659,PC!B:D,3,FALSE)</f>
        <v>DESPESA OPERACIONAL</v>
      </c>
      <c r="C4659" s="22">
        <v>2024</v>
      </c>
      <c r="D4659" t="s">
        <v>113</v>
      </c>
      <c r="F4659" t="str">
        <f>VLOOKUP(G4659,PC!B:D,2,FALSE)</f>
        <v>DESPESA OPERACIONAL</v>
      </c>
      <c r="G4659" s="4" t="s">
        <v>73</v>
      </c>
      <c r="H4659" s="1">
        <f>276.6+563.45+525.26</f>
        <v>1365.31</v>
      </c>
    </row>
    <row r="4660" spans="2:8" x14ac:dyDescent="0.2">
      <c r="B4660" t="str">
        <f>VLOOKUP(G4660,PC!B:D,3,FALSE)</f>
        <v>RECEITA</v>
      </c>
      <c r="C4660" s="22">
        <v>2024</v>
      </c>
      <c r="D4660" t="s">
        <v>113</v>
      </c>
      <c r="F4660" t="str">
        <f>VLOOKUP(G4660,PC!B:D,2,FALSE)</f>
        <v>RECEITA</v>
      </c>
      <c r="G4660" s="4" t="s">
        <v>136</v>
      </c>
      <c r="H4660" s="1">
        <f>16237.58-9</f>
        <v>16228.58</v>
      </c>
    </row>
    <row r="4661" spans="2:8" x14ac:dyDescent="0.2">
      <c r="B4661" t="str">
        <f>VLOOKUP(G4661,PC!B:D,3,FALSE)</f>
        <v>DESCONTO DE FATURAMENTO</v>
      </c>
      <c r="C4661" s="22">
        <v>2024</v>
      </c>
      <c r="D4661" t="s">
        <v>113</v>
      </c>
      <c r="F4661" t="str">
        <f>VLOOKUP(G4661,PC!B:D,2,FALSE)</f>
        <v>OUTROS DESCONTOS</v>
      </c>
      <c r="G4661" s="4" t="s">
        <v>63</v>
      </c>
      <c r="H4661" s="1">
        <f>H4660-16046.68</f>
        <v>181.89999999999964</v>
      </c>
    </row>
    <row r="4662" spans="2:8" x14ac:dyDescent="0.2">
      <c r="B4662" t="str">
        <f>VLOOKUP(G4662,PC!B:D,3,FALSE)</f>
        <v>RECEITA</v>
      </c>
      <c r="C4662" s="22">
        <v>2024</v>
      </c>
      <c r="D4662" t="s">
        <v>113</v>
      </c>
      <c r="F4662" t="str">
        <f>VLOOKUP(G4662,PC!B:D,2,FALSE)</f>
        <v>RECEITA</v>
      </c>
      <c r="G4662" s="4" t="s">
        <v>137</v>
      </c>
      <c r="H4662" s="1">
        <f>8307.45</f>
        <v>8307.4500000000007</v>
      </c>
    </row>
    <row r="4663" spans="2:8" x14ac:dyDescent="0.2">
      <c r="B4663" t="str">
        <f>VLOOKUP(G4663,PC!B:D,3,FALSE)</f>
        <v>DESCONTO DE FATURAMENTO</v>
      </c>
      <c r="C4663" s="22">
        <v>2024</v>
      </c>
      <c r="D4663" t="s">
        <v>113</v>
      </c>
      <c r="F4663" t="str">
        <f>VLOOKUP(G4663,PC!B:D,2,FALSE)</f>
        <v>OUTROS DESCONTOS</v>
      </c>
      <c r="G4663" s="4" t="s">
        <v>63</v>
      </c>
      <c r="H4663" s="1">
        <f>H4662-8149.26</f>
        <v>158.19000000000051</v>
      </c>
    </row>
    <row r="4664" spans="2:8" x14ac:dyDescent="0.2">
      <c r="B4664" t="e">
        <f>VLOOKUP(G4664,PC!B:D,3,FALSE)</f>
        <v>#N/A</v>
      </c>
      <c r="C4664" s="22">
        <v>2024</v>
      </c>
      <c r="D4664" t="s">
        <v>113</v>
      </c>
      <c r="F4664" t="e">
        <f>VLOOKUP(G4664,PC!B:D,2,FALSE)</f>
        <v>#N/A</v>
      </c>
      <c r="G4664" s="4" t="s">
        <v>232</v>
      </c>
      <c r="H4664" s="1">
        <v>2543.2399999999998</v>
      </c>
    </row>
    <row r="4665" spans="2:8" x14ac:dyDescent="0.2">
      <c r="B4665" t="str">
        <f>VLOOKUP(G4665,PC!B:D,3,FALSE)</f>
        <v>DESCONTO DE FATURAMENTO</v>
      </c>
      <c r="C4665" s="22">
        <v>2024</v>
      </c>
      <c r="D4665" t="s">
        <v>113</v>
      </c>
      <c r="F4665" t="str">
        <f>VLOOKUP(G4665,PC!B:D,2,FALSE)</f>
        <v>OUTROS DESCONTOS</v>
      </c>
      <c r="G4665" s="4" t="s">
        <v>63</v>
      </c>
      <c r="H4665" s="1">
        <f>H4664-2530.37</f>
        <v>12.869999999999891</v>
      </c>
    </row>
    <row r="4666" spans="2:8" x14ac:dyDescent="0.2">
      <c r="B4666" t="str">
        <f>VLOOKUP(G4666,PC!B:D,3,FALSE)</f>
        <v>RECEITA</v>
      </c>
      <c r="C4666" s="22">
        <v>2024</v>
      </c>
      <c r="D4666" t="s">
        <v>113</v>
      </c>
      <c r="F4666" t="str">
        <f>VLOOKUP(G4666,PC!B:D,2,FALSE)</f>
        <v>RECEITA</v>
      </c>
      <c r="G4666" s="4" t="s">
        <v>137</v>
      </c>
      <c r="H4666" s="1">
        <v>19036.060000000001</v>
      </c>
    </row>
    <row r="4667" spans="2:8" x14ac:dyDescent="0.2">
      <c r="B4667" t="str">
        <f>VLOOKUP(G4667,PC!B:D,3,FALSE)</f>
        <v>RECEITA</v>
      </c>
      <c r="C4667" s="22">
        <v>2024</v>
      </c>
      <c r="D4667" t="s">
        <v>113</v>
      </c>
      <c r="F4667" t="str">
        <f>VLOOKUP(G4667,PC!B:D,2,FALSE)</f>
        <v>RECEITA</v>
      </c>
      <c r="G4667" s="4" t="s">
        <v>54</v>
      </c>
      <c r="H4667" s="1">
        <f>1400+300+45+1100+500+30+50+550+30+186+1150+40+217+70+88+192+1000+900</f>
        <v>7848</v>
      </c>
    </row>
    <row r="4668" spans="2:8" x14ac:dyDescent="0.2">
      <c r="B4668" t="e">
        <f>VLOOKUP(G4668,PC!B:D,3,FALSE)</f>
        <v>#N/A</v>
      </c>
      <c r="C4668" s="22">
        <v>2024</v>
      </c>
      <c r="D4668" t="s">
        <v>113</v>
      </c>
      <c r="F4668" t="e">
        <f>VLOOKUP(G4668,PC!B:D,2,FALSE)</f>
        <v>#N/A</v>
      </c>
      <c r="G4668" s="4" t="s">
        <v>231</v>
      </c>
      <c r="H4668" s="1">
        <v>45</v>
      </c>
    </row>
    <row r="4669" spans="2:8" x14ac:dyDescent="0.2">
      <c r="B4669" t="str">
        <f>VLOOKUP(G4669,PC!B:D,3,FALSE)</f>
        <v>CPV</v>
      </c>
      <c r="C4669" s="22">
        <v>2024</v>
      </c>
      <c r="D4669" t="s">
        <v>113</v>
      </c>
      <c r="E4669" t="s">
        <v>129</v>
      </c>
      <c r="F4669" t="str">
        <f>VLOOKUP(G4669,PC!B:D,2,FALSE)</f>
        <v>COMIDA</v>
      </c>
      <c r="G4669" s="4" t="s">
        <v>12</v>
      </c>
      <c r="H4669" s="1">
        <v>186</v>
      </c>
    </row>
    <row r="4670" spans="2:8" x14ac:dyDescent="0.2">
      <c r="B4670" t="str">
        <f>VLOOKUP(G4670,PC!B:D,3,FALSE)</f>
        <v>DESPESA OPERACIONAL</v>
      </c>
      <c r="C4670" s="22">
        <v>2024</v>
      </c>
      <c r="D4670" t="s">
        <v>113</v>
      </c>
      <c r="F4670" t="str">
        <f>VLOOKUP(G4670,PC!B:D,2,FALSE)</f>
        <v>DESPESA OPERACIONAL</v>
      </c>
      <c r="G4670" s="4" t="s">
        <v>70</v>
      </c>
      <c r="H4670" s="1">
        <v>70</v>
      </c>
    </row>
    <row r="4671" spans="2:8" x14ac:dyDescent="0.2">
      <c r="B4671" t="str">
        <f>VLOOKUP(G4671,PC!B:D,3,FALSE)</f>
        <v>RECEITA</v>
      </c>
      <c r="C4671" s="22">
        <v>2024</v>
      </c>
      <c r="D4671" t="s">
        <v>113</v>
      </c>
      <c r="F4671" t="str">
        <f>VLOOKUP(G4671,PC!B:D,2,FALSE)</f>
        <v>RECEITA</v>
      </c>
      <c r="G4671" s="4" t="s">
        <v>54</v>
      </c>
      <c r="H4671" s="1">
        <f>34+30+62+1000+50+24+76+39+30+700+1400+260+36+83+700+74+157+1800+1800+1400+130+250+350+800+1200+2000+300</f>
        <v>14785</v>
      </c>
    </row>
    <row r="4672" spans="2:8" x14ac:dyDescent="0.2">
      <c r="B4672" t="str">
        <f>VLOOKUP(G4672,PC!B:D,3,FALSE)</f>
        <v>CPV</v>
      </c>
      <c r="C4672" s="22">
        <v>2024</v>
      </c>
      <c r="D4672" t="s">
        <v>113</v>
      </c>
      <c r="E4672" t="s">
        <v>129</v>
      </c>
      <c r="F4672" t="str">
        <f>VLOOKUP(G4672,PC!B:D,2,FALSE)</f>
        <v>COMIDA</v>
      </c>
      <c r="G4672" s="4" t="s">
        <v>12</v>
      </c>
      <c r="H4672" s="1">
        <v>100</v>
      </c>
    </row>
    <row r="4673" spans="2:8" x14ac:dyDescent="0.2">
      <c r="B4673" t="str">
        <f>VLOOKUP(G4673,PC!B:D,3,FALSE)</f>
        <v>DESPESA PESSOAL</v>
      </c>
      <c r="C4673" s="22">
        <v>2024</v>
      </c>
      <c r="D4673" t="s">
        <v>113</v>
      </c>
      <c r="F4673" t="str">
        <f>VLOOKUP(G4673,PC!B:D,2,FALSE)</f>
        <v>DESPESA PESSOAL</v>
      </c>
      <c r="G4673" s="4" t="s">
        <v>68</v>
      </c>
      <c r="H4673" s="1">
        <v>30</v>
      </c>
    </row>
    <row r="4674" spans="2:8" x14ac:dyDescent="0.2">
      <c r="B4674" t="str">
        <f>VLOOKUP(G4674,PC!B:D,3,FALSE)</f>
        <v>RECEITA</v>
      </c>
      <c r="C4674" s="22">
        <v>2024</v>
      </c>
      <c r="D4674" t="s">
        <v>113</v>
      </c>
      <c r="F4674" t="str">
        <f>VLOOKUP(G4674,PC!B:D,2,FALSE)</f>
        <v>RECEITA</v>
      </c>
      <c r="G4674" s="4" t="s">
        <v>59</v>
      </c>
      <c r="H4674" s="1">
        <v>3090</v>
      </c>
    </row>
    <row r="4675" spans="2:8" x14ac:dyDescent="0.2">
      <c r="B4675" t="str">
        <f>VLOOKUP(G4675,PC!B:D,3,FALSE)</f>
        <v>RECEITAS NÃO OPERACIONAIS</v>
      </c>
      <c r="C4675" s="22">
        <v>2024</v>
      </c>
      <c r="D4675" t="s">
        <v>113</v>
      </c>
      <c r="F4675" t="str">
        <f>VLOOKUP(G4675,PC!B:D,2,FALSE)</f>
        <v>EMPRESTIMO</v>
      </c>
      <c r="G4675" s="4" t="s">
        <v>71</v>
      </c>
      <c r="H4675" s="1">
        <v>50</v>
      </c>
    </row>
    <row r="4676" spans="2:8" x14ac:dyDescent="0.2">
      <c r="B4676" t="str">
        <f>VLOOKUP(G4676,PC!B:D,3,FALSE)</f>
        <v>DESPESA PESSOAL</v>
      </c>
      <c r="C4676" s="22">
        <v>2024</v>
      </c>
      <c r="D4676" t="s">
        <v>113</v>
      </c>
      <c r="F4676" t="str">
        <f>VLOOKUP(G4676,PC!B:D,2,FALSE)</f>
        <v>DESPESA PESSOAL</v>
      </c>
      <c r="G4676" s="4" t="s">
        <v>68</v>
      </c>
      <c r="H4676" s="1">
        <v>30</v>
      </c>
    </row>
    <row r="4677" spans="2:8" x14ac:dyDescent="0.2">
      <c r="B4677" t="str">
        <f>VLOOKUP(G4677,PC!B:D,3,FALSE)</f>
        <v>CPV</v>
      </c>
      <c r="C4677" s="22">
        <v>2024</v>
      </c>
      <c r="D4677" t="s">
        <v>113</v>
      </c>
      <c r="E4677" t="s">
        <v>129</v>
      </c>
      <c r="F4677" t="str">
        <f>VLOOKUP(G4677,PC!B:D,2,FALSE)</f>
        <v>COMIDA</v>
      </c>
      <c r="G4677" s="4" t="s">
        <v>12</v>
      </c>
      <c r="H4677" s="1">
        <v>36</v>
      </c>
    </row>
    <row r="4678" spans="2:8" x14ac:dyDescent="0.2">
      <c r="B4678" t="str">
        <f>VLOOKUP(G4678,PC!B:D,3,FALSE)</f>
        <v>CPV</v>
      </c>
      <c r="C4678" s="22">
        <v>2024</v>
      </c>
      <c r="D4678" t="s">
        <v>113</v>
      </c>
      <c r="E4678" t="s">
        <v>129</v>
      </c>
      <c r="F4678" t="str">
        <f>VLOOKUP(G4678,PC!B:D,2,FALSE)</f>
        <v>COMIDA</v>
      </c>
      <c r="G4678" s="4" t="s">
        <v>18</v>
      </c>
      <c r="H4678" s="1">
        <v>83</v>
      </c>
    </row>
    <row r="4679" spans="2:8" x14ac:dyDescent="0.2">
      <c r="B4679" t="str">
        <f>VLOOKUP(G4679,PC!B:D,3,FALSE)</f>
        <v>DESPESA PESSOAL</v>
      </c>
      <c r="C4679" s="22">
        <v>2024</v>
      </c>
      <c r="D4679" t="s">
        <v>113</v>
      </c>
      <c r="F4679" t="str">
        <f>VLOOKUP(G4679,PC!B:D,2,FALSE)</f>
        <v>DESPESA PESSOAL</v>
      </c>
      <c r="G4679" s="4" t="s">
        <v>68</v>
      </c>
      <c r="H4679" s="1">
        <v>70</v>
      </c>
    </row>
    <row r="4680" spans="2:8" x14ac:dyDescent="0.2">
      <c r="B4680" t="str">
        <f>VLOOKUP(G4680,PC!B:D,3,FALSE)</f>
        <v>CPV</v>
      </c>
      <c r="C4680" s="22">
        <v>2024</v>
      </c>
      <c r="D4680" t="s">
        <v>113</v>
      </c>
      <c r="E4680" t="s">
        <v>129</v>
      </c>
      <c r="F4680" t="str">
        <f>VLOOKUP(G4680,PC!B:D,2,FALSE)</f>
        <v>COMIDA</v>
      </c>
      <c r="G4680" s="4" t="s">
        <v>12</v>
      </c>
      <c r="H4680" s="1">
        <v>157</v>
      </c>
    </row>
    <row r="4681" spans="2:8" x14ac:dyDescent="0.2">
      <c r="B4681" t="str">
        <f>VLOOKUP(G4681,PC!B:D,3,FALSE)</f>
        <v>DESPESA PESSOAL</v>
      </c>
      <c r="C4681" s="22">
        <v>2024</v>
      </c>
      <c r="D4681" t="s">
        <v>113</v>
      </c>
      <c r="F4681" t="str">
        <f>VLOOKUP(G4681,PC!B:D,2,FALSE)</f>
        <v>DESPESA PESSOAL</v>
      </c>
      <c r="G4681" s="4" t="s">
        <v>56</v>
      </c>
      <c r="H4681" s="1">
        <v>350</v>
      </c>
    </row>
    <row r="4682" spans="2:8" x14ac:dyDescent="0.2">
      <c r="B4682" t="str">
        <f>VLOOKUP(G4682,PC!B:D,3,FALSE)</f>
        <v>RECEITA</v>
      </c>
      <c r="C4682" s="22">
        <v>2024</v>
      </c>
      <c r="D4682" t="s">
        <v>113</v>
      </c>
      <c r="F4682" t="str">
        <f>VLOOKUP(G4682,PC!B:D,2,FALSE)</f>
        <v>RECEITA</v>
      </c>
      <c r="G4682" s="4" t="s">
        <v>54</v>
      </c>
      <c r="H4682" s="1">
        <f>800+126+450+45+1600+625+500+1750+72+78+190+450+88+58+1000+38+12.5+170+600+20+79+76+28+43+100+1800</f>
        <v>10798.5</v>
      </c>
    </row>
    <row r="4683" spans="2:8" x14ac:dyDescent="0.2">
      <c r="B4683" t="e">
        <f>VLOOKUP(G4683,PC!B:D,3,FALSE)</f>
        <v>#N/A</v>
      </c>
      <c r="C4683" s="22">
        <v>2024</v>
      </c>
      <c r="D4683" t="s">
        <v>113</v>
      </c>
      <c r="F4683" t="e">
        <f>VLOOKUP(G4683,PC!B:D,2,FALSE)</f>
        <v>#N/A</v>
      </c>
      <c r="G4683" s="4" t="s">
        <v>231</v>
      </c>
      <c r="H4683" s="1">
        <v>45</v>
      </c>
    </row>
    <row r="4684" spans="2:8" x14ac:dyDescent="0.2">
      <c r="B4684" t="str">
        <f>VLOOKUP(G4684,PC!B:D,3,FALSE)</f>
        <v>DESPESA OPERACIONAL</v>
      </c>
      <c r="C4684" s="22">
        <v>2024</v>
      </c>
      <c r="D4684" t="s">
        <v>113</v>
      </c>
      <c r="F4684" t="str">
        <f>VLOOKUP(G4684,PC!B:D,2,FALSE)</f>
        <v>DESPESA OPERACIONAL</v>
      </c>
      <c r="G4684" s="4" t="s">
        <v>70</v>
      </c>
      <c r="H4684" s="47">
        <v>190</v>
      </c>
    </row>
    <row r="4685" spans="2:8" x14ac:dyDescent="0.2">
      <c r="B4685" t="str">
        <f>VLOOKUP(G4685,PC!B:D,3,FALSE)</f>
        <v>CPV</v>
      </c>
      <c r="C4685" s="22">
        <v>2024</v>
      </c>
      <c r="D4685" t="s">
        <v>113</v>
      </c>
      <c r="F4685" t="str">
        <f>VLOOKUP(G4685,PC!B:D,2,FALSE)</f>
        <v>COMIDA</v>
      </c>
      <c r="G4685" s="4" t="s">
        <v>12</v>
      </c>
      <c r="H4685" s="1">
        <v>88</v>
      </c>
    </row>
    <row r="4686" spans="2:8" x14ac:dyDescent="0.2">
      <c r="B4686" t="str">
        <f>VLOOKUP(G4686,PC!B:D,3,FALSE)</f>
        <v>CPV</v>
      </c>
      <c r="C4686" s="22">
        <v>2024</v>
      </c>
      <c r="D4686" t="s">
        <v>113</v>
      </c>
      <c r="F4686" t="str">
        <f>VLOOKUP(G4686,PC!B:D,2,FALSE)</f>
        <v>COMIDA</v>
      </c>
      <c r="G4686" s="4" t="s">
        <v>146</v>
      </c>
      <c r="H4686" s="1">
        <f>43+12.5</f>
        <v>55.5</v>
      </c>
    </row>
    <row r="4687" spans="2:8" x14ac:dyDescent="0.2">
      <c r="B4687" t="str">
        <f>VLOOKUP(G4687,PC!B:D,3,FALSE)</f>
        <v>RECEITA</v>
      </c>
      <c r="C4687" s="22">
        <v>2024</v>
      </c>
      <c r="D4687" t="s">
        <v>113</v>
      </c>
      <c r="F4687" t="str">
        <f>VLOOKUP(G4687,PC!B:D,2,FALSE)</f>
        <v>RECEITA</v>
      </c>
      <c r="G4687" s="4" t="s">
        <v>54</v>
      </c>
      <c r="H4687" s="1">
        <f>83+450+20+400+222.9+240+1800+950+350+900+76+950+150+2550+600+300+47+45+55+1750+25+45+160+1600+600</f>
        <v>14368.9</v>
      </c>
    </row>
    <row r="4688" spans="2:8" x14ac:dyDescent="0.2">
      <c r="B4688" t="str">
        <f>VLOOKUP(G4688,PC!B:D,3,FALSE)</f>
        <v>CPV</v>
      </c>
      <c r="C4688" s="22">
        <v>2024</v>
      </c>
      <c r="D4688" t="s">
        <v>113</v>
      </c>
      <c r="F4688" t="str">
        <f>VLOOKUP(G4688,PC!B:D,2,FALSE)</f>
        <v>COMIDA</v>
      </c>
      <c r="G4688" s="4" t="s">
        <v>18</v>
      </c>
      <c r="H4688" s="1">
        <v>83</v>
      </c>
    </row>
    <row r="4689" spans="2:8" x14ac:dyDescent="0.2">
      <c r="B4689" t="str">
        <f>VLOOKUP(G4689,PC!B:D,3,FALSE)</f>
        <v>DESPESA PESSOAL</v>
      </c>
      <c r="C4689" s="22">
        <v>2024</v>
      </c>
      <c r="D4689" t="s">
        <v>113</v>
      </c>
      <c r="F4689" t="str">
        <f>VLOOKUP(G4689,PC!B:D,2,FALSE)</f>
        <v>DESPESA PESSOAL</v>
      </c>
      <c r="G4689" s="4" t="s">
        <v>56</v>
      </c>
      <c r="H4689" s="1">
        <v>350</v>
      </c>
    </row>
    <row r="4690" spans="2:8" x14ac:dyDescent="0.2">
      <c r="B4690" t="str">
        <f>VLOOKUP(G4690,PC!B:D,3,FALSE)</f>
        <v>CPV</v>
      </c>
      <c r="C4690" s="22">
        <v>2024</v>
      </c>
      <c r="D4690" t="s">
        <v>113</v>
      </c>
      <c r="F4690" t="str">
        <f>VLOOKUP(G4690,PC!B:D,2,FALSE)</f>
        <v>OUTROS</v>
      </c>
      <c r="G4690" s="4" t="s">
        <v>37</v>
      </c>
      <c r="H4690" s="1">
        <v>76</v>
      </c>
    </row>
    <row r="4691" spans="2:8" x14ac:dyDescent="0.2">
      <c r="B4691" t="e">
        <f>VLOOKUP(G4691,PC!B:D,3,FALSE)</f>
        <v>#N/A</v>
      </c>
      <c r="C4691" s="22">
        <v>2024</v>
      </c>
      <c r="D4691" t="s">
        <v>113</v>
      </c>
      <c r="F4691" t="e">
        <f>VLOOKUP(G4691,PC!B:D,2,FALSE)</f>
        <v>#N/A</v>
      </c>
      <c r="G4691" s="4" t="s">
        <v>231</v>
      </c>
      <c r="H4691" s="1">
        <v>45</v>
      </c>
    </row>
    <row r="4692" spans="2:8" x14ac:dyDescent="0.2">
      <c r="B4692" t="str">
        <f>VLOOKUP(G4692,PC!B:D,3,FALSE)</f>
        <v>CPV</v>
      </c>
      <c r="C4692" s="22">
        <v>2024</v>
      </c>
      <c r="D4692" t="s">
        <v>113</v>
      </c>
      <c r="F4692" t="str">
        <f>VLOOKUP(G4692,PC!B:D,2,FALSE)</f>
        <v>OUTROS</v>
      </c>
      <c r="G4692" s="4" t="s">
        <v>37</v>
      </c>
      <c r="H4692" s="1">
        <v>25</v>
      </c>
    </row>
    <row r="4693" spans="2:8" x14ac:dyDescent="0.2">
      <c r="B4693" t="str">
        <f>VLOOKUP(G4693,PC!B:D,3,FALSE)</f>
        <v>RECEITA</v>
      </c>
      <c r="C4693" s="22">
        <v>2024</v>
      </c>
      <c r="D4693" t="s">
        <v>113</v>
      </c>
      <c r="F4693" t="str">
        <f>VLOOKUP(G4693,PC!B:D,2,FALSE)</f>
        <v>RECEITA</v>
      </c>
      <c r="G4693" s="4" t="s">
        <v>54</v>
      </c>
      <c r="H4693" s="1">
        <f>343+114+100+155+26+500+29+700+750+45+36+20+20+120+2000+1000+208+155+40+55+36+211+1100+1050+109+1000+350+1200+1050</f>
        <v>12522</v>
      </c>
    </row>
    <row r="4694" spans="2:8" x14ac:dyDescent="0.2">
      <c r="B4694" t="str">
        <f>VLOOKUP(G4694,PC!B:D,3,FALSE)</f>
        <v>DESPESA OPERACIONAL</v>
      </c>
      <c r="C4694" s="22">
        <v>2024</v>
      </c>
      <c r="D4694" t="s">
        <v>113</v>
      </c>
      <c r="F4694" t="str">
        <f>VLOOKUP(G4694,PC!B:D,2,FALSE)</f>
        <v>DESPESA OPERACIONAL</v>
      </c>
      <c r="G4694" s="4" t="s">
        <v>70</v>
      </c>
      <c r="H4694" s="1">
        <v>114</v>
      </c>
    </row>
    <row r="4695" spans="2:8" x14ac:dyDescent="0.2">
      <c r="B4695" t="str">
        <f>VLOOKUP(G4695,PC!B:D,3,FALSE)</f>
        <v>DESPESA PESSOAL</v>
      </c>
      <c r="C4695" s="22">
        <v>2024</v>
      </c>
      <c r="D4695" t="s">
        <v>113</v>
      </c>
      <c r="F4695" t="str">
        <f>VLOOKUP(G4695,PC!B:D,2,FALSE)</f>
        <v>DESPESA PESSOAL</v>
      </c>
      <c r="G4695" s="4" t="s">
        <v>68</v>
      </c>
      <c r="H4695" s="1">
        <v>40</v>
      </c>
    </row>
    <row r="4696" spans="2:8" x14ac:dyDescent="0.2">
      <c r="B4696" t="str">
        <f>VLOOKUP(G4696,PC!B:D,3,FALSE)</f>
        <v>CPV</v>
      </c>
      <c r="C4696" s="22">
        <v>2024</v>
      </c>
      <c r="D4696" t="s">
        <v>113</v>
      </c>
      <c r="F4696" t="str">
        <f>VLOOKUP(G4696,PC!B:D,2,FALSE)</f>
        <v>COMIDA</v>
      </c>
      <c r="G4696" s="4" t="s">
        <v>12</v>
      </c>
      <c r="H4696" s="1">
        <v>40</v>
      </c>
    </row>
    <row r="4697" spans="2:8" x14ac:dyDescent="0.2">
      <c r="B4697" t="str">
        <f>VLOOKUP(G4697,PC!B:D,3,FALSE)</f>
        <v>CPV</v>
      </c>
      <c r="C4697" s="22">
        <v>2024</v>
      </c>
      <c r="D4697" t="s">
        <v>113</v>
      </c>
      <c r="F4697" t="str">
        <f>VLOOKUP(G4697,PC!B:D,2,FALSE)</f>
        <v>COMIDA</v>
      </c>
      <c r="G4697" s="4" t="s">
        <v>18</v>
      </c>
      <c r="H4697" s="1">
        <v>55</v>
      </c>
    </row>
    <row r="4698" spans="2:8" x14ac:dyDescent="0.2">
      <c r="B4698" t="str">
        <f>VLOOKUP(G4698,PC!B:D,3,FALSE)</f>
        <v>DESPESA PESSOAL</v>
      </c>
      <c r="C4698" s="22">
        <v>2024</v>
      </c>
      <c r="D4698" t="s">
        <v>113</v>
      </c>
      <c r="F4698" t="str">
        <f>VLOOKUP(G4698,PC!B:D,2,FALSE)</f>
        <v>DESPESA PESSOAL</v>
      </c>
      <c r="G4698" s="4" t="s">
        <v>56</v>
      </c>
      <c r="H4698" s="1">
        <v>350</v>
      </c>
    </row>
    <row r="4699" spans="2:8" x14ac:dyDescent="0.2">
      <c r="B4699" t="str">
        <f>VLOOKUP(G4699,PC!B:D,3,FALSE)</f>
        <v>CPV</v>
      </c>
      <c r="C4699" s="22">
        <v>2024</v>
      </c>
      <c r="D4699" t="s">
        <v>113</v>
      </c>
      <c r="F4699" t="str">
        <f>VLOOKUP(G4699,PC!B:D,2,FALSE)</f>
        <v>COMIDA</v>
      </c>
      <c r="G4699" s="4" t="s">
        <v>12</v>
      </c>
      <c r="H4699" s="1">
        <v>109</v>
      </c>
    </row>
    <row r="4700" spans="2:8" x14ac:dyDescent="0.2">
      <c r="B4700" t="str">
        <f>VLOOKUP(G4700,PC!B:D,3,FALSE)</f>
        <v>RECEITA</v>
      </c>
      <c r="C4700" s="22">
        <v>2024</v>
      </c>
      <c r="D4700" t="s">
        <v>113</v>
      </c>
      <c r="F4700" t="str">
        <f>VLOOKUP(G4700,PC!B:D,2,FALSE)</f>
        <v>RECEITA</v>
      </c>
      <c r="G4700" s="4" t="s">
        <v>54</v>
      </c>
      <c r="H4700" s="1">
        <f>20+70+2600+500+800+45+800+45+150+500+1050+106+80+234+81+1700+40+100+22+50+20+35+200+300+142+1200</f>
        <v>10890</v>
      </c>
    </row>
    <row r="4701" spans="2:8" x14ac:dyDescent="0.2">
      <c r="B4701" t="str">
        <f>VLOOKUP(G4701,PC!B:D,3,FALSE)</f>
        <v>CPV</v>
      </c>
      <c r="C4701" s="22">
        <v>2024</v>
      </c>
      <c r="D4701" t="s">
        <v>113</v>
      </c>
      <c r="F4701" t="str">
        <f>VLOOKUP(G4701,PC!B:D,2,FALSE)</f>
        <v>COMIDA</v>
      </c>
      <c r="G4701" s="4" t="s">
        <v>18</v>
      </c>
      <c r="H4701" s="1">
        <v>45</v>
      </c>
    </row>
    <row r="4702" spans="2:8" x14ac:dyDescent="0.2">
      <c r="B4702" t="str">
        <f>VLOOKUP(G4702,PC!B:D,3,FALSE)</f>
        <v>DESPESA OPERACIONAL</v>
      </c>
      <c r="C4702" s="22">
        <v>2024</v>
      </c>
      <c r="D4702" t="s">
        <v>113</v>
      </c>
      <c r="F4702" t="str">
        <f>VLOOKUP(G4702,PC!B:D,2,FALSE)</f>
        <v>MANUTENÇÃO MÁQUINAS</v>
      </c>
      <c r="G4702" s="4" t="s">
        <v>147</v>
      </c>
      <c r="H4702" s="1">
        <v>150</v>
      </c>
    </row>
    <row r="4703" spans="2:8" x14ac:dyDescent="0.2">
      <c r="B4703" t="str">
        <f>VLOOKUP(G4703,PC!B:D,3,FALSE)</f>
        <v>CPV</v>
      </c>
      <c r="C4703" s="22">
        <v>2024</v>
      </c>
      <c r="D4703" t="s">
        <v>113</v>
      </c>
      <c r="F4703" t="str">
        <f>VLOOKUP(G4703,PC!B:D,2,FALSE)</f>
        <v>COMIDA</v>
      </c>
      <c r="G4703" s="4" t="s">
        <v>12</v>
      </c>
      <c r="H4703" s="1">
        <v>106</v>
      </c>
    </row>
    <row r="4704" spans="2:8" x14ac:dyDescent="0.2">
      <c r="B4704" t="str">
        <f>VLOOKUP(G4704,PC!B:D,3,FALSE)</f>
        <v>RECEITAS NÃO OPERACIONAIS</v>
      </c>
      <c r="C4704" s="22">
        <v>2024</v>
      </c>
      <c r="D4704" t="s">
        <v>113</v>
      </c>
      <c r="F4704" t="str">
        <f>VLOOKUP(G4704,PC!B:D,2,FALSE)</f>
        <v>EMPRESTIMO</v>
      </c>
      <c r="G4704" s="4" t="s">
        <v>71</v>
      </c>
      <c r="H4704" s="1">
        <v>50</v>
      </c>
    </row>
    <row r="4705" spans="2:8" x14ac:dyDescent="0.2">
      <c r="B4705" t="str">
        <f>VLOOKUP(G4705,PC!B:D,3,FALSE)</f>
        <v>DESPESA PESSOAL</v>
      </c>
      <c r="C4705" s="22">
        <v>2024</v>
      </c>
      <c r="D4705" t="s">
        <v>113</v>
      </c>
      <c r="F4705" t="str">
        <f>VLOOKUP(G4705,PC!B:D,2,FALSE)</f>
        <v>DESPESA PESSOAL</v>
      </c>
      <c r="G4705" s="4" t="s">
        <v>68</v>
      </c>
      <c r="H4705" s="1">
        <v>20</v>
      </c>
    </row>
    <row r="4706" spans="2:8" x14ac:dyDescent="0.2">
      <c r="B4706" t="str">
        <f>VLOOKUP(G4706,PC!B:D,3,FALSE)</f>
        <v>CPV</v>
      </c>
      <c r="C4706" s="22">
        <v>2024</v>
      </c>
      <c r="D4706" t="s">
        <v>113</v>
      </c>
      <c r="F4706" t="str">
        <f>VLOOKUP(G4706,PC!B:D,2,FALSE)</f>
        <v>COMIDA</v>
      </c>
      <c r="G4706" s="4" t="s">
        <v>146</v>
      </c>
      <c r="H4706" s="1">
        <v>35</v>
      </c>
    </row>
    <row r="4707" spans="2:8" x14ac:dyDescent="0.2">
      <c r="B4707" t="str">
        <f>VLOOKUP(G4707,PC!B:D,3,FALSE)</f>
        <v>RECEITA</v>
      </c>
      <c r="C4707" s="22">
        <v>2024</v>
      </c>
      <c r="D4707" t="s">
        <v>113</v>
      </c>
      <c r="F4707" t="str">
        <f>VLOOKUP(G4707,PC!B:D,2,FALSE)</f>
        <v>RECEITA</v>
      </c>
      <c r="G4707" s="4" t="s">
        <v>54</v>
      </c>
      <c r="H4707" s="1">
        <f>211.2+70+83+200+1100+147.9+1000+170+350+1300+1300+200+2900+57+160+450+1250+400+20+1300+259+45+96+1100</f>
        <v>14169.1</v>
      </c>
    </row>
    <row r="4708" spans="2:8" x14ac:dyDescent="0.2">
      <c r="B4708" t="str">
        <f>VLOOKUP(G4708,PC!B:D,3,FALSE)</f>
        <v>CPV</v>
      </c>
      <c r="C4708" s="22">
        <v>2024</v>
      </c>
      <c r="D4708" t="s">
        <v>113</v>
      </c>
      <c r="F4708" t="str">
        <f>VLOOKUP(G4708,PC!B:D,2,FALSE)</f>
        <v>COMIDA</v>
      </c>
      <c r="G4708" s="4" t="s">
        <v>18</v>
      </c>
      <c r="H4708" s="1">
        <v>82</v>
      </c>
    </row>
    <row r="4709" spans="2:8" x14ac:dyDescent="0.2">
      <c r="B4709" t="str">
        <f>VLOOKUP(G4709,PC!B:D,3,FALSE)</f>
        <v>CPV</v>
      </c>
      <c r="C4709" s="22">
        <v>2024</v>
      </c>
      <c r="D4709" t="s">
        <v>113</v>
      </c>
      <c r="F4709" t="str">
        <f>VLOOKUP(G4709,PC!B:D,2,FALSE)</f>
        <v>COMIDA</v>
      </c>
      <c r="G4709" s="4" t="s">
        <v>12</v>
      </c>
      <c r="H4709" s="1">
        <v>170</v>
      </c>
    </row>
    <row r="4710" spans="2:8" x14ac:dyDescent="0.2">
      <c r="B4710" t="str">
        <f>VLOOKUP(G4710,PC!B:D,3,FALSE)</f>
        <v>DESPESA PESSOAL</v>
      </c>
      <c r="C4710" s="22">
        <v>2024</v>
      </c>
      <c r="D4710" t="s">
        <v>113</v>
      </c>
      <c r="F4710" t="str">
        <f>VLOOKUP(G4710,PC!B:D,2,FALSE)</f>
        <v>DESPESA PESSOAL</v>
      </c>
      <c r="G4710" s="4" t="s">
        <v>56</v>
      </c>
      <c r="H4710" s="1">
        <v>350</v>
      </c>
    </row>
    <row r="4711" spans="2:8" x14ac:dyDescent="0.2">
      <c r="B4711" t="str">
        <f>VLOOKUP(G4711,PC!B:D,3,FALSE)</f>
        <v>RECEITA</v>
      </c>
      <c r="C4711" s="22">
        <v>2024</v>
      </c>
      <c r="D4711" t="s">
        <v>113</v>
      </c>
      <c r="F4711" t="str">
        <f>VLOOKUP(G4711,PC!B:D,2,FALSE)</f>
        <v>RECEITA</v>
      </c>
      <c r="G4711" s="4" t="s">
        <v>54</v>
      </c>
      <c r="H4711" s="1">
        <f>100+50+60+350+26+52+123+700+800</f>
        <v>2261</v>
      </c>
    </row>
    <row r="4712" spans="2:8" x14ac:dyDescent="0.2">
      <c r="B4712" t="str">
        <f>VLOOKUP(G4712,PC!B:D,3,FALSE)</f>
        <v>DESPESA PESSOAL</v>
      </c>
      <c r="C4712" s="22">
        <v>2024</v>
      </c>
      <c r="D4712" t="s">
        <v>113</v>
      </c>
      <c r="F4712" t="str">
        <f>VLOOKUP(G4712,PC!B:D,2,FALSE)</f>
        <v>DESPESA PESSOAL</v>
      </c>
      <c r="G4712" s="4" t="s">
        <v>56</v>
      </c>
      <c r="H4712" s="1">
        <f>4*450</f>
        <v>1800</v>
      </c>
    </row>
    <row r="4713" spans="2:8" x14ac:dyDescent="0.2">
      <c r="B4713" t="str">
        <f>VLOOKUP(G4713,PC!B:D,3,FALSE)</f>
        <v>DESPESA PESSOAL</v>
      </c>
      <c r="C4713" s="22">
        <v>2024</v>
      </c>
      <c r="D4713" t="s">
        <v>113</v>
      </c>
      <c r="F4713" t="str">
        <f>VLOOKUP(G4713,PC!B:D,2,FALSE)</f>
        <v>DESPESA PESSOAL</v>
      </c>
      <c r="G4713" s="4" t="s">
        <v>124</v>
      </c>
      <c r="H4713" s="1">
        <v>2400</v>
      </c>
    </row>
    <row r="4714" spans="2:8" x14ac:dyDescent="0.2">
      <c r="B4714" t="str">
        <f>VLOOKUP(G4714,PC!B:D,3,FALSE)</f>
        <v>SERV.TERCEIROS</v>
      </c>
      <c r="C4714" s="22">
        <v>2024</v>
      </c>
      <c r="D4714" t="s">
        <v>113</v>
      </c>
      <c r="F4714" t="str">
        <f>VLOOKUP(G4714,PC!B:D,2,FALSE)</f>
        <v>SERV.TERCEIROS</v>
      </c>
      <c r="G4714" s="4" t="s">
        <v>60</v>
      </c>
      <c r="H4714" s="1">
        <v>410</v>
      </c>
    </row>
    <row r="4715" spans="2:8" x14ac:dyDescent="0.2">
      <c r="B4715" t="str">
        <f>VLOOKUP(G4715,PC!B:D,3,FALSE)</f>
        <v>SERV.TERCEIROS</v>
      </c>
      <c r="C4715" s="22">
        <v>2024</v>
      </c>
      <c r="D4715" t="s">
        <v>113</v>
      </c>
      <c r="F4715" t="str">
        <f>VLOOKUP(G4715,PC!B:D,2,FALSE)</f>
        <v>SERV.TERCEIROS</v>
      </c>
      <c r="G4715" s="4" t="s">
        <v>123</v>
      </c>
      <c r="H4715" s="1">
        <v>190</v>
      </c>
    </row>
    <row r="4716" spans="2:8" x14ac:dyDescent="0.2">
      <c r="B4716" t="str">
        <f>VLOOKUP(G4716,PC!B:D,3,FALSE)</f>
        <v>RECEITA</v>
      </c>
      <c r="C4716" s="22">
        <v>2024</v>
      </c>
      <c r="D4716" t="s">
        <v>44</v>
      </c>
      <c r="F4716" t="str">
        <f>VLOOKUP(G4716,PC!B:D,2,FALSE)</f>
        <v>RECEITA</v>
      </c>
      <c r="G4716" s="4" t="s">
        <v>54</v>
      </c>
      <c r="H4716" s="1">
        <f>800+40+30+33+166+2000+82+20+300+200+316.8+48+1400+1150+215+1000+350+1600+1150+2200+200</f>
        <v>13300.8</v>
      </c>
    </row>
    <row r="4717" spans="2:8" x14ac:dyDescent="0.2">
      <c r="B4717" t="str">
        <f>VLOOKUP(G4717,PC!B:D,3,FALSE)</f>
        <v>DESPESA PESSOAL</v>
      </c>
      <c r="C4717" s="22">
        <v>2024</v>
      </c>
      <c r="D4717" t="s">
        <v>44</v>
      </c>
      <c r="F4717" t="str">
        <f>VLOOKUP(G4717,PC!B:D,2,FALSE)</f>
        <v>DESPESA PESSOAL</v>
      </c>
      <c r="G4717" s="4" t="s">
        <v>68</v>
      </c>
      <c r="H4717" s="1">
        <v>40</v>
      </c>
    </row>
    <row r="4718" spans="2:8" x14ac:dyDescent="0.2">
      <c r="B4718" t="str">
        <f>VLOOKUP(G4718,PC!B:D,3,FALSE)</f>
        <v>RECEITAS NÃO OPERACIONAIS</v>
      </c>
      <c r="C4718" s="22">
        <v>2024</v>
      </c>
      <c r="D4718" t="s">
        <v>44</v>
      </c>
      <c r="F4718" t="str">
        <f>VLOOKUP(G4718,PC!B:D,2,FALSE)</f>
        <v>EMPRESTIMO</v>
      </c>
      <c r="G4718" s="4" t="s">
        <v>71</v>
      </c>
      <c r="H4718" s="1">
        <v>30</v>
      </c>
    </row>
    <row r="4719" spans="2:8" x14ac:dyDescent="0.2">
      <c r="B4719" t="str">
        <f>VLOOKUP(G4719,PC!B:D,3,FALSE)</f>
        <v>CPV</v>
      </c>
      <c r="C4719" s="22">
        <v>2024</v>
      </c>
      <c r="D4719" t="s">
        <v>44</v>
      </c>
      <c r="F4719" t="str">
        <f>VLOOKUP(G4719,PC!B:D,2,FALSE)</f>
        <v>COMIDA</v>
      </c>
      <c r="G4719" s="4" t="s">
        <v>146</v>
      </c>
      <c r="H4719" s="1">
        <v>33</v>
      </c>
    </row>
    <row r="4720" spans="2:8" x14ac:dyDescent="0.2">
      <c r="B4720" t="str">
        <f>VLOOKUP(G4720,PC!B:D,3,FALSE)</f>
        <v>CPV</v>
      </c>
      <c r="C4720" s="22">
        <v>2024</v>
      </c>
      <c r="D4720" t="s">
        <v>44</v>
      </c>
      <c r="F4720" t="str">
        <f>VLOOKUP(G4720,PC!B:D,2,FALSE)</f>
        <v>COMIDA</v>
      </c>
      <c r="G4720" s="4" t="s">
        <v>18</v>
      </c>
      <c r="H4720" s="1">
        <v>82</v>
      </c>
    </row>
    <row r="4721" spans="2:8" x14ac:dyDescent="0.2">
      <c r="B4721" t="str">
        <f>VLOOKUP(G4721,PC!B:D,3,FALSE)</f>
        <v>CPV</v>
      </c>
      <c r="C4721" s="22">
        <v>2024</v>
      </c>
      <c r="D4721" t="s">
        <v>44</v>
      </c>
      <c r="F4721" t="str">
        <f>VLOOKUP(G4721,PC!B:D,2,FALSE)</f>
        <v>COMIDA</v>
      </c>
      <c r="G4721" s="4" t="s">
        <v>12</v>
      </c>
      <c r="H4721" s="1">
        <v>48</v>
      </c>
    </row>
    <row r="4722" spans="2:8" x14ac:dyDescent="0.2">
      <c r="B4722" t="str">
        <f>VLOOKUP(G4722,PC!B:D,3,FALSE)</f>
        <v>CPV</v>
      </c>
      <c r="C4722" s="22">
        <v>2024</v>
      </c>
      <c r="D4722" t="s">
        <v>44</v>
      </c>
      <c r="F4722" t="str">
        <f>VLOOKUP(G4722,PC!B:D,2,FALSE)</f>
        <v>COMIDA</v>
      </c>
      <c r="G4722" s="4" t="s">
        <v>12</v>
      </c>
      <c r="H4722" s="1">
        <v>215</v>
      </c>
    </row>
    <row r="4723" spans="2:8" x14ac:dyDescent="0.2">
      <c r="B4723" t="str">
        <f>VLOOKUP(G4723,PC!B:D,3,FALSE)</f>
        <v>DESPESA PESSOAL</v>
      </c>
      <c r="C4723" s="22">
        <v>2024</v>
      </c>
      <c r="D4723" t="s">
        <v>44</v>
      </c>
      <c r="F4723" t="str">
        <f>VLOOKUP(G4723,PC!B:D,2,FALSE)</f>
        <v>DESPESA PESSOAL</v>
      </c>
      <c r="G4723" s="4" t="s">
        <v>56</v>
      </c>
      <c r="H4723" s="1">
        <v>350</v>
      </c>
    </row>
    <row r="4724" spans="2:8" x14ac:dyDescent="0.2">
      <c r="B4724" t="str">
        <f>VLOOKUP(G4724,PC!B:D,3,FALSE)</f>
        <v>RECEITA</v>
      </c>
      <c r="C4724" s="22">
        <v>2024</v>
      </c>
      <c r="D4724" t="s">
        <v>44</v>
      </c>
      <c r="F4724" t="str">
        <f>VLOOKUP(G4724,PC!B:D,2,FALSE)</f>
        <v>RECEITA</v>
      </c>
      <c r="G4724" s="4" t="s">
        <v>54</v>
      </c>
      <c r="H4724" s="1">
        <f>338+1600+650+200+64+300+1400+41+45+35+800+289+290+1050+200+345+96+1100+88+350+140+1600+152+950+44+30+20+20</f>
        <v>12237</v>
      </c>
    </row>
    <row r="4725" spans="2:8" x14ac:dyDescent="0.2">
      <c r="B4725" t="e">
        <f>VLOOKUP(G4725,PC!B:D,3,FALSE)</f>
        <v>#N/A</v>
      </c>
      <c r="C4725" s="22">
        <v>2024</v>
      </c>
      <c r="D4725" t="s">
        <v>44</v>
      </c>
      <c r="F4725" t="e">
        <f>VLOOKUP(G4725,PC!B:D,2,FALSE)</f>
        <v>#N/A</v>
      </c>
      <c r="G4725" s="4" t="s">
        <v>231</v>
      </c>
      <c r="H4725" s="1">
        <v>64</v>
      </c>
    </row>
    <row r="4726" spans="2:8" x14ac:dyDescent="0.2">
      <c r="B4726" t="str">
        <f>VLOOKUP(G4726,PC!B:D,3,FALSE)</f>
        <v>CPV</v>
      </c>
      <c r="C4726" s="22">
        <v>2024</v>
      </c>
      <c r="D4726" t="s">
        <v>44</v>
      </c>
      <c r="F4726" t="str">
        <f>VLOOKUP(G4726,PC!B:D,2,FALSE)</f>
        <v>COMIDA</v>
      </c>
      <c r="G4726" s="4" t="s">
        <v>12</v>
      </c>
      <c r="H4726" s="1">
        <v>41</v>
      </c>
    </row>
    <row r="4727" spans="2:8" x14ac:dyDescent="0.2">
      <c r="B4727" t="str">
        <f>VLOOKUP(G4727,PC!B:D,3,FALSE)</f>
        <v>CPV</v>
      </c>
      <c r="C4727" s="22">
        <v>2024</v>
      </c>
      <c r="D4727" t="s">
        <v>44</v>
      </c>
      <c r="F4727" t="str">
        <f>VLOOKUP(G4727,PC!B:D,2,FALSE)</f>
        <v>COMIDA</v>
      </c>
      <c r="G4727" s="4" t="s">
        <v>18</v>
      </c>
      <c r="H4727" s="1">
        <v>41</v>
      </c>
    </row>
    <row r="4728" spans="2:8" x14ac:dyDescent="0.2">
      <c r="B4728" t="str">
        <f>VLOOKUP(G4728,PC!B:D,3,FALSE)</f>
        <v>CPV</v>
      </c>
      <c r="C4728" s="22">
        <v>2024</v>
      </c>
      <c r="D4728" t="s">
        <v>44</v>
      </c>
      <c r="F4728" t="str">
        <f>VLOOKUP(G4728,PC!B:D,2,FALSE)</f>
        <v>COMIDA</v>
      </c>
      <c r="G4728" s="4" t="s">
        <v>33</v>
      </c>
      <c r="H4728" s="1">
        <v>290</v>
      </c>
    </row>
    <row r="4729" spans="2:8" x14ac:dyDescent="0.2">
      <c r="B4729" t="str">
        <f>VLOOKUP(G4729,PC!B:D,3,FALSE)</f>
        <v>RECEITAS NÃO OPERACIONAIS</v>
      </c>
      <c r="C4729" s="22">
        <v>2024</v>
      </c>
      <c r="D4729" t="s">
        <v>44</v>
      </c>
      <c r="F4729" t="str">
        <f>VLOOKUP(G4729,PC!B:D,2,FALSE)</f>
        <v>EMPRESTIMO</v>
      </c>
      <c r="G4729" s="4" t="s">
        <v>71</v>
      </c>
      <c r="H4729" s="1">
        <v>200</v>
      </c>
    </row>
    <row r="4730" spans="2:8" x14ac:dyDescent="0.2">
      <c r="B4730" t="str">
        <f>VLOOKUP(G4730,PC!B:D,3,FALSE)</f>
        <v>RECEITA</v>
      </c>
      <c r="C4730" s="22">
        <v>2024</v>
      </c>
      <c r="D4730" t="s">
        <v>44</v>
      </c>
      <c r="F4730" t="str">
        <f>VLOOKUP(G4730,PC!B:D,2,FALSE)</f>
        <v>RECEITA</v>
      </c>
      <c r="G4730" s="4" t="s">
        <v>59</v>
      </c>
      <c r="H4730" s="1">
        <v>3090</v>
      </c>
    </row>
    <row r="4731" spans="2:8" x14ac:dyDescent="0.2">
      <c r="B4731" t="str">
        <f>VLOOKUP(G4731,PC!B:D,3,FALSE)</f>
        <v>DESPESA OPERACIONAL</v>
      </c>
      <c r="C4731" s="22">
        <v>2024</v>
      </c>
      <c r="D4731" t="s">
        <v>44</v>
      </c>
      <c r="F4731" t="str">
        <f>VLOOKUP(G4731,PC!B:D,2,FALSE)</f>
        <v>DESPESA OPERACIONAL</v>
      </c>
      <c r="G4731" s="4" t="s">
        <v>70</v>
      </c>
      <c r="H4731" s="1">
        <v>96</v>
      </c>
    </row>
    <row r="4732" spans="2:8" x14ac:dyDescent="0.2">
      <c r="B4732" t="str">
        <f>VLOOKUP(G4732,PC!B:D,3,FALSE)</f>
        <v>CPV</v>
      </c>
      <c r="C4732" s="22">
        <v>2024</v>
      </c>
      <c r="D4732" t="s">
        <v>44</v>
      </c>
      <c r="F4732" t="str">
        <f>VLOOKUP(G4732,PC!B:D,2,FALSE)</f>
        <v>COMIDA</v>
      </c>
      <c r="G4732" s="4" t="s">
        <v>12</v>
      </c>
      <c r="H4732" s="1">
        <v>350</v>
      </c>
    </row>
    <row r="4733" spans="2:8" x14ac:dyDescent="0.2">
      <c r="B4733" t="str">
        <f>VLOOKUP(G4733,PC!B:D,3,FALSE)</f>
        <v>RECEITA</v>
      </c>
      <c r="C4733" s="22">
        <v>2024</v>
      </c>
      <c r="D4733" t="s">
        <v>44</v>
      </c>
      <c r="F4733" t="str">
        <f>VLOOKUP(G4733,PC!B:D,2,FALSE)</f>
        <v>RECEITA</v>
      </c>
      <c r="G4733" s="4" t="s">
        <v>54</v>
      </c>
      <c r="H4733" s="1">
        <f>100+33+1450+250+1700+104+400+83+500+211+1000+300+1200+200+60+850+350+1500+900+3250+800+950+45+1000+500+90+650</f>
        <v>18476</v>
      </c>
    </row>
    <row r="4734" spans="2:8" x14ac:dyDescent="0.2">
      <c r="B4734" t="str">
        <f>VLOOKUP(G4734,PC!B:D,3,FALSE)</f>
        <v>CPV</v>
      </c>
      <c r="C4734" s="22">
        <v>2024</v>
      </c>
      <c r="D4734" t="s">
        <v>44</v>
      </c>
      <c r="F4734" t="str">
        <f>VLOOKUP(G4734,PC!B:D,2,FALSE)</f>
        <v>COMIDA</v>
      </c>
      <c r="G4734" s="4" t="s">
        <v>146</v>
      </c>
      <c r="H4734" s="1">
        <v>35</v>
      </c>
    </row>
    <row r="4735" spans="2:8" x14ac:dyDescent="0.2">
      <c r="B4735" t="str">
        <f>VLOOKUP(G4735,PC!B:D,3,FALSE)</f>
        <v>CPV</v>
      </c>
      <c r="C4735" s="22">
        <v>2024</v>
      </c>
      <c r="D4735" t="s">
        <v>44</v>
      </c>
      <c r="F4735" t="str">
        <f>VLOOKUP(G4735,PC!B:D,2,FALSE)</f>
        <v>COMIDA</v>
      </c>
      <c r="G4735" s="4" t="s">
        <v>18</v>
      </c>
      <c r="H4735" s="1">
        <v>83</v>
      </c>
    </row>
    <row r="4736" spans="2:8" x14ac:dyDescent="0.2">
      <c r="B4736" t="str">
        <f>VLOOKUP(G4736,PC!B:D,3,FALSE)</f>
        <v>DESPESA PESSOAL</v>
      </c>
      <c r="C4736" s="22">
        <v>2024</v>
      </c>
      <c r="D4736" t="s">
        <v>44</v>
      </c>
      <c r="F4736" t="str">
        <f>VLOOKUP(G4736,PC!B:D,2,FALSE)</f>
        <v>DESPESA PESSOAL</v>
      </c>
      <c r="G4736" s="4" t="s">
        <v>56</v>
      </c>
      <c r="H4736" s="1">
        <v>350</v>
      </c>
    </row>
    <row r="4737" spans="2:8" x14ac:dyDescent="0.2">
      <c r="B4737" t="e">
        <f>VLOOKUP(G4737,PC!B:D,3,FALSE)</f>
        <v>#N/A</v>
      </c>
      <c r="C4737" s="22">
        <v>2024</v>
      </c>
      <c r="D4737" t="s">
        <v>44</v>
      </c>
      <c r="F4737" t="e">
        <f>VLOOKUP(G4737,PC!B:D,2,FALSE)</f>
        <v>#N/A</v>
      </c>
      <c r="G4737" s="4" t="s">
        <v>231</v>
      </c>
      <c r="H4737" s="1">
        <v>45</v>
      </c>
    </row>
    <row r="4738" spans="2:8" x14ac:dyDescent="0.2">
      <c r="B4738" t="str">
        <f>VLOOKUP(G4738,PC!B:D,3,FALSE)</f>
        <v>RECEITA</v>
      </c>
      <c r="C4738" s="22">
        <v>2024</v>
      </c>
      <c r="D4738" t="s">
        <v>44</v>
      </c>
      <c r="F4738" t="str">
        <f>VLOOKUP(G4738,PC!B:D,2,FALSE)</f>
        <v>RECEITA</v>
      </c>
      <c r="G4738" s="4" t="s">
        <v>54</v>
      </c>
      <c r="H4738" s="1">
        <f>1000+100+45+58+300+46+550+800+45+44+50+137+70+30+32+250+1700+110+216+55+103+60+1400+40+1250+144+192</f>
        <v>8827</v>
      </c>
    </row>
    <row r="4739" spans="2:8" x14ac:dyDescent="0.2">
      <c r="B4739" t="str">
        <f>VLOOKUP(G4739,PC!B:D,3,FALSE)</f>
        <v>CPV</v>
      </c>
      <c r="C4739" s="22">
        <v>2024</v>
      </c>
      <c r="D4739" t="s">
        <v>44</v>
      </c>
      <c r="F4739" t="str">
        <f>VLOOKUP(G4739,PC!B:D,2,FALSE)</f>
        <v>COMIDA</v>
      </c>
      <c r="G4739" s="4" t="s">
        <v>146</v>
      </c>
      <c r="H4739" s="1">
        <v>32</v>
      </c>
    </row>
    <row r="4740" spans="2:8" x14ac:dyDescent="0.2">
      <c r="B4740" t="str">
        <f>VLOOKUP(G4740,PC!B:D,3,FALSE)</f>
        <v>DESPESA PESSOAL</v>
      </c>
      <c r="C4740" s="22">
        <v>2024</v>
      </c>
      <c r="D4740" t="s">
        <v>44</v>
      </c>
      <c r="F4740" t="str">
        <f>VLOOKUP(G4740,PC!B:D,2,FALSE)</f>
        <v>DESPESA PESSOAL</v>
      </c>
      <c r="G4740" s="4" t="s">
        <v>68</v>
      </c>
      <c r="H4740" s="1">
        <v>50</v>
      </c>
    </row>
    <row r="4741" spans="2:8" x14ac:dyDescent="0.2">
      <c r="B4741" t="str">
        <f>VLOOKUP(G4741,PC!B:D,3,FALSE)</f>
        <v>CPV</v>
      </c>
      <c r="C4741" s="22">
        <v>2024</v>
      </c>
      <c r="D4741" t="s">
        <v>44</v>
      </c>
      <c r="F4741" t="str">
        <f>VLOOKUP(G4741,PC!B:D,2,FALSE)</f>
        <v>OUTROS</v>
      </c>
      <c r="G4741" s="4" t="s">
        <v>37</v>
      </c>
      <c r="H4741" s="1">
        <v>70</v>
      </c>
    </row>
    <row r="4742" spans="2:8" x14ac:dyDescent="0.2">
      <c r="B4742" t="str">
        <f>VLOOKUP(G4742,PC!B:D,3,FALSE)</f>
        <v>DESPESA PESSOAL</v>
      </c>
      <c r="C4742" s="22">
        <v>2024</v>
      </c>
      <c r="D4742" t="s">
        <v>44</v>
      </c>
      <c r="F4742" t="str">
        <f>VLOOKUP(G4742,PC!B:D,2,FALSE)</f>
        <v>DESPESA PESSOAL</v>
      </c>
      <c r="G4742" s="4" t="s">
        <v>68</v>
      </c>
      <c r="H4742" s="1">
        <v>30</v>
      </c>
    </row>
    <row r="4743" spans="2:8" x14ac:dyDescent="0.2">
      <c r="B4743" t="str">
        <f>VLOOKUP(G4743,PC!B:D,3,FALSE)</f>
        <v>DESPESA OPERACIONAL</v>
      </c>
      <c r="C4743" s="22">
        <v>2024</v>
      </c>
      <c r="D4743" t="s">
        <v>44</v>
      </c>
      <c r="F4743" t="str">
        <f>VLOOKUP(G4743,PC!B:D,2,FALSE)</f>
        <v>DESPESA OPERACIONAL</v>
      </c>
      <c r="G4743" s="4" t="s">
        <v>70</v>
      </c>
      <c r="H4743" s="1">
        <v>58</v>
      </c>
    </row>
    <row r="4744" spans="2:8" x14ac:dyDescent="0.2">
      <c r="B4744" t="str">
        <f>VLOOKUP(G4744,PC!B:D,3,FALSE)</f>
        <v>CPV</v>
      </c>
      <c r="C4744" s="22">
        <v>2024</v>
      </c>
      <c r="D4744" t="s">
        <v>44</v>
      </c>
      <c r="F4744" t="str">
        <f>VLOOKUP(G4744,PC!B:D,2,FALSE)</f>
        <v>COMIDA</v>
      </c>
      <c r="G4744" s="4" t="s">
        <v>18</v>
      </c>
      <c r="H4744" s="1">
        <v>90</v>
      </c>
    </row>
    <row r="4745" spans="2:8" x14ac:dyDescent="0.2">
      <c r="B4745" t="str">
        <f>VLOOKUP(G4745,PC!B:D,3,FALSE)</f>
        <v>RECEITA</v>
      </c>
      <c r="C4745" s="22">
        <v>2024</v>
      </c>
      <c r="D4745" t="s">
        <v>44</v>
      </c>
      <c r="F4745" t="str">
        <f>VLOOKUP(G4745,PC!B:D,2,FALSE)</f>
        <v>RECEITA</v>
      </c>
      <c r="G4745" s="4" t="s">
        <v>182</v>
      </c>
      <c r="H4745" s="1">
        <f>600+350+800+900+2100+200+600+500+65+31.5+1600+150+300+250+47+1300+240+30+100+56+111+1200+45+100+30</f>
        <v>11705.5</v>
      </c>
    </row>
    <row r="4746" spans="2:8" x14ac:dyDescent="0.2">
      <c r="B4746" t="str">
        <f>VLOOKUP(G4746,PC!B:D,3,FALSE)</f>
        <v>DESPESA PESSOAL</v>
      </c>
      <c r="C4746" s="22">
        <v>2024</v>
      </c>
      <c r="D4746" t="s">
        <v>44</v>
      </c>
      <c r="F4746" t="str">
        <f>VLOOKUP(G4746,PC!B:D,2,FALSE)</f>
        <v>DESPESA PESSOAL</v>
      </c>
      <c r="G4746" s="4" t="s">
        <v>56</v>
      </c>
      <c r="H4746" s="1">
        <v>350</v>
      </c>
    </row>
    <row r="4747" spans="2:8" x14ac:dyDescent="0.2">
      <c r="B4747" t="e">
        <f>VLOOKUP(G4747,PC!B:D,3,FALSE)</f>
        <v>#N/A</v>
      </c>
      <c r="C4747" s="22">
        <v>2024</v>
      </c>
      <c r="D4747" t="s">
        <v>44</v>
      </c>
      <c r="F4747" t="e">
        <f>VLOOKUP(G4747,PC!B:D,2,FALSE)</f>
        <v>#N/A</v>
      </c>
      <c r="G4747" s="4" t="s">
        <v>231</v>
      </c>
      <c r="H4747" s="1">
        <v>65</v>
      </c>
    </row>
    <row r="4748" spans="2:8" x14ac:dyDescent="0.2">
      <c r="B4748" t="str">
        <f>VLOOKUP(G4748,PC!B:D,3,FALSE)</f>
        <v>DESPESA PESSOAL</v>
      </c>
      <c r="C4748" s="22">
        <v>2024</v>
      </c>
      <c r="D4748" t="s">
        <v>44</v>
      </c>
      <c r="F4748" t="str">
        <f>VLOOKUP(G4748,PC!B:D,2,FALSE)</f>
        <v>DESPESA PESSOAL</v>
      </c>
      <c r="G4748" s="4" t="s">
        <v>56</v>
      </c>
      <c r="H4748" s="1">
        <v>150</v>
      </c>
    </row>
    <row r="4749" spans="2:8" x14ac:dyDescent="0.2">
      <c r="B4749" t="str">
        <f>VLOOKUP(G4749,PC!B:D,3,FALSE)</f>
        <v>DESPESA PESSOAL</v>
      </c>
      <c r="C4749" s="22">
        <v>2024</v>
      </c>
      <c r="D4749" t="s">
        <v>44</v>
      </c>
      <c r="F4749" t="str">
        <f>VLOOKUP(G4749,PC!B:D,2,FALSE)</f>
        <v>DESPESA PESSOAL</v>
      </c>
      <c r="G4749" s="4" t="s">
        <v>68</v>
      </c>
      <c r="H4749" s="1">
        <v>47</v>
      </c>
    </row>
    <row r="4750" spans="2:8" x14ac:dyDescent="0.2">
      <c r="B4750" t="str">
        <f>VLOOKUP(G4750,PC!B:D,3,FALSE)</f>
        <v>DESPESA OPERACIONAL</v>
      </c>
      <c r="C4750" s="22">
        <v>2024</v>
      </c>
      <c r="D4750" t="s">
        <v>44</v>
      </c>
      <c r="F4750" t="str">
        <f>VLOOKUP(G4750,PC!B:D,2,FALSE)</f>
        <v>DESPESA OPERACIONAL</v>
      </c>
      <c r="G4750" s="4" t="s">
        <v>70</v>
      </c>
      <c r="H4750" s="1">
        <v>30</v>
      </c>
    </row>
    <row r="4751" spans="2:8" x14ac:dyDescent="0.2">
      <c r="B4751" t="str">
        <f>VLOOKUP(G4751,PC!B:D,3,FALSE)</f>
        <v>DESPESA PESSOAL</v>
      </c>
      <c r="C4751" s="22">
        <v>2024</v>
      </c>
      <c r="D4751" t="s">
        <v>44</v>
      </c>
      <c r="F4751" t="str">
        <f>VLOOKUP(G4751,PC!B:D,2,FALSE)</f>
        <v>DESPESA PESSOAL</v>
      </c>
      <c r="G4751" s="4" t="s">
        <v>68</v>
      </c>
      <c r="H4751" s="1">
        <v>30</v>
      </c>
    </row>
    <row r="4752" spans="2:8" x14ac:dyDescent="0.2">
      <c r="B4752" t="str">
        <f>VLOOKUP(G4752,PC!B:D,3,FALSE)</f>
        <v>CPV</v>
      </c>
      <c r="C4752" s="22">
        <v>2024</v>
      </c>
      <c r="D4752" t="s">
        <v>44</v>
      </c>
      <c r="F4752" t="str">
        <f>VLOOKUP(G4752,PC!B:D,2,FALSE)</f>
        <v>COMIDA</v>
      </c>
      <c r="G4752" s="4" t="s">
        <v>12</v>
      </c>
      <c r="H4752" s="1">
        <v>60</v>
      </c>
    </row>
    <row r="4753" spans="2:8" x14ac:dyDescent="0.2">
      <c r="B4753" t="str">
        <f>VLOOKUP(G4753,PC!B:D,3,FALSE)</f>
        <v>RECEITA</v>
      </c>
      <c r="C4753" s="22">
        <v>2024</v>
      </c>
      <c r="D4753" t="s">
        <v>44</v>
      </c>
      <c r="F4753" t="str">
        <f>VLOOKUP(G4753,PC!B:D,2,FALSE)</f>
        <v>RECEITA</v>
      </c>
      <c r="G4753" s="4" t="s">
        <v>54</v>
      </c>
      <c r="H4753" s="1">
        <f>33+346+1400+64+125+113+67+48+1300+80+1100+215+200+600+350+1600+1250+1050+1500+102+1100+850+45+1000+45+400+1000</f>
        <v>15983</v>
      </c>
    </row>
    <row r="4754" spans="2:8" x14ac:dyDescent="0.2">
      <c r="B4754" t="str">
        <f>VLOOKUP(G4754,PC!B:D,3,FALSE)</f>
        <v>CPV</v>
      </c>
      <c r="C4754" s="22">
        <v>2024</v>
      </c>
      <c r="D4754" t="s">
        <v>44</v>
      </c>
      <c r="F4754" t="str">
        <f>VLOOKUP(G4754,PC!B:D,2,FALSE)</f>
        <v>COMIDA</v>
      </c>
      <c r="G4754" s="4" t="s">
        <v>146</v>
      </c>
      <c r="H4754" s="1">
        <v>33</v>
      </c>
    </row>
    <row r="4755" spans="2:8" x14ac:dyDescent="0.2">
      <c r="B4755" t="str">
        <f>VLOOKUP(G4755,PC!B:D,3,FALSE)</f>
        <v>CPV</v>
      </c>
      <c r="C4755" s="22">
        <v>2024</v>
      </c>
      <c r="D4755" t="s">
        <v>44</v>
      </c>
      <c r="F4755" t="str">
        <f>VLOOKUP(G4755,PC!B:D,2,FALSE)</f>
        <v>COMIDA</v>
      </c>
      <c r="G4755" s="4" t="s">
        <v>12</v>
      </c>
      <c r="H4755" s="1">
        <v>65</v>
      </c>
    </row>
    <row r="4756" spans="2:8" x14ac:dyDescent="0.2">
      <c r="B4756" t="str">
        <f>VLOOKUP(G4756,PC!B:D,3,FALSE)</f>
        <v>CPV</v>
      </c>
      <c r="C4756" s="22">
        <v>2024</v>
      </c>
      <c r="D4756" t="s">
        <v>44</v>
      </c>
      <c r="F4756" t="str">
        <f>VLOOKUP(G4756,PC!B:D,2,FALSE)</f>
        <v>OUTROS</v>
      </c>
      <c r="G4756" s="4" t="s">
        <v>37</v>
      </c>
      <c r="H4756" s="1">
        <v>80</v>
      </c>
    </row>
    <row r="4757" spans="2:8" x14ac:dyDescent="0.2">
      <c r="B4757" t="str">
        <f>VLOOKUP(G4757,PC!B:D,3,FALSE)</f>
        <v>CPV</v>
      </c>
      <c r="C4757" s="22">
        <v>2024</v>
      </c>
      <c r="D4757" t="s">
        <v>44</v>
      </c>
      <c r="F4757" t="str">
        <f>VLOOKUP(G4757,PC!B:D,2,FALSE)</f>
        <v>COMIDA</v>
      </c>
      <c r="G4757" s="4" t="s">
        <v>12</v>
      </c>
      <c r="H4757" s="1">
        <v>215</v>
      </c>
    </row>
    <row r="4758" spans="2:8" x14ac:dyDescent="0.2">
      <c r="B4758" t="str">
        <f>VLOOKUP(G4758,PC!B:D,3,FALSE)</f>
        <v>DESPESA PESSOAL</v>
      </c>
      <c r="C4758" s="22">
        <v>2024</v>
      </c>
      <c r="D4758" t="s">
        <v>44</v>
      </c>
      <c r="F4758" t="str">
        <f>VLOOKUP(G4758,PC!B:D,2,FALSE)</f>
        <v>DESPESA PESSOAL</v>
      </c>
      <c r="G4758" s="4" t="s">
        <v>68</v>
      </c>
      <c r="H4758" s="1">
        <v>200</v>
      </c>
    </row>
    <row r="4759" spans="2:8" x14ac:dyDescent="0.2">
      <c r="B4759" t="str">
        <f>VLOOKUP(G4759,PC!B:D,3,FALSE)</f>
        <v>DESPESA PESSOAL</v>
      </c>
      <c r="C4759" s="22">
        <v>2024</v>
      </c>
      <c r="D4759" t="s">
        <v>44</v>
      </c>
      <c r="F4759" t="str">
        <f>VLOOKUP(G4759,PC!B:D,2,FALSE)</f>
        <v>DESPESA PESSOAL</v>
      </c>
      <c r="G4759" s="4" t="s">
        <v>56</v>
      </c>
      <c r="H4759" s="1">
        <v>350</v>
      </c>
    </row>
    <row r="4760" spans="2:8" x14ac:dyDescent="0.2">
      <c r="B4760" t="e">
        <f>VLOOKUP(G4760,PC!B:D,3,FALSE)</f>
        <v>#N/A</v>
      </c>
      <c r="C4760" s="22">
        <v>2024</v>
      </c>
      <c r="D4760" t="s">
        <v>44</v>
      </c>
      <c r="F4760" t="e">
        <f>VLOOKUP(G4760,PC!B:D,2,FALSE)</f>
        <v>#N/A</v>
      </c>
      <c r="G4760" s="4" t="s">
        <v>231</v>
      </c>
      <c r="H4760" s="1">
        <v>45</v>
      </c>
    </row>
    <row r="4761" spans="2:8" x14ac:dyDescent="0.2">
      <c r="B4761" t="str">
        <f>VLOOKUP(G4761,PC!B:D,3,FALSE)</f>
        <v>RECEITA</v>
      </c>
      <c r="C4761" s="22">
        <v>2024</v>
      </c>
      <c r="D4761" t="s">
        <v>44</v>
      </c>
      <c r="F4761" t="str">
        <f>VLOOKUP(G4761,PC!B:D,2,FALSE)</f>
        <v>RECEITA</v>
      </c>
      <c r="G4761" s="4" t="s">
        <v>54</v>
      </c>
      <c r="H4761" s="1">
        <f>110+300+102+50+1550+34+50+30+30+1300+308+550+1200+225.25+36+1000+195+1300+500+850</f>
        <v>9720.25</v>
      </c>
    </row>
    <row r="4762" spans="2:8" x14ac:dyDescent="0.2">
      <c r="B4762" t="str">
        <f>VLOOKUP(G4762,PC!B:D,3,FALSE)</f>
        <v>DESPESA OPERACIONAL</v>
      </c>
      <c r="C4762" s="22">
        <v>2024</v>
      </c>
      <c r="D4762" t="s">
        <v>44</v>
      </c>
      <c r="F4762" t="str">
        <f>VLOOKUP(G4762,PC!B:D,2,FALSE)</f>
        <v>DESPESA OPERACIONAL</v>
      </c>
      <c r="G4762" s="4" t="s">
        <v>70</v>
      </c>
      <c r="H4762" s="1">
        <v>110</v>
      </c>
    </row>
    <row r="4763" spans="2:8" x14ac:dyDescent="0.2">
      <c r="B4763" t="str">
        <f>VLOOKUP(G4763,PC!B:D,3,FALSE)</f>
        <v>DESPESA PESSOAL</v>
      </c>
      <c r="C4763" s="22">
        <v>2024</v>
      </c>
      <c r="D4763" t="s">
        <v>44</v>
      </c>
      <c r="F4763" t="str">
        <f>VLOOKUP(G4763,PC!B:D,2,FALSE)</f>
        <v>DESPESA PESSOAL</v>
      </c>
      <c r="G4763" s="4" t="s">
        <v>68</v>
      </c>
      <c r="H4763" s="1">
        <v>50</v>
      </c>
    </row>
    <row r="4764" spans="2:8" x14ac:dyDescent="0.2">
      <c r="B4764" t="str">
        <f>VLOOKUP(G4764,PC!B:D,3,FALSE)</f>
        <v>RECEITAS NÃO OPERACIONAIS</v>
      </c>
      <c r="C4764" s="22">
        <v>2024</v>
      </c>
      <c r="D4764" t="s">
        <v>44</v>
      </c>
      <c r="F4764" t="str">
        <f>VLOOKUP(G4764,PC!B:D,2,FALSE)</f>
        <v>EMPRESTIMO</v>
      </c>
      <c r="G4764" s="4" t="s">
        <v>71</v>
      </c>
      <c r="H4764" s="1">
        <v>50</v>
      </c>
    </row>
    <row r="4765" spans="2:8" x14ac:dyDescent="0.2">
      <c r="B4765" t="str">
        <f>VLOOKUP(G4765,PC!B:D,3,FALSE)</f>
        <v>DESPESA PESSOAL</v>
      </c>
      <c r="C4765" s="22">
        <v>2024</v>
      </c>
      <c r="D4765" t="s">
        <v>44</v>
      </c>
      <c r="F4765" t="str">
        <f>VLOOKUP(G4765,PC!B:D,2,FALSE)</f>
        <v>DESPESA PESSOAL</v>
      </c>
      <c r="G4765" s="4" t="s">
        <v>68</v>
      </c>
      <c r="H4765" s="1">
        <v>60</v>
      </c>
    </row>
    <row r="4766" spans="2:8" x14ac:dyDescent="0.2">
      <c r="B4766" t="str">
        <f>VLOOKUP(G4766,PC!B:D,3,FALSE)</f>
        <v>CPV</v>
      </c>
      <c r="C4766" s="22">
        <v>2024</v>
      </c>
      <c r="D4766" t="s">
        <v>44</v>
      </c>
      <c r="F4766" t="str">
        <f>VLOOKUP(G4766,PC!B:D,2,FALSE)</f>
        <v>COMIDA</v>
      </c>
      <c r="G4766" s="4" t="s">
        <v>12</v>
      </c>
      <c r="H4766" s="1">
        <v>36</v>
      </c>
    </row>
    <row r="4767" spans="2:8" x14ac:dyDescent="0.2">
      <c r="B4767" t="str">
        <f>VLOOKUP(G4767,PC!B:D,3,FALSE)</f>
        <v>CPV</v>
      </c>
      <c r="C4767" s="22">
        <v>2024</v>
      </c>
      <c r="D4767" t="s">
        <v>44</v>
      </c>
      <c r="F4767" t="str">
        <f>VLOOKUP(G4767,PC!B:D,2,FALSE)</f>
        <v>COMIDA</v>
      </c>
      <c r="G4767" s="4" t="s">
        <v>12</v>
      </c>
      <c r="H4767" s="1">
        <v>195</v>
      </c>
    </row>
    <row r="4768" spans="2:8" x14ac:dyDescent="0.2">
      <c r="B4768" t="str">
        <f>VLOOKUP(G4768,PC!B:D,3,FALSE)</f>
        <v>DESPESA OPERACIONAL</v>
      </c>
      <c r="C4768" s="22">
        <v>2024</v>
      </c>
      <c r="D4768" t="s">
        <v>44</v>
      </c>
      <c r="F4768" t="str">
        <f>VLOOKUP(G4768,PC!B:D,2,FALSE)</f>
        <v>DESPESA OPERACIONAL</v>
      </c>
      <c r="G4768" s="4" t="s">
        <v>73</v>
      </c>
      <c r="H4768" s="1">
        <f>325.25+625.12</f>
        <v>950.37</v>
      </c>
    </row>
    <row r="4769" spans="2:8" x14ac:dyDescent="0.2">
      <c r="B4769" t="str">
        <f>VLOOKUP(G4769,PC!B:D,3,FALSE)</f>
        <v>RECEITA</v>
      </c>
      <c r="C4769" s="22">
        <v>2024</v>
      </c>
      <c r="D4769" t="s">
        <v>44</v>
      </c>
      <c r="F4769" t="str">
        <f>VLOOKUP(G4769,PC!B:D,2,FALSE)</f>
        <v>RECEITA</v>
      </c>
      <c r="G4769" s="4" t="s">
        <v>64</v>
      </c>
      <c r="H4769" s="1">
        <f>6.95+13.38</f>
        <v>20.330000000000002</v>
      </c>
    </row>
    <row r="4770" spans="2:8" x14ac:dyDescent="0.2">
      <c r="B4770" t="str">
        <f>VLOOKUP(G4770,PC!B:D,3,FALSE)</f>
        <v>CPV</v>
      </c>
      <c r="C4770" s="22">
        <v>2024</v>
      </c>
      <c r="D4770" t="s">
        <v>44</v>
      </c>
      <c r="F4770" t="str">
        <f>VLOOKUP(G4770,PC!B:D,2,FALSE)</f>
        <v>COMIDA</v>
      </c>
      <c r="G4770" s="4" t="s">
        <v>155</v>
      </c>
      <c r="H4770" s="1">
        <v>500</v>
      </c>
    </row>
    <row r="4771" spans="2:8" x14ac:dyDescent="0.2">
      <c r="B4771" t="str">
        <f>VLOOKUP(G4771,PC!B:D,3,FALSE)</f>
        <v>CPV</v>
      </c>
      <c r="C4771" s="22">
        <v>2024</v>
      </c>
      <c r="D4771" t="s">
        <v>44</v>
      </c>
      <c r="F4771" t="str">
        <f>VLOOKUP(G4771,PC!B:D,2,FALSE)</f>
        <v>SOBREMESA</v>
      </c>
      <c r="G4771" s="4" t="s">
        <v>7</v>
      </c>
      <c r="H4771" s="1">
        <v>102</v>
      </c>
    </row>
    <row r="4772" spans="2:8" x14ac:dyDescent="0.2">
      <c r="B4772" t="str">
        <f>VLOOKUP(G4772,PC!B:D,3,FALSE)</f>
        <v>CPV</v>
      </c>
      <c r="C4772" s="22">
        <v>2024</v>
      </c>
      <c r="D4772" t="s">
        <v>44</v>
      </c>
      <c r="E4772" t="s">
        <v>19</v>
      </c>
      <c r="F4772" t="str">
        <f>VLOOKUP(G4772,PC!B:D,2,FALSE)</f>
        <v>OUTROS</v>
      </c>
      <c r="G4772" s="4" t="s">
        <v>37</v>
      </c>
      <c r="H4772" s="1">
        <v>668.68</v>
      </c>
    </row>
    <row r="4773" spans="2:8" x14ac:dyDescent="0.2">
      <c r="B4773" t="str">
        <f>VLOOKUP(G4773,PC!B:D,3,FALSE)</f>
        <v>CPV</v>
      </c>
      <c r="C4773" s="22">
        <v>2024</v>
      </c>
      <c r="D4773" t="s">
        <v>44</v>
      </c>
      <c r="F4773" t="str">
        <f>VLOOKUP(G4773,PC!B:D,2,FALSE)</f>
        <v>SOBREMESA</v>
      </c>
      <c r="G4773" s="4" t="s">
        <v>7</v>
      </c>
      <c r="H4773" s="1">
        <v>240</v>
      </c>
    </row>
    <row r="4774" spans="2:8" x14ac:dyDescent="0.2">
      <c r="B4774" t="str">
        <f>VLOOKUP(G4774,PC!B:D,3,FALSE)</f>
        <v>CPV</v>
      </c>
      <c r="C4774" s="22">
        <v>2024</v>
      </c>
      <c r="D4774" t="s">
        <v>44</v>
      </c>
      <c r="F4774" t="str">
        <f>VLOOKUP(G4774,PC!B:D,2,FALSE)</f>
        <v>COMIDA</v>
      </c>
      <c r="G4774" s="4" t="s">
        <v>12</v>
      </c>
      <c r="H4774" s="1">
        <v>400</v>
      </c>
    </row>
    <row r="4775" spans="2:8" x14ac:dyDescent="0.2">
      <c r="B4775" t="str">
        <f>VLOOKUP(G4775,PC!B:D,3,FALSE)</f>
        <v>CPV</v>
      </c>
      <c r="C4775" s="22">
        <v>2024</v>
      </c>
      <c r="D4775" t="s">
        <v>44</v>
      </c>
      <c r="F4775" t="str">
        <f>VLOOKUP(G4775,PC!B:D,2,FALSE)</f>
        <v>COMIDA</v>
      </c>
      <c r="G4775" s="4" t="s">
        <v>12</v>
      </c>
      <c r="H4775" s="1">
        <v>174.9</v>
      </c>
    </row>
    <row r="4776" spans="2:8" x14ac:dyDescent="0.2">
      <c r="B4776" t="str">
        <f>VLOOKUP(G4776,PC!B:D,3,FALSE)</f>
        <v>DESPESA OPERACIONAL</v>
      </c>
      <c r="C4776" s="22">
        <v>2024</v>
      </c>
      <c r="D4776" t="s">
        <v>44</v>
      </c>
      <c r="F4776" t="str">
        <f>VLOOKUP(G4776,PC!B:D,2,FALSE)</f>
        <v>DESPESA OPERACIONAL</v>
      </c>
      <c r="G4776" s="4" t="s">
        <v>70</v>
      </c>
      <c r="H4776" s="1">
        <v>130</v>
      </c>
    </row>
    <row r="4777" spans="2:8" x14ac:dyDescent="0.2">
      <c r="B4777" t="str">
        <f>VLOOKUP(G4777,PC!B:D,3,FALSE)</f>
        <v>CPV</v>
      </c>
      <c r="C4777" s="22">
        <v>2024</v>
      </c>
      <c r="D4777" t="s">
        <v>44</v>
      </c>
      <c r="E4777" t="s">
        <v>16</v>
      </c>
      <c r="F4777" t="str">
        <f>VLOOKUP(G4777,PC!B:D,2,FALSE)</f>
        <v>COMIDA</v>
      </c>
      <c r="G4777" s="4" t="s">
        <v>12</v>
      </c>
      <c r="H4777" s="1">
        <v>204.4</v>
      </c>
    </row>
    <row r="4778" spans="2:8" x14ac:dyDescent="0.2">
      <c r="B4778" t="str">
        <f>VLOOKUP(G4778,PC!B:D,3,FALSE)</f>
        <v>CPV</v>
      </c>
      <c r="C4778" s="22">
        <v>2024</v>
      </c>
      <c r="D4778" t="s">
        <v>44</v>
      </c>
      <c r="E4778" t="s">
        <v>228</v>
      </c>
      <c r="F4778" t="str">
        <f>VLOOKUP(G4778,PC!B:D,2,FALSE)</f>
        <v>COMIDA</v>
      </c>
      <c r="G4778" s="4" t="s">
        <v>12</v>
      </c>
      <c r="H4778" s="1">
        <v>218.77</v>
      </c>
    </row>
    <row r="4779" spans="2:8" x14ac:dyDescent="0.2">
      <c r="B4779" t="str">
        <f>VLOOKUP(G4779,PC!B:D,3,FALSE)</f>
        <v>CPV</v>
      </c>
      <c r="C4779" s="22">
        <v>2024</v>
      </c>
      <c r="D4779" t="s">
        <v>44</v>
      </c>
      <c r="E4779" t="s">
        <v>28</v>
      </c>
      <c r="F4779" t="str">
        <f>VLOOKUP(G4779,PC!B:D,2,FALSE)</f>
        <v>BEBIDAS</v>
      </c>
      <c r="G4779" s="4" t="s">
        <v>26</v>
      </c>
      <c r="H4779" s="1">
        <v>196.38</v>
      </c>
    </row>
    <row r="4780" spans="2:8" x14ac:dyDescent="0.2">
      <c r="B4780" t="str">
        <f>VLOOKUP(G4780,PC!B:D,3,FALSE)</f>
        <v>CPV</v>
      </c>
      <c r="C4780" s="22">
        <v>2024</v>
      </c>
      <c r="D4780" t="s">
        <v>44</v>
      </c>
      <c r="E4780" t="s">
        <v>20</v>
      </c>
      <c r="F4780" t="str">
        <f>VLOOKUP(G4780,PC!B:D,2,FALSE)</f>
        <v>COMIDA</v>
      </c>
      <c r="G4780" s="4" t="s">
        <v>29</v>
      </c>
      <c r="H4780" s="1">
        <v>120</v>
      </c>
    </row>
    <row r="4781" spans="2:8" x14ac:dyDescent="0.2">
      <c r="B4781" t="str">
        <f>VLOOKUP(G4781,PC!B:D,3,FALSE)</f>
        <v>CPV</v>
      </c>
      <c r="C4781" s="22">
        <v>2024</v>
      </c>
      <c r="D4781" t="s">
        <v>44</v>
      </c>
      <c r="E4781" t="s">
        <v>211</v>
      </c>
      <c r="F4781" t="str">
        <f>VLOOKUP(G4781,PC!B:D,2,FALSE)</f>
        <v>BEBIDAS</v>
      </c>
      <c r="G4781" s="4" t="s">
        <v>26</v>
      </c>
      <c r="H4781" s="1">
        <v>563.55999999999995</v>
      </c>
    </row>
    <row r="4782" spans="2:8" x14ac:dyDescent="0.2">
      <c r="B4782" t="str">
        <f>VLOOKUP(G4782,PC!B:D,3,FALSE)</f>
        <v>CPV</v>
      </c>
      <c r="C4782" s="22">
        <v>2024</v>
      </c>
      <c r="D4782" t="s">
        <v>44</v>
      </c>
      <c r="E4782" t="s">
        <v>129</v>
      </c>
      <c r="F4782" t="str">
        <f>VLOOKUP(G4782,PC!B:D,2,FALSE)</f>
        <v>BEBIDAS</v>
      </c>
      <c r="G4782" s="4" t="s">
        <v>48</v>
      </c>
      <c r="H4782" s="1">
        <v>225.25</v>
      </c>
    </row>
    <row r="4783" spans="2:8" x14ac:dyDescent="0.2">
      <c r="B4783" t="str">
        <f>VLOOKUP(G4783,PC!B:D,3,FALSE)</f>
        <v>CPV</v>
      </c>
      <c r="C4783" s="22">
        <v>2024</v>
      </c>
      <c r="D4783" t="s">
        <v>44</v>
      </c>
      <c r="E4783" t="s">
        <v>239</v>
      </c>
      <c r="F4783" t="str">
        <f>VLOOKUP(G4783,PC!B:D,2,FALSE)</f>
        <v>BEBIDAS</v>
      </c>
      <c r="G4783" s="4" t="s">
        <v>26</v>
      </c>
      <c r="H4783" s="1">
        <v>1250.99</v>
      </c>
    </row>
    <row r="4784" spans="2:8" x14ac:dyDescent="0.2">
      <c r="B4784" t="str">
        <f>VLOOKUP(G4784,PC!B:D,3,FALSE)</f>
        <v>CPV</v>
      </c>
      <c r="C4784" s="22">
        <v>2024</v>
      </c>
      <c r="D4784" t="s">
        <v>44</v>
      </c>
      <c r="E4784" t="s">
        <v>28</v>
      </c>
      <c r="F4784" t="str">
        <f>VLOOKUP(G4784,PC!B:D,2,FALSE)</f>
        <v>BEBIDAS</v>
      </c>
      <c r="G4784" s="4" t="s">
        <v>26</v>
      </c>
      <c r="H4784" s="1">
        <v>4336.38</v>
      </c>
    </row>
    <row r="4785" spans="2:8" x14ac:dyDescent="0.2">
      <c r="B4785" t="str">
        <f>VLOOKUP(G4785,PC!B:D,3,FALSE)</f>
        <v>CPV</v>
      </c>
      <c r="C4785" s="22">
        <v>2024</v>
      </c>
      <c r="D4785" t="s">
        <v>44</v>
      </c>
      <c r="E4785" t="s">
        <v>28</v>
      </c>
      <c r="F4785" t="str">
        <f>VLOOKUP(G4785,PC!B:D,2,FALSE)</f>
        <v>BEBIDAS</v>
      </c>
      <c r="G4785" s="4" t="s">
        <v>26</v>
      </c>
      <c r="H4785" s="1">
        <f>59.51+354.89+4096.94</f>
        <v>4511.3399999999992</v>
      </c>
    </row>
    <row r="4786" spans="2:8" x14ac:dyDescent="0.2">
      <c r="B4786" t="str">
        <f>VLOOKUP(G4786,PC!B:D,3,FALSE)</f>
        <v>CPV</v>
      </c>
      <c r="C4786" s="22">
        <v>2024</v>
      </c>
      <c r="D4786" t="s">
        <v>44</v>
      </c>
      <c r="E4786" t="s">
        <v>24</v>
      </c>
      <c r="F4786" t="str">
        <f>VLOOKUP(G4786,PC!B:D,2,FALSE)</f>
        <v>COMIDA</v>
      </c>
      <c r="G4786" s="4" t="s">
        <v>33</v>
      </c>
      <c r="H4786" s="1">
        <v>309.60000000000002</v>
      </c>
    </row>
    <row r="4787" spans="2:8" x14ac:dyDescent="0.2">
      <c r="B4787" t="str">
        <f>VLOOKUP(G4787,PC!B:D,3,FALSE)</f>
        <v>CPV</v>
      </c>
      <c r="C4787" s="22">
        <v>2024</v>
      </c>
      <c r="D4787" t="s">
        <v>44</v>
      </c>
      <c r="E4787" t="s">
        <v>100</v>
      </c>
      <c r="F4787" t="str">
        <f>VLOOKUP(G4787,PC!B:D,2,FALSE)</f>
        <v>SOBREMESA</v>
      </c>
      <c r="G4787" s="4" t="s">
        <v>8</v>
      </c>
      <c r="H4787" s="1">
        <v>279.18</v>
      </c>
    </row>
    <row r="4788" spans="2:8" x14ac:dyDescent="0.2">
      <c r="B4788" t="str">
        <f>VLOOKUP(G4788,PC!B:D,3,FALSE)</f>
        <v>CPV</v>
      </c>
      <c r="C4788" s="22">
        <v>2024</v>
      </c>
      <c r="D4788" t="s">
        <v>44</v>
      </c>
      <c r="E4788" t="s">
        <v>45</v>
      </c>
      <c r="F4788" t="str">
        <f>VLOOKUP(G4788,PC!B:D,2,FALSE)</f>
        <v>OUTROS</v>
      </c>
      <c r="G4788" s="4" t="s">
        <v>37</v>
      </c>
      <c r="H4788" s="1">
        <v>614.11</v>
      </c>
    </row>
    <row r="4789" spans="2:8" x14ac:dyDescent="0.2">
      <c r="B4789" t="str">
        <f>VLOOKUP(G4789,PC!B:D,3,FALSE)</f>
        <v>CPV</v>
      </c>
      <c r="C4789" s="22">
        <v>2024</v>
      </c>
      <c r="D4789" t="s">
        <v>44</v>
      </c>
      <c r="E4789" t="s">
        <v>129</v>
      </c>
      <c r="F4789" t="str">
        <f>VLOOKUP(G4789,PC!B:D,2,FALSE)</f>
        <v>COMIDA</v>
      </c>
      <c r="G4789" s="4" t="s">
        <v>155</v>
      </c>
      <c r="H4789" s="1">
        <v>360</v>
      </c>
    </row>
    <row r="4790" spans="2:8" x14ac:dyDescent="0.2">
      <c r="B4790" t="str">
        <f>VLOOKUP(G4790,PC!B:D,3,FALSE)</f>
        <v>CPV</v>
      </c>
      <c r="C4790" s="22">
        <v>2024</v>
      </c>
      <c r="D4790" t="s">
        <v>44</v>
      </c>
      <c r="E4790" t="s">
        <v>129</v>
      </c>
      <c r="F4790" t="str">
        <f>VLOOKUP(G4790,PC!B:D,2,FALSE)</f>
        <v>OUTROS</v>
      </c>
      <c r="G4790" s="4" t="s">
        <v>149</v>
      </c>
      <c r="H4790" s="1">
        <v>183</v>
      </c>
    </row>
    <row r="4791" spans="2:8" x14ac:dyDescent="0.2">
      <c r="B4791" t="str">
        <f>VLOOKUP(G4791,PC!B:D,3,FALSE)</f>
        <v>CPV</v>
      </c>
      <c r="C4791" s="22">
        <v>2024</v>
      </c>
      <c r="D4791" t="s">
        <v>44</v>
      </c>
      <c r="E4791" t="s">
        <v>129</v>
      </c>
      <c r="F4791" t="str">
        <f>VLOOKUP(G4791,PC!B:D,2,FALSE)</f>
        <v>SOBREMESA</v>
      </c>
      <c r="G4791" s="4" t="s">
        <v>7</v>
      </c>
      <c r="H4791" s="1">
        <v>289</v>
      </c>
    </row>
    <row r="4792" spans="2:8" x14ac:dyDescent="0.2">
      <c r="B4792" t="str">
        <f>VLOOKUP(G4792,PC!B:D,3,FALSE)</f>
        <v>CPV</v>
      </c>
      <c r="C4792" s="22">
        <v>2024</v>
      </c>
      <c r="D4792" t="s">
        <v>44</v>
      </c>
      <c r="E4792" t="s">
        <v>129</v>
      </c>
      <c r="F4792" t="str">
        <f>VLOOKUP(G4792,PC!B:D,2,FALSE)</f>
        <v>COMIDA</v>
      </c>
      <c r="G4792" s="4" t="s">
        <v>12</v>
      </c>
      <c r="H4792" s="1">
        <v>80</v>
      </c>
    </row>
    <row r="4793" spans="2:8" x14ac:dyDescent="0.2">
      <c r="B4793" t="str">
        <f>VLOOKUP(G4793,PC!B:D,3,FALSE)</f>
        <v>CPV</v>
      </c>
      <c r="C4793" s="22">
        <v>2024</v>
      </c>
      <c r="D4793" t="s">
        <v>44</v>
      </c>
      <c r="E4793" t="s">
        <v>129</v>
      </c>
      <c r="F4793" t="str">
        <f>VLOOKUP(G4793,PC!B:D,2,FALSE)</f>
        <v>COMIDA</v>
      </c>
      <c r="G4793" s="4" t="s">
        <v>12</v>
      </c>
      <c r="H4793" s="1">
        <v>400</v>
      </c>
    </row>
    <row r="4794" spans="2:8" x14ac:dyDescent="0.2">
      <c r="B4794" t="str">
        <f>VLOOKUP(G4794,PC!B:D,3,FALSE)</f>
        <v>CPV</v>
      </c>
      <c r="C4794" s="22">
        <v>2024</v>
      </c>
      <c r="D4794" t="s">
        <v>44</v>
      </c>
      <c r="E4794" t="s">
        <v>27</v>
      </c>
      <c r="F4794" t="str">
        <f>VLOOKUP(G4794,PC!B:D,2,FALSE)</f>
        <v>COMIDA</v>
      </c>
      <c r="G4794" s="4" t="s">
        <v>12</v>
      </c>
      <c r="H4794" s="1">
        <v>204.91</v>
      </c>
    </row>
    <row r="4795" spans="2:8" x14ac:dyDescent="0.2">
      <c r="B4795" t="str">
        <f>VLOOKUP(G4795,PC!B:D,3,FALSE)</f>
        <v>CPV</v>
      </c>
      <c r="C4795" s="22">
        <v>2024</v>
      </c>
      <c r="D4795" t="s">
        <v>44</v>
      </c>
      <c r="E4795" t="s">
        <v>208</v>
      </c>
      <c r="F4795" t="str">
        <f>VLOOKUP(G4795,PC!B:D,2,FALSE)</f>
        <v>SOBREMESA</v>
      </c>
      <c r="G4795" s="4" t="s">
        <v>8</v>
      </c>
      <c r="H4795" s="1">
        <v>356.03</v>
      </c>
    </row>
    <row r="4796" spans="2:8" x14ac:dyDescent="0.2">
      <c r="B4796" t="str">
        <f>VLOOKUP(G4796,PC!B:D,3,FALSE)</f>
        <v>CPV</v>
      </c>
      <c r="C4796" s="22">
        <v>2024</v>
      </c>
      <c r="D4796" t="s">
        <v>44</v>
      </c>
      <c r="E4796" t="s">
        <v>234</v>
      </c>
      <c r="F4796" t="str">
        <f>VLOOKUP(G4796,PC!B:D,2,FALSE)</f>
        <v>COMIDA</v>
      </c>
      <c r="G4796" s="4" t="s">
        <v>18</v>
      </c>
      <c r="H4796" s="1">
        <v>583.17999999999995</v>
      </c>
    </row>
    <row r="4797" spans="2:8" x14ac:dyDescent="0.2">
      <c r="B4797" t="str">
        <f>VLOOKUP(G4797,PC!B:D,3,FALSE)</f>
        <v>CPV</v>
      </c>
      <c r="C4797" s="22">
        <v>2024</v>
      </c>
      <c r="D4797" t="s">
        <v>44</v>
      </c>
      <c r="E4797" t="s">
        <v>78</v>
      </c>
      <c r="F4797" t="str">
        <f>VLOOKUP(G4797,PC!B:D,2,FALSE)</f>
        <v>CIGARRO</v>
      </c>
      <c r="G4797" s="4" t="s">
        <v>82</v>
      </c>
      <c r="H4797" s="1">
        <v>322.72000000000003</v>
      </c>
    </row>
    <row r="4798" spans="2:8" x14ac:dyDescent="0.2">
      <c r="B4798" t="str">
        <f>VLOOKUP(G4798,PC!B:D,3,FALSE)</f>
        <v>CPV</v>
      </c>
      <c r="C4798" s="22">
        <v>2024</v>
      </c>
      <c r="D4798" t="s">
        <v>44</v>
      </c>
      <c r="E4798" t="s">
        <v>24</v>
      </c>
      <c r="F4798" t="str">
        <f>VLOOKUP(G4798,PC!B:D,2,FALSE)</f>
        <v>COMIDA</v>
      </c>
      <c r="G4798" s="4" t="s">
        <v>33</v>
      </c>
      <c r="H4798" s="1">
        <v>279.24</v>
      </c>
    </row>
    <row r="4799" spans="2:8" x14ac:dyDescent="0.2">
      <c r="B4799" t="str">
        <f>VLOOKUP(G4799,PC!B:D,3,FALSE)</f>
        <v>CPV</v>
      </c>
      <c r="C4799" s="22">
        <v>2024</v>
      </c>
      <c r="D4799" t="s">
        <v>44</v>
      </c>
      <c r="E4799" t="s">
        <v>30</v>
      </c>
      <c r="F4799" t="str">
        <f>VLOOKUP(G4799,PC!B:D,2,FALSE)</f>
        <v>SOBREMESA</v>
      </c>
      <c r="G4799" s="4" t="s">
        <v>23</v>
      </c>
      <c r="H4799" s="1">
        <v>318.67</v>
      </c>
    </row>
    <row r="4800" spans="2:8" x14ac:dyDescent="0.2">
      <c r="B4800" t="str">
        <f>VLOOKUP(G4800,PC!B:D,3,FALSE)</f>
        <v>CPV</v>
      </c>
      <c r="C4800" s="22">
        <v>2024</v>
      </c>
      <c r="D4800" t="s">
        <v>44</v>
      </c>
      <c r="E4800" t="s">
        <v>241</v>
      </c>
      <c r="F4800" t="str">
        <f>VLOOKUP(G4800,PC!B:D,2,FALSE)</f>
        <v>COMIDA</v>
      </c>
      <c r="G4800" s="4" t="s">
        <v>33</v>
      </c>
      <c r="H4800" s="1">
        <v>197.64</v>
      </c>
    </row>
    <row r="4801" spans="2:8" x14ac:dyDescent="0.2">
      <c r="B4801" t="str">
        <f>VLOOKUP(G4801,PC!B:D,3,FALSE)</f>
        <v>CPV</v>
      </c>
      <c r="C4801" s="22">
        <v>2024</v>
      </c>
      <c r="D4801" t="s">
        <v>44</v>
      </c>
      <c r="E4801" t="s">
        <v>212</v>
      </c>
      <c r="F4801" t="str">
        <f>VLOOKUP(G4801,PC!B:D,2,FALSE)</f>
        <v>COMIDA</v>
      </c>
      <c r="G4801" s="4" t="s">
        <v>33</v>
      </c>
      <c r="H4801" s="1">
        <v>249.12</v>
      </c>
    </row>
    <row r="4802" spans="2:8" x14ac:dyDescent="0.2">
      <c r="B4802" t="str">
        <f>VLOOKUP(G4802,PC!B:D,3,FALSE)</f>
        <v>CPV</v>
      </c>
      <c r="C4802" s="22">
        <v>2024</v>
      </c>
      <c r="D4802" t="s">
        <v>44</v>
      </c>
      <c r="E4802" t="s">
        <v>45</v>
      </c>
      <c r="F4802" t="str">
        <f>VLOOKUP(G4802,PC!B:D,2,FALSE)</f>
        <v>HIGIENE</v>
      </c>
      <c r="G4802" s="4" t="s">
        <v>36</v>
      </c>
      <c r="H4802" s="1">
        <v>257.86</v>
      </c>
    </row>
    <row r="4803" spans="2:8" x14ac:dyDescent="0.2">
      <c r="B4803" t="str">
        <f>VLOOKUP(G4803,PC!B:D,3,FALSE)</f>
        <v>CPV</v>
      </c>
      <c r="C4803" s="22">
        <v>2024</v>
      </c>
      <c r="D4803" t="s">
        <v>44</v>
      </c>
      <c r="E4803" t="s">
        <v>16</v>
      </c>
      <c r="F4803" t="str">
        <f>VLOOKUP(G4803,PC!B:D,2,FALSE)</f>
        <v>COMIDA</v>
      </c>
      <c r="G4803" s="4" t="s">
        <v>33</v>
      </c>
      <c r="H4803" s="1">
        <v>257.86</v>
      </c>
    </row>
    <row r="4804" spans="2:8" x14ac:dyDescent="0.2">
      <c r="B4804" t="str">
        <f>VLOOKUP(G4804,PC!B:D,3,FALSE)</f>
        <v>CPV</v>
      </c>
      <c r="C4804" s="22">
        <v>2024</v>
      </c>
      <c r="D4804" t="s">
        <v>44</v>
      </c>
      <c r="E4804" t="s">
        <v>239</v>
      </c>
      <c r="F4804" t="str">
        <f>VLOOKUP(G4804,PC!B:D,2,FALSE)</f>
        <v>BEBIDAS</v>
      </c>
      <c r="G4804" s="4" t="s">
        <v>26</v>
      </c>
      <c r="H4804" s="1">
        <v>621.20000000000005</v>
      </c>
    </row>
    <row r="4805" spans="2:8" x14ac:dyDescent="0.2">
      <c r="B4805" t="str">
        <f>VLOOKUP(G4805,PC!B:D,3,FALSE)</f>
        <v>CPV</v>
      </c>
      <c r="C4805" s="22">
        <v>2024</v>
      </c>
      <c r="D4805" t="s">
        <v>44</v>
      </c>
      <c r="E4805" t="s">
        <v>19</v>
      </c>
      <c r="F4805" t="str">
        <f>VLOOKUP(G4805,PC!B:D,2,FALSE)</f>
        <v>COMIDA</v>
      </c>
      <c r="G4805" s="4" t="s">
        <v>34</v>
      </c>
      <c r="H4805" s="1">
        <v>176.76</v>
      </c>
    </row>
    <row r="4806" spans="2:8" x14ac:dyDescent="0.2">
      <c r="B4806" t="str">
        <f>VLOOKUP(G4806,PC!B:D,3,FALSE)</f>
        <v>CPV</v>
      </c>
      <c r="C4806" s="22">
        <v>2024</v>
      </c>
      <c r="D4806" t="s">
        <v>44</v>
      </c>
      <c r="E4806" t="s">
        <v>227</v>
      </c>
      <c r="F4806" t="str">
        <f>VLOOKUP(G4806,PC!B:D,2,FALSE)</f>
        <v>LIMPEZA</v>
      </c>
      <c r="G4806" s="4" t="s">
        <v>43</v>
      </c>
      <c r="H4806" s="1">
        <v>600</v>
      </c>
    </row>
    <row r="4807" spans="2:8" x14ac:dyDescent="0.2">
      <c r="B4807" t="str">
        <f>VLOOKUP(G4807,PC!B:D,3,FALSE)</f>
        <v>CPV</v>
      </c>
      <c r="C4807" s="22">
        <v>2024</v>
      </c>
      <c r="D4807" t="s">
        <v>44</v>
      </c>
      <c r="E4807" t="s">
        <v>227</v>
      </c>
      <c r="F4807" t="str">
        <f>VLOOKUP(G4807,PC!B:D,2,FALSE)</f>
        <v>HIGIENE</v>
      </c>
      <c r="G4807" s="4" t="s">
        <v>36</v>
      </c>
      <c r="H4807" s="1">
        <f>1058.29-H4806</f>
        <v>458.28999999999996</v>
      </c>
    </row>
    <row r="4808" spans="2:8" x14ac:dyDescent="0.2">
      <c r="B4808" t="str">
        <f>VLOOKUP(G4808,PC!B:D,3,FALSE)</f>
        <v>CPV</v>
      </c>
      <c r="C4808" s="22">
        <v>2024</v>
      </c>
      <c r="D4808" t="s">
        <v>44</v>
      </c>
      <c r="E4808" t="s">
        <v>129</v>
      </c>
      <c r="F4808" t="str">
        <f>VLOOKUP(G4808,PC!B:D,2,FALSE)</f>
        <v>BEBIDAS</v>
      </c>
      <c r="G4808" s="4" t="s">
        <v>48</v>
      </c>
      <c r="H4808" s="1">
        <v>356.55</v>
      </c>
    </row>
    <row r="4809" spans="2:8" x14ac:dyDescent="0.2">
      <c r="B4809" t="str">
        <f>VLOOKUP(G4809,PC!B:D,3,FALSE)</f>
        <v>CPV</v>
      </c>
      <c r="C4809" s="22">
        <v>2024</v>
      </c>
      <c r="D4809" t="s">
        <v>44</v>
      </c>
      <c r="E4809" t="s">
        <v>129</v>
      </c>
      <c r="F4809" t="str">
        <f>VLOOKUP(G4809,PC!B:D,2,FALSE)</f>
        <v>CIGARRO</v>
      </c>
      <c r="G4809" s="4" t="s">
        <v>131</v>
      </c>
      <c r="H4809" s="1">
        <v>1146</v>
      </c>
    </row>
    <row r="4810" spans="2:8" x14ac:dyDescent="0.2">
      <c r="B4810" t="str">
        <f>VLOOKUP(G4810,PC!B:D,3,FALSE)</f>
        <v>CPV</v>
      </c>
      <c r="C4810" s="22">
        <v>2024</v>
      </c>
      <c r="D4810" t="s">
        <v>44</v>
      </c>
      <c r="E4810" t="s">
        <v>45</v>
      </c>
      <c r="F4810" t="str">
        <f>VLOOKUP(G4810,PC!B:D,2,FALSE)</f>
        <v>OUTROS</v>
      </c>
      <c r="G4810" s="4" t="s">
        <v>37</v>
      </c>
      <c r="H4810" s="1">
        <v>369.21</v>
      </c>
    </row>
    <row r="4811" spans="2:8" x14ac:dyDescent="0.2">
      <c r="B4811" t="str">
        <f>VLOOKUP(G4811,PC!B:D,3,FALSE)</f>
        <v>CPV</v>
      </c>
      <c r="C4811" s="22">
        <v>2024</v>
      </c>
      <c r="D4811" t="s">
        <v>44</v>
      </c>
      <c r="E4811" t="s">
        <v>10</v>
      </c>
      <c r="F4811" t="str">
        <f>VLOOKUP(G4811,PC!B:D,2,FALSE)</f>
        <v>COMIDA</v>
      </c>
      <c r="G4811" s="4" t="s">
        <v>33</v>
      </c>
      <c r="H4811" s="1">
        <f>251.59+258.11</f>
        <v>509.70000000000005</v>
      </c>
    </row>
    <row r="4812" spans="2:8" x14ac:dyDescent="0.2">
      <c r="B4812" t="str">
        <f>VLOOKUP(G4812,PC!B:D,3,FALSE)</f>
        <v>CPV</v>
      </c>
      <c r="C4812" s="22">
        <v>2024</v>
      </c>
      <c r="D4812" t="s">
        <v>44</v>
      </c>
      <c r="E4812" t="s">
        <v>129</v>
      </c>
      <c r="F4812" t="str">
        <f>VLOOKUP(G4812,PC!B:D,2,FALSE)</f>
        <v>SOBREMESA</v>
      </c>
      <c r="G4812" s="4" t="s">
        <v>7</v>
      </c>
      <c r="H4812" s="1">
        <v>110</v>
      </c>
    </row>
    <row r="4813" spans="2:8" x14ac:dyDescent="0.2">
      <c r="B4813" t="str">
        <f>VLOOKUP(G4813,PC!B:D,3,FALSE)</f>
        <v>CPV</v>
      </c>
      <c r="C4813" s="22">
        <v>2024</v>
      </c>
      <c r="D4813" t="s">
        <v>44</v>
      </c>
      <c r="E4813" t="s">
        <v>129</v>
      </c>
      <c r="F4813" t="str">
        <f>VLOOKUP(G4813,PC!B:D,2,FALSE)</f>
        <v>COMIDA</v>
      </c>
      <c r="G4813" s="4" t="s">
        <v>12</v>
      </c>
      <c r="H4813" s="1">
        <v>87.5</v>
      </c>
    </row>
    <row r="4814" spans="2:8" x14ac:dyDescent="0.2">
      <c r="B4814" t="str">
        <f>VLOOKUP(G4814,PC!B:D,3,FALSE)</f>
        <v>CPV</v>
      </c>
      <c r="C4814" s="22">
        <v>2024</v>
      </c>
      <c r="D4814" t="s">
        <v>44</v>
      </c>
      <c r="E4814" t="s">
        <v>129</v>
      </c>
      <c r="F4814" t="str">
        <f>VLOOKUP(G4814,PC!B:D,2,FALSE)</f>
        <v>SOBREMESA</v>
      </c>
      <c r="G4814" s="4" t="s">
        <v>23</v>
      </c>
      <c r="H4814" s="1">
        <v>56</v>
      </c>
    </row>
    <row r="4815" spans="2:8" x14ac:dyDescent="0.2">
      <c r="B4815" t="str">
        <f>VLOOKUP(G4815,PC!B:D,3,FALSE)</f>
        <v>CPV</v>
      </c>
      <c r="C4815" s="22">
        <v>2024</v>
      </c>
      <c r="D4815" t="s">
        <v>44</v>
      </c>
      <c r="E4815" t="s">
        <v>129</v>
      </c>
      <c r="F4815" t="str">
        <f>VLOOKUP(G4815,PC!B:D,2,FALSE)</f>
        <v>BEBIDAS</v>
      </c>
      <c r="G4815" s="4" t="s">
        <v>46</v>
      </c>
      <c r="H4815" s="1">
        <v>431.2</v>
      </c>
    </row>
    <row r="4816" spans="2:8" x14ac:dyDescent="0.2">
      <c r="B4816" t="str">
        <f>VLOOKUP(G4816,PC!B:D,3,FALSE)</f>
        <v>CPV</v>
      </c>
      <c r="C4816" s="22">
        <v>2024</v>
      </c>
      <c r="D4816" t="s">
        <v>44</v>
      </c>
      <c r="E4816" t="s">
        <v>129</v>
      </c>
      <c r="F4816" t="str">
        <f>VLOOKUP(G4816,PC!B:D,2,FALSE)</f>
        <v>OUTROS</v>
      </c>
      <c r="G4816" s="4" t="s">
        <v>37</v>
      </c>
      <c r="H4816" s="1">
        <v>461.26</v>
      </c>
    </row>
    <row r="4817" spans="2:8" x14ac:dyDescent="0.2">
      <c r="B4817" t="str">
        <f>VLOOKUP(G4817,PC!B:D,3,FALSE)</f>
        <v>CPV</v>
      </c>
      <c r="C4817" s="22">
        <v>2024</v>
      </c>
      <c r="D4817" t="s">
        <v>44</v>
      </c>
      <c r="E4817" t="s">
        <v>129</v>
      </c>
      <c r="F4817" t="str">
        <f>VLOOKUP(G4817,PC!B:D,2,FALSE)</f>
        <v>OUTROS</v>
      </c>
      <c r="G4817" s="4" t="s">
        <v>37</v>
      </c>
      <c r="H4817" s="1">
        <v>363.15</v>
      </c>
    </row>
    <row r="4818" spans="2:8" x14ac:dyDescent="0.2">
      <c r="B4818" t="str">
        <f>VLOOKUP(G4818,PC!B:D,3,FALSE)</f>
        <v>CPV</v>
      </c>
      <c r="C4818" s="22">
        <v>2024</v>
      </c>
      <c r="D4818" t="s">
        <v>44</v>
      </c>
      <c r="E4818" t="s">
        <v>129</v>
      </c>
      <c r="F4818" t="str">
        <f>VLOOKUP(G4818,PC!B:D,2,FALSE)</f>
        <v>BEBIDAS</v>
      </c>
      <c r="G4818" s="4" t="s">
        <v>48</v>
      </c>
      <c r="H4818" s="1">
        <v>100</v>
      </c>
    </row>
    <row r="4819" spans="2:8" x14ac:dyDescent="0.2">
      <c r="B4819" t="str">
        <f>VLOOKUP(G4819,PC!B:D,3,FALSE)</f>
        <v>CPV</v>
      </c>
      <c r="C4819" s="22">
        <v>2024</v>
      </c>
      <c r="D4819" t="s">
        <v>44</v>
      </c>
      <c r="E4819" t="s">
        <v>95</v>
      </c>
      <c r="F4819" t="str">
        <f>VLOOKUP(G4819,PC!B:D,2,FALSE)</f>
        <v>BEBIDAS</v>
      </c>
      <c r="G4819" s="4" t="s">
        <v>144</v>
      </c>
      <c r="H4819" s="1">
        <v>578.35</v>
      </c>
    </row>
    <row r="4820" spans="2:8" x14ac:dyDescent="0.2">
      <c r="B4820" t="str">
        <f>VLOOKUP(G4820,PC!B:D,3,FALSE)</f>
        <v>CPV</v>
      </c>
      <c r="C4820" s="22">
        <v>2024</v>
      </c>
      <c r="D4820" t="s">
        <v>44</v>
      </c>
      <c r="E4820" t="s">
        <v>20</v>
      </c>
      <c r="F4820" t="str">
        <f>VLOOKUP(G4820,PC!B:D,2,FALSE)</f>
        <v>COMIDA</v>
      </c>
      <c r="G4820" s="4" t="s">
        <v>29</v>
      </c>
      <c r="H4820" s="1">
        <v>125</v>
      </c>
    </row>
    <row r="4821" spans="2:8" x14ac:dyDescent="0.2">
      <c r="B4821" t="str">
        <f>VLOOKUP(G4821,PC!B:D,3,FALSE)</f>
        <v>CPV</v>
      </c>
      <c r="C4821" s="22">
        <v>2024</v>
      </c>
      <c r="D4821" t="s">
        <v>44</v>
      </c>
      <c r="E4821" t="s">
        <v>19</v>
      </c>
      <c r="F4821" t="str">
        <f>VLOOKUP(G4821,PC!B:D,2,FALSE)</f>
        <v>COMIDA</v>
      </c>
      <c r="G4821" s="4" t="s">
        <v>34</v>
      </c>
      <c r="H4821" s="1">
        <v>273.95</v>
      </c>
    </row>
    <row r="4822" spans="2:8" x14ac:dyDescent="0.2">
      <c r="B4822" t="str">
        <f>VLOOKUP(G4822,PC!B:D,3,FALSE)</f>
        <v>CPV</v>
      </c>
      <c r="C4822" s="22">
        <v>2024</v>
      </c>
      <c r="D4822" t="s">
        <v>44</v>
      </c>
      <c r="E4822" t="s">
        <v>241</v>
      </c>
      <c r="F4822" t="str">
        <f>VLOOKUP(G4822,PC!B:D,2,FALSE)</f>
        <v>COMIDA</v>
      </c>
      <c r="G4822" s="4" t="s">
        <v>12</v>
      </c>
      <c r="H4822" s="1">
        <v>300.2</v>
      </c>
    </row>
    <row r="4823" spans="2:8" x14ac:dyDescent="0.2">
      <c r="B4823" t="str">
        <f>VLOOKUP(G4823,PC!B:D,3,FALSE)</f>
        <v>CPV</v>
      </c>
      <c r="C4823" s="22">
        <v>2024</v>
      </c>
      <c r="D4823" t="s">
        <v>44</v>
      </c>
      <c r="E4823" t="s">
        <v>24</v>
      </c>
      <c r="F4823" t="str">
        <f>VLOOKUP(G4823,PC!B:D,2,FALSE)</f>
        <v>COMIDA</v>
      </c>
      <c r="G4823" s="4" t="s">
        <v>33</v>
      </c>
      <c r="H4823" s="1">
        <v>102.43</v>
      </c>
    </row>
    <row r="4824" spans="2:8" x14ac:dyDescent="0.2">
      <c r="B4824" t="str">
        <f>VLOOKUP(G4824,PC!B:D,3,FALSE)</f>
        <v>CPV</v>
      </c>
      <c r="C4824" s="22">
        <v>2024</v>
      </c>
      <c r="D4824" t="s">
        <v>44</v>
      </c>
      <c r="E4824" t="s">
        <v>129</v>
      </c>
      <c r="F4824" t="str">
        <f>VLOOKUP(G4824,PC!B:D,2,FALSE)</f>
        <v>BEBIDAS</v>
      </c>
      <c r="G4824" s="4" t="s">
        <v>48</v>
      </c>
      <c r="H4824" s="1">
        <v>316.18</v>
      </c>
    </row>
    <row r="4825" spans="2:8" x14ac:dyDescent="0.2">
      <c r="B4825" t="str">
        <f>VLOOKUP(G4825,PC!B:D,3,FALSE)</f>
        <v>CPV</v>
      </c>
      <c r="C4825" s="22">
        <v>2024</v>
      </c>
      <c r="D4825" t="s">
        <v>44</v>
      </c>
      <c r="E4825" t="s">
        <v>16</v>
      </c>
      <c r="F4825" t="str">
        <f>VLOOKUP(G4825,PC!B:D,2,FALSE)</f>
        <v>COMIDA</v>
      </c>
      <c r="G4825" s="4" t="s">
        <v>12</v>
      </c>
      <c r="H4825" s="1">
        <v>358.67</v>
      </c>
    </row>
    <row r="4826" spans="2:8" x14ac:dyDescent="0.2">
      <c r="B4826" t="str">
        <f>VLOOKUP(G4826,PC!B:D,3,FALSE)</f>
        <v>CPV</v>
      </c>
      <c r="C4826" s="22">
        <v>2024</v>
      </c>
      <c r="D4826" t="s">
        <v>44</v>
      </c>
      <c r="E4826" t="s">
        <v>211</v>
      </c>
      <c r="F4826" t="str">
        <f>VLOOKUP(G4826,PC!B:D,2,FALSE)</f>
        <v>BEBIDAS</v>
      </c>
      <c r="G4826" s="4" t="s">
        <v>26</v>
      </c>
      <c r="H4826" s="1">
        <v>982.27</v>
      </c>
    </row>
    <row r="4827" spans="2:8" x14ac:dyDescent="0.2">
      <c r="B4827" t="str">
        <f>VLOOKUP(G4827,PC!B:D,3,FALSE)</f>
        <v>CPV</v>
      </c>
      <c r="C4827" s="22">
        <v>2024</v>
      </c>
      <c r="D4827" t="s">
        <v>44</v>
      </c>
      <c r="E4827" t="s">
        <v>227</v>
      </c>
      <c r="F4827" t="str">
        <f>VLOOKUP(G4827,PC!B:D,2,FALSE)</f>
        <v>OUTROS</v>
      </c>
      <c r="G4827" s="4" t="s">
        <v>37</v>
      </c>
      <c r="H4827" s="1">
        <v>547.25</v>
      </c>
    </row>
    <row r="4828" spans="2:8" x14ac:dyDescent="0.2">
      <c r="B4828" t="str">
        <f>VLOOKUP(G4828,PC!B:D,3,FALSE)</f>
        <v>CPV</v>
      </c>
      <c r="C4828" s="22">
        <v>2024</v>
      </c>
      <c r="D4828" t="s">
        <v>44</v>
      </c>
      <c r="E4828" t="s">
        <v>20</v>
      </c>
      <c r="F4828" t="str">
        <f>VLOOKUP(G4828,PC!B:D,2,FALSE)</f>
        <v>COMIDA</v>
      </c>
      <c r="G4828" s="4" t="s">
        <v>29</v>
      </c>
      <c r="H4828" s="1">
        <v>102.82</v>
      </c>
    </row>
    <row r="4829" spans="2:8" x14ac:dyDescent="0.2">
      <c r="B4829" t="str">
        <f>VLOOKUP(G4829,PC!B:D,3,FALSE)</f>
        <v>CPV</v>
      </c>
      <c r="C4829" s="22">
        <v>2024</v>
      </c>
      <c r="D4829" t="s">
        <v>44</v>
      </c>
      <c r="E4829" t="s">
        <v>241</v>
      </c>
      <c r="F4829" t="str">
        <f>VLOOKUP(G4829,PC!B:D,2,FALSE)</f>
        <v>COMIDA</v>
      </c>
      <c r="G4829" s="4" t="s">
        <v>12</v>
      </c>
      <c r="H4829" s="1">
        <v>116.42</v>
      </c>
    </row>
    <row r="4830" spans="2:8" x14ac:dyDescent="0.2">
      <c r="B4830" t="str">
        <f>VLOOKUP(G4830,PC!B:D,3,FALSE)</f>
        <v>CPV</v>
      </c>
      <c r="C4830" s="22">
        <v>2024</v>
      </c>
      <c r="D4830" t="s">
        <v>44</v>
      </c>
      <c r="E4830" t="s">
        <v>21</v>
      </c>
      <c r="F4830" t="str">
        <f>VLOOKUP(G4830,PC!B:D,2,FALSE)</f>
        <v>SOBREMESA</v>
      </c>
      <c r="G4830" s="4" t="s">
        <v>23</v>
      </c>
      <c r="H4830" s="1">
        <v>152.91</v>
      </c>
    </row>
    <row r="4831" spans="2:8" x14ac:dyDescent="0.2">
      <c r="B4831" t="str">
        <f>VLOOKUP(G4831,PC!B:D,3,FALSE)</f>
        <v>CPV</v>
      </c>
      <c r="C4831" s="22">
        <v>2024</v>
      </c>
      <c r="D4831" t="s">
        <v>44</v>
      </c>
      <c r="E4831" t="s">
        <v>239</v>
      </c>
      <c r="F4831" t="str">
        <f>VLOOKUP(G4831,PC!B:D,2,FALSE)</f>
        <v>BEBIDAS</v>
      </c>
      <c r="G4831" s="4" t="s">
        <v>26</v>
      </c>
      <c r="H4831" s="1">
        <v>762.8</v>
      </c>
    </row>
    <row r="4832" spans="2:8" x14ac:dyDescent="0.2">
      <c r="B4832" t="str">
        <f>VLOOKUP(G4832,PC!B:D,3,FALSE)</f>
        <v>CPV</v>
      </c>
      <c r="C4832" s="22">
        <v>2024</v>
      </c>
      <c r="D4832" t="s">
        <v>44</v>
      </c>
      <c r="E4832" t="s">
        <v>129</v>
      </c>
      <c r="F4832" t="str">
        <f>VLOOKUP(G4832,PC!B:D,2,FALSE)</f>
        <v>OUTROS</v>
      </c>
      <c r="G4832" s="4" t="s">
        <v>58</v>
      </c>
      <c r="H4832" s="1">
        <v>192</v>
      </c>
    </row>
    <row r="4833" spans="2:8" x14ac:dyDescent="0.2">
      <c r="B4833" t="str">
        <f>VLOOKUP(G4833,PC!B:D,3,FALSE)</f>
        <v>CPV</v>
      </c>
      <c r="C4833" s="22">
        <v>2024</v>
      </c>
      <c r="D4833" t="s">
        <v>44</v>
      </c>
      <c r="E4833" t="s">
        <v>156</v>
      </c>
      <c r="F4833" t="str">
        <f>VLOOKUP(G4833,PC!B:D,2,FALSE)</f>
        <v>BEBIDAS</v>
      </c>
      <c r="G4833" s="4" t="s">
        <v>26</v>
      </c>
      <c r="H4833" s="1">
        <v>780.6</v>
      </c>
    </row>
    <row r="4834" spans="2:8" x14ac:dyDescent="0.2">
      <c r="B4834" t="e">
        <f>VLOOKUP(G4834,PC!B:D,3,FALSE)</f>
        <v>#N/A</v>
      </c>
      <c r="C4834" s="22">
        <v>2024</v>
      </c>
      <c r="D4834" t="s">
        <v>113</v>
      </c>
      <c r="F4834" t="e">
        <f>VLOOKUP(G4834,PC!B:D,2,FALSE)</f>
        <v>#N/A</v>
      </c>
      <c r="G4834" s="4" t="s">
        <v>157</v>
      </c>
      <c r="H4834" s="1">
        <v>160.52000000000001</v>
      </c>
    </row>
    <row r="4835" spans="2:8" x14ac:dyDescent="0.2">
      <c r="B4835" t="str">
        <f>VLOOKUP(G4835,PC!B:D,3,FALSE)</f>
        <v>DESPESA PESSOAL</v>
      </c>
      <c r="C4835" s="22">
        <v>2024</v>
      </c>
      <c r="D4835" t="s">
        <v>113</v>
      </c>
      <c r="F4835" t="str">
        <f>VLOOKUP(G4835,PC!B:D,2,FALSE)</f>
        <v>DESPESA PESSOAL</v>
      </c>
      <c r="G4835" s="4" t="s">
        <v>115</v>
      </c>
      <c r="H4835" s="1">
        <v>135.15</v>
      </c>
    </row>
    <row r="4836" spans="2:8" x14ac:dyDescent="0.2">
      <c r="B4836" t="str">
        <f>VLOOKUP(G4836,PC!B:D,3,FALSE)</f>
        <v>DESPESA FINANCEIRA</v>
      </c>
      <c r="C4836" s="22">
        <v>2024</v>
      </c>
      <c r="D4836" t="s">
        <v>113</v>
      </c>
      <c r="F4836" t="str">
        <f>VLOOKUP(G4836,PC!B:D,2,FALSE)</f>
        <v>DESPESA FINANCEIRA</v>
      </c>
      <c r="G4836" s="4" t="s">
        <v>90</v>
      </c>
      <c r="H4836" s="1">
        <v>745.26</v>
      </c>
    </row>
    <row r="4837" spans="2:8" x14ac:dyDescent="0.2">
      <c r="B4837" t="str">
        <f>VLOOKUP(G4837,PC!B:D,3,FALSE)</f>
        <v>DESCONTO DE FATURAMENTO</v>
      </c>
      <c r="C4837" s="22">
        <v>2024</v>
      </c>
      <c r="D4837" t="s">
        <v>113</v>
      </c>
      <c r="F4837" t="str">
        <f>VLOOKUP(G4837,PC!B:D,2,FALSE)</f>
        <v>IMPOSTO</v>
      </c>
      <c r="G4837" s="4" t="s">
        <v>88</v>
      </c>
      <c r="H4837" s="1">
        <v>4542.1000000000004</v>
      </c>
    </row>
    <row r="4838" spans="2:8" x14ac:dyDescent="0.2">
      <c r="B4838" t="str">
        <f>VLOOKUP(G4838,PC!B:D,3,FALSE)</f>
        <v>RECEITA</v>
      </c>
      <c r="C4838" s="22">
        <v>2024</v>
      </c>
      <c r="D4838" t="s">
        <v>44</v>
      </c>
      <c r="F4838" t="str">
        <f>VLOOKUP(G4838,PC!B:D,2,FALSE)</f>
        <v>RECEITA</v>
      </c>
      <c r="G4838" s="4" t="s">
        <v>54</v>
      </c>
      <c r="H4838" s="1">
        <v>256</v>
      </c>
    </row>
    <row r="4839" spans="2:8" x14ac:dyDescent="0.2">
      <c r="B4839" t="str">
        <f>VLOOKUP(G4839,PC!B:D,3,FALSE)</f>
        <v>CPV</v>
      </c>
      <c r="C4839" s="22">
        <v>2024</v>
      </c>
      <c r="D4839" t="s">
        <v>44</v>
      </c>
      <c r="E4839" t="s">
        <v>5</v>
      </c>
      <c r="F4839" t="str">
        <f>VLOOKUP(G4839,PC!B:D,2,FALSE)</f>
        <v>COMIDA</v>
      </c>
      <c r="G4839" s="4" t="s">
        <v>18</v>
      </c>
      <c r="H4839" s="1">
        <v>346.03</v>
      </c>
    </row>
    <row r="4840" spans="2:8" x14ac:dyDescent="0.2">
      <c r="B4840" t="str">
        <f>VLOOKUP(G4840,PC!B:D,3,FALSE)</f>
        <v>CPV</v>
      </c>
      <c r="C4840" s="22">
        <v>2024</v>
      </c>
      <c r="D4840" t="s">
        <v>44</v>
      </c>
      <c r="E4840" t="s">
        <v>235</v>
      </c>
      <c r="F4840" t="str">
        <f>VLOOKUP(G4840,PC!B:D,2,FALSE)</f>
        <v>BEBIDAS</v>
      </c>
      <c r="G4840" s="4" t="s">
        <v>25</v>
      </c>
      <c r="H4840" s="1">
        <v>68</v>
      </c>
    </row>
    <row r="4841" spans="2:8" x14ac:dyDescent="0.2">
      <c r="B4841" t="str">
        <f>VLOOKUP(G4841,PC!B:D,3,FALSE)</f>
        <v>CPV</v>
      </c>
      <c r="C4841" s="22">
        <v>2024</v>
      </c>
      <c r="D4841" t="s">
        <v>44</v>
      </c>
      <c r="E4841" t="s">
        <v>21</v>
      </c>
      <c r="F4841" t="str">
        <f>VLOOKUP(G4841,PC!B:D,2,FALSE)</f>
        <v>SOBREMESA</v>
      </c>
      <c r="G4841" s="4" t="s">
        <v>23</v>
      </c>
      <c r="H4841" s="1">
        <v>102.85</v>
      </c>
    </row>
    <row r="4842" spans="2:8" x14ac:dyDescent="0.2">
      <c r="B4842" t="str">
        <f>VLOOKUP(G4842,PC!B:D,3,FALSE)</f>
        <v>CPV</v>
      </c>
      <c r="C4842" s="22">
        <v>2024</v>
      </c>
      <c r="D4842" t="s">
        <v>44</v>
      </c>
      <c r="E4842" t="s">
        <v>28</v>
      </c>
      <c r="F4842" t="str">
        <f>VLOOKUP(G4842,PC!B:D,2,FALSE)</f>
        <v>BEBIDAS</v>
      </c>
      <c r="G4842" s="4" t="s">
        <v>26</v>
      </c>
      <c r="H4842" s="1">
        <f>3733.97+2084.83</f>
        <v>5818.7999999999993</v>
      </c>
    </row>
    <row r="4843" spans="2:8" x14ac:dyDescent="0.2">
      <c r="B4843" t="str">
        <f>VLOOKUP(G4843,PC!B:D,3,FALSE)</f>
        <v>CPV</v>
      </c>
      <c r="C4843" s="22">
        <v>2024</v>
      </c>
      <c r="D4843" t="s">
        <v>44</v>
      </c>
      <c r="E4843" t="s">
        <v>49</v>
      </c>
      <c r="F4843" t="str">
        <f>VLOOKUP(G4843,PC!B:D,2,FALSE)</f>
        <v>CIGARRO</v>
      </c>
      <c r="G4843" s="4" t="s">
        <v>52</v>
      </c>
      <c r="H4843" s="1">
        <f>6415.39+21843.78</f>
        <v>28259.17</v>
      </c>
    </row>
    <row r="4844" spans="2:8" x14ac:dyDescent="0.2">
      <c r="B4844" t="str">
        <f>VLOOKUP(G4844,PC!B:D,3,FALSE)</f>
        <v>CPV</v>
      </c>
      <c r="C4844" s="22">
        <v>2024</v>
      </c>
      <c r="D4844" t="s">
        <v>44</v>
      </c>
      <c r="E4844" t="s">
        <v>226</v>
      </c>
      <c r="F4844" t="str">
        <f>VLOOKUP(G4844,PC!B:D,2,FALSE)</f>
        <v>BEBIDAS</v>
      </c>
      <c r="G4844" s="4" t="s">
        <v>25</v>
      </c>
      <c r="H4844" s="1">
        <f>843.37+633.86+152.56+28+570.3+747.93+157.16+254.26</f>
        <v>3387.4399999999996</v>
      </c>
    </row>
    <row r="4845" spans="2:8" x14ac:dyDescent="0.2">
      <c r="B4845" t="str">
        <f>VLOOKUP(G4845,PC!B:D,3,FALSE)</f>
        <v>DESPESA OPERACIONAL</v>
      </c>
      <c r="C4845" s="22">
        <v>2024</v>
      </c>
      <c r="D4845" t="s">
        <v>44</v>
      </c>
      <c r="F4845" t="str">
        <f>VLOOKUP(G4845,PC!B:D,2,FALSE)</f>
        <v>DESPESA OPERACIONAL</v>
      </c>
      <c r="G4845" s="4" t="s">
        <v>73</v>
      </c>
      <c r="H4845" s="1">
        <f>327.51+341.6</f>
        <v>669.11</v>
      </c>
    </row>
    <row r="4846" spans="2:8" x14ac:dyDescent="0.2">
      <c r="B4846" t="str">
        <f>VLOOKUP(G4846,PC!B:D,3,FALSE)</f>
        <v>RECEITA</v>
      </c>
      <c r="C4846" s="22">
        <v>2024</v>
      </c>
      <c r="D4846" t="s">
        <v>44</v>
      </c>
      <c r="F4846" t="str">
        <f>VLOOKUP(G4846,PC!B:D,2,FALSE)</f>
        <v>RECEITA</v>
      </c>
      <c r="G4846" s="4" t="s">
        <v>64</v>
      </c>
      <c r="H4846" s="1">
        <f>5.8+6.99</f>
        <v>12.79</v>
      </c>
    </row>
    <row r="4847" spans="2:8" x14ac:dyDescent="0.2">
      <c r="B4847" t="str">
        <f>VLOOKUP(G4847,PC!B:D,3,FALSE)</f>
        <v>CPV</v>
      </c>
      <c r="C4847" s="22">
        <v>2024</v>
      </c>
      <c r="D4847" t="s">
        <v>44</v>
      </c>
      <c r="E4847" t="s">
        <v>226</v>
      </c>
      <c r="F4847" t="str">
        <f>VLOOKUP(G4847,PC!B:D,2,FALSE)</f>
        <v>BEBIDAS</v>
      </c>
      <c r="G4847" s="4" t="s">
        <v>25</v>
      </c>
      <c r="H4847" s="1">
        <f>470.4+546.68+1534.47+33.66</f>
        <v>2585.21</v>
      </c>
    </row>
    <row r="4848" spans="2:8" x14ac:dyDescent="0.2">
      <c r="B4848" t="str">
        <f>VLOOKUP(G4848,PC!B:D,3,FALSE)</f>
        <v>CPV</v>
      </c>
      <c r="C4848" s="22">
        <v>2024</v>
      </c>
      <c r="D4848" t="s">
        <v>44</v>
      </c>
      <c r="E4848" t="s">
        <v>28</v>
      </c>
      <c r="F4848" t="str">
        <f>VLOOKUP(G4848,PC!B:D,2,FALSE)</f>
        <v>BEBIDAS</v>
      </c>
      <c r="G4848" s="4" t="s">
        <v>26</v>
      </c>
      <c r="H4848" s="1">
        <f>2571.97+1679.4+4614.27+1337.06+2202.4</f>
        <v>12405.099999999999</v>
      </c>
    </row>
    <row r="4849" spans="2:8" x14ac:dyDescent="0.2">
      <c r="B4849" t="str">
        <f>VLOOKUP(G4849,PC!B:D,3,FALSE)</f>
        <v>CPV</v>
      </c>
      <c r="C4849" s="22">
        <v>2024</v>
      </c>
      <c r="D4849" t="s">
        <v>44</v>
      </c>
      <c r="E4849" t="s">
        <v>49</v>
      </c>
      <c r="F4849" t="str">
        <f>VLOOKUP(G4849,PC!B:D,2,FALSE)</f>
        <v>CIGARRO</v>
      </c>
      <c r="G4849" s="4" t="s">
        <v>52</v>
      </c>
      <c r="H4849" s="1">
        <f>5711.48+5711.48</f>
        <v>11422.96</v>
      </c>
    </row>
    <row r="4850" spans="2:8" x14ac:dyDescent="0.2">
      <c r="B4850" t="str">
        <f>VLOOKUP(G4850,PC!B:D,3,FALSE)</f>
        <v>CPV</v>
      </c>
      <c r="C4850" s="22">
        <v>2024</v>
      </c>
      <c r="D4850" t="s">
        <v>44</v>
      </c>
      <c r="E4850" t="s">
        <v>19</v>
      </c>
      <c r="F4850" t="str">
        <f>VLOOKUP(G4850,PC!B:D,2,FALSE)</f>
        <v>BEBIDAS</v>
      </c>
      <c r="G4850" s="4" t="s">
        <v>46</v>
      </c>
      <c r="H4850" s="1">
        <v>409.39</v>
      </c>
    </row>
    <row r="4851" spans="2:8" x14ac:dyDescent="0.2">
      <c r="B4851" t="str">
        <f>VLOOKUP(G4851,PC!B:D,3,FALSE)</f>
        <v>CPV</v>
      </c>
      <c r="C4851" s="22">
        <v>2024</v>
      </c>
      <c r="D4851" t="s">
        <v>44</v>
      </c>
      <c r="E4851" t="s">
        <v>233</v>
      </c>
      <c r="F4851" t="str">
        <f>VLOOKUP(G4851,PC!B:D,2,FALSE)</f>
        <v>BEBIDAS</v>
      </c>
      <c r="G4851" s="4" t="s">
        <v>26</v>
      </c>
      <c r="H4851" s="1">
        <v>315.89999999999998</v>
      </c>
    </row>
    <row r="4852" spans="2:8" x14ac:dyDescent="0.2">
      <c r="B4852" t="str">
        <f>VLOOKUP(G4852,PC!B:D,3,FALSE)</f>
        <v>CPV</v>
      </c>
      <c r="C4852" s="22">
        <v>2024</v>
      </c>
      <c r="D4852" t="s">
        <v>44</v>
      </c>
      <c r="E4852" t="s">
        <v>227</v>
      </c>
      <c r="F4852" t="str">
        <f>VLOOKUP(G4852,PC!B:D,2,FALSE)</f>
        <v>COMIDA</v>
      </c>
      <c r="G4852" s="4" t="s">
        <v>38</v>
      </c>
      <c r="H4852" s="1">
        <v>441.35</v>
      </c>
    </row>
    <row r="4853" spans="2:8" x14ac:dyDescent="0.2">
      <c r="B4853" t="str">
        <f>VLOOKUP(G4853,PC!B:D,3,FALSE)</f>
        <v>CPV</v>
      </c>
      <c r="C4853" s="22">
        <v>2024</v>
      </c>
      <c r="D4853" t="s">
        <v>44</v>
      </c>
      <c r="E4853" t="s">
        <v>20</v>
      </c>
      <c r="F4853" t="str">
        <f>VLOOKUP(G4853,PC!B:D,2,FALSE)</f>
        <v>COMIDA</v>
      </c>
      <c r="G4853" s="4" t="s">
        <v>29</v>
      </c>
      <c r="H4853" s="1">
        <v>84.4</v>
      </c>
    </row>
    <row r="4854" spans="2:8" x14ac:dyDescent="0.2">
      <c r="B4854" t="str">
        <f>VLOOKUP(G4854,PC!B:D,3,FALSE)</f>
        <v>CPV</v>
      </c>
      <c r="C4854" s="22">
        <v>2024</v>
      </c>
      <c r="D4854" t="s">
        <v>44</v>
      </c>
      <c r="E4854" t="s">
        <v>239</v>
      </c>
      <c r="F4854" t="str">
        <f>VLOOKUP(G4854,PC!B:D,2,FALSE)</f>
        <v>BEBIDAS</v>
      </c>
      <c r="G4854" s="4" t="s">
        <v>26</v>
      </c>
      <c r="H4854" s="1">
        <v>762.8</v>
      </c>
    </row>
    <row r="4855" spans="2:8" x14ac:dyDescent="0.2">
      <c r="B4855" t="str">
        <f>VLOOKUP(G4855,PC!B:D,3,FALSE)</f>
        <v>CPV</v>
      </c>
      <c r="C4855" s="22">
        <v>2024</v>
      </c>
      <c r="D4855" t="s">
        <v>44</v>
      </c>
      <c r="E4855" t="s">
        <v>156</v>
      </c>
      <c r="F4855" t="str">
        <f>VLOOKUP(G4855,PC!B:D,2,FALSE)</f>
        <v>BEBIDAS</v>
      </c>
      <c r="G4855" s="4" t="s">
        <v>26</v>
      </c>
      <c r="H4855" s="1">
        <v>508.74</v>
      </c>
    </row>
    <row r="4856" spans="2:8" x14ac:dyDescent="0.2">
      <c r="B4856" t="str">
        <f>VLOOKUP(G4856,PC!B:D,3,FALSE)</f>
        <v>CPV</v>
      </c>
      <c r="C4856" s="22">
        <v>2024</v>
      </c>
      <c r="D4856" t="s">
        <v>44</v>
      </c>
      <c r="E4856" t="s">
        <v>45</v>
      </c>
      <c r="F4856" t="str">
        <f>VLOOKUP(G4856,PC!B:D,2,FALSE)</f>
        <v>COMIDA</v>
      </c>
      <c r="G4856" s="4" t="s">
        <v>38</v>
      </c>
      <c r="H4856" s="1">
        <v>253.11</v>
      </c>
    </row>
    <row r="4857" spans="2:8" x14ac:dyDescent="0.2">
      <c r="B4857" t="str">
        <f>VLOOKUP(G4857,PC!B:D,3,FALSE)</f>
        <v>CPV</v>
      </c>
      <c r="C4857" s="22">
        <v>2024</v>
      </c>
      <c r="D4857" t="s">
        <v>44</v>
      </c>
      <c r="E4857" t="s">
        <v>24</v>
      </c>
      <c r="F4857" t="str">
        <f>VLOOKUP(G4857,PC!B:D,2,FALSE)</f>
        <v>COMIDA</v>
      </c>
      <c r="G4857" s="4" t="s">
        <v>33</v>
      </c>
      <c r="H4857" s="1">
        <v>475.95</v>
      </c>
    </row>
    <row r="4858" spans="2:8" x14ac:dyDescent="0.2">
      <c r="B4858" t="str">
        <f>VLOOKUP(G4858,PC!B:D,3,FALSE)</f>
        <v>CPV</v>
      </c>
      <c r="C4858" s="22">
        <v>2024</v>
      </c>
      <c r="D4858" t="s">
        <v>44</v>
      </c>
      <c r="E4858" t="s">
        <v>6</v>
      </c>
      <c r="F4858" t="str">
        <f>VLOOKUP(G4858,PC!B:D,2,FALSE)</f>
        <v>COMIDA</v>
      </c>
      <c r="G4858" s="4" t="s">
        <v>18</v>
      </c>
      <c r="H4858" s="1">
        <v>198.6</v>
      </c>
    </row>
    <row r="4859" spans="2:8" x14ac:dyDescent="0.2">
      <c r="B4859" t="str">
        <f>VLOOKUP(G4859,PC!B:D,3,FALSE)</f>
        <v>CPV</v>
      </c>
      <c r="C4859" s="22">
        <v>2024</v>
      </c>
      <c r="D4859" t="s">
        <v>44</v>
      </c>
      <c r="E4859" t="s">
        <v>95</v>
      </c>
      <c r="F4859" t="str">
        <f>VLOOKUP(G4859,PC!B:D,2,FALSE)</f>
        <v>BEBIDAS</v>
      </c>
      <c r="G4859" s="4" t="s">
        <v>144</v>
      </c>
      <c r="H4859" s="1">
        <v>563.1</v>
      </c>
    </row>
    <row r="4860" spans="2:8" x14ac:dyDescent="0.2">
      <c r="B4860" t="str">
        <f>VLOOKUP(G4860,PC!B:D,3,FALSE)</f>
        <v>CPV</v>
      </c>
      <c r="C4860" s="22">
        <v>2024</v>
      </c>
      <c r="D4860" t="s">
        <v>44</v>
      </c>
      <c r="E4860" t="s">
        <v>211</v>
      </c>
      <c r="F4860" t="str">
        <f>VLOOKUP(G4860,PC!B:D,2,FALSE)</f>
        <v>BEBIDAS</v>
      </c>
      <c r="G4860" s="4" t="s">
        <v>26</v>
      </c>
      <c r="H4860" s="1">
        <v>815.63</v>
      </c>
    </row>
    <row r="4861" spans="2:8" x14ac:dyDescent="0.2">
      <c r="B4861" t="str">
        <f>VLOOKUP(G4861,PC!B:D,3,FALSE)</f>
        <v>CPV</v>
      </c>
      <c r="C4861" s="22">
        <v>2024</v>
      </c>
      <c r="D4861" t="s">
        <v>44</v>
      </c>
      <c r="E4861" t="s">
        <v>227</v>
      </c>
      <c r="F4861" t="str">
        <f>VLOOKUP(G4861,PC!B:D,2,FALSE)</f>
        <v>COMIDA</v>
      </c>
      <c r="G4861" s="4" t="s">
        <v>38</v>
      </c>
      <c r="H4861" s="1">
        <v>1950.59</v>
      </c>
    </row>
    <row r="4862" spans="2:8" x14ac:dyDescent="0.2">
      <c r="B4862" t="str">
        <f>VLOOKUP(G4862,PC!B:D,3,FALSE)</f>
        <v>CPV</v>
      </c>
      <c r="C4862" s="22">
        <v>2024</v>
      </c>
      <c r="D4862" t="s">
        <v>44</v>
      </c>
      <c r="E4862" t="s">
        <v>19</v>
      </c>
      <c r="F4862" t="str">
        <f>VLOOKUP(G4862,PC!B:D,2,FALSE)</f>
        <v>OUTROS</v>
      </c>
      <c r="G4862" s="4" t="s">
        <v>37</v>
      </c>
      <c r="H4862" s="1">
        <v>146.80000000000001</v>
      </c>
    </row>
    <row r="4863" spans="2:8" x14ac:dyDescent="0.2">
      <c r="B4863" t="str">
        <f>VLOOKUP(G4863,PC!B:D,3,FALSE)</f>
        <v>CPV</v>
      </c>
      <c r="C4863" s="22">
        <v>2024</v>
      </c>
      <c r="D4863" t="s">
        <v>44</v>
      </c>
      <c r="E4863" t="s">
        <v>45</v>
      </c>
      <c r="F4863" t="str">
        <f>VLOOKUP(G4863,PC!B:D,2,FALSE)</f>
        <v>OUTROS</v>
      </c>
      <c r="G4863" s="4" t="s">
        <v>37</v>
      </c>
      <c r="H4863" s="1">
        <v>211.14</v>
      </c>
    </row>
    <row r="4864" spans="2:8" x14ac:dyDescent="0.2">
      <c r="B4864" t="str">
        <f>VLOOKUP(G4864,PC!B:D,3,FALSE)</f>
        <v>CPV</v>
      </c>
      <c r="C4864" s="22">
        <v>2024</v>
      </c>
      <c r="D4864" t="s">
        <v>44</v>
      </c>
      <c r="E4864" t="s">
        <v>45</v>
      </c>
      <c r="F4864" t="str">
        <f>VLOOKUP(G4864,PC!B:D,2,FALSE)</f>
        <v>COMIDA</v>
      </c>
      <c r="G4864" s="4" t="s">
        <v>38</v>
      </c>
      <c r="H4864" s="1">
        <v>370.12</v>
      </c>
    </row>
    <row r="4865" spans="2:8" x14ac:dyDescent="0.2">
      <c r="B4865" t="str">
        <f>VLOOKUP(G4865,PC!B:D,3,FALSE)</f>
        <v>CPV</v>
      </c>
      <c r="C4865" s="22">
        <v>2024</v>
      </c>
      <c r="D4865" t="s">
        <v>44</v>
      </c>
      <c r="E4865" t="s">
        <v>19</v>
      </c>
      <c r="F4865" t="str">
        <f>VLOOKUP(G4865,PC!B:D,2,FALSE)</f>
        <v>OUTROS</v>
      </c>
      <c r="G4865" s="4" t="s">
        <v>37</v>
      </c>
      <c r="H4865" s="1">
        <v>8.66</v>
      </c>
    </row>
    <row r="4866" spans="2:8" x14ac:dyDescent="0.2">
      <c r="B4866" t="str">
        <f>VLOOKUP(G4866,PC!B:D,3,FALSE)</f>
        <v>CPV</v>
      </c>
      <c r="C4866" s="22">
        <v>2024</v>
      </c>
      <c r="D4866" t="s">
        <v>44</v>
      </c>
      <c r="E4866" t="s">
        <v>20</v>
      </c>
      <c r="F4866" t="str">
        <f>VLOOKUP(G4866,PC!B:D,2,FALSE)</f>
        <v>COMIDA</v>
      </c>
      <c r="G4866" s="4" t="s">
        <v>29</v>
      </c>
      <c r="H4866" s="1">
        <v>186.8</v>
      </c>
    </row>
    <row r="4867" spans="2:8" x14ac:dyDescent="0.2">
      <c r="B4867" t="str">
        <f>VLOOKUP(G4867,PC!B:D,3,FALSE)</f>
        <v>CPV</v>
      </c>
      <c r="C4867" s="22">
        <v>2024</v>
      </c>
      <c r="D4867" t="s">
        <v>44</v>
      </c>
      <c r="E4867" t="s">
        <v>16</v>
      </c>
      <c r="F4867" t="str">
        <f>VLOOKUP(G4867,PC!B:D,2,FALSE)</f>
        <v>COMIDA</v>
      </c>
      <c r="G4867" s="4" t="s">
        <v>33</v>
      </c>
      <c r="H4867" s="1">
        <v>478.5</v>
      </c>
    </row>
    <row r="4868" spans="2:8" x14ac:dyDescent="0.2">
      <c r="B4868" t="str">
        <f>VLOOKUP(G4868,PC!B:D,3,FALSE)</f>
        <v>CPV</v>
      </c>
      <c r="C4868" s="22">
        <v>2024</v>
      </c>
      <c r="D4868" t="s">
        <v>44</v>
      </c>
      <c r="E4868" t="s">
        <v>234</v>
      </c>
      <c r="F4868" t="str">
        <f>VLOOKUP(G4868,PC!B:D,2,FALSE)</f>
        <v>SOBREMESA</v>
      </c>
      <c r="G4868" s="4" t="s">
        <v>8</v>
      </c>
      <c r="H4868" s="1">
        <v>554.21</v>
      </c>
    </row>
    <row r="4869" spans="2:8" x14ac:dyDescent="0.2">
      <c r="B4869" t="str">
        <f>VLOOKUP(G4869,PC!B:D,3,FALSE)</f>
        <v>CPV</v>
      </c>
      <c r="C4869" s="22">
        <v>2024</v>
      </c>
      <c r="D4869" t="s">
        <v>44</v>
      </c>
      <c r="E4869" t="s">
        <v>27</v>
      </c>
      <c r="F4869" t="str">
        <f>VLOOKUP(G4869,PC!B:D,2,FALSE)</f>
        <v>COMIDA</v>
      </c>
      <c r="G4869" s="4" t="s">
        <v>12</v>
      </c>
      <c r="H4869" s="1">
        <v>367.19</v>
      </c>
    </row>
    <row r="4870" spans="2:8" x14ac:dyDescent="0.2">
      <c r="B4870" t="str">
        <f>VLOOKUP(G4870,PC!B:D,3,FALSE)</f>
        <v>CPV</v>
      </c>
      <c r="C4870" s="22">
        <v>2024</v>
      </c>
      <c r="D4870" t="s">
        <v>44</v>
      </c>
      <c r="E4870" t="s">
        <v>129</v>
      </c>
      <c r="F4870" t="str">
        <f>VLOOKUP(G4870,PC!B:D,2,FALSE)</f>
        <v>BEBIDAS</v>
      </c>
      <c r="G4870" s="4" t="s">
        <v>48</v>
      </c>
      <c r="H4870" s="1">
        <v>100</v>
      </c>
    </row>
    <row r="4871" spans="2:8" x14ac:dyDescent="0.2">
      <c r="B4871" t="str">
        <f>VLOOKUP(G4871,PC!B:D,3,FALSE)</f>
        <v>CPV</v>
      </c>
      <c r="C4871" s="22">
        <v>2024</v>
      </c>
      <c r="D4871" t="s">
        <v>44</v>
      </c>
      <c r="E4871" t="s">
        <v>78</v>
      </c>
      <c r="F4871" t="str">
        <f>VLOOKUP(G4871,PC!B:D,2,FALSE)</f>
        <v>CIGARRO</v>
      </c>
      <c r="G4871" s="4" t="s">
        <v>82</v>
      </c>
      <c r="H4871" s="1">
        <v>137</v>
      </c>
    </row>
    <row r="4872" spans="2:8" x14ac:dyDescent="0.2">
      <c r="B4872" t="str">
        <f>VLOOKUP(G4872,PC!B:D,3,FALSE)</f>
        <v>CPV</v>
      </c>
      <c r="C4872" s="22">
        <v>2024</v>
      </c>
      <c r="D4872" t="s">
        <v>44</v>
      </c>
      <c r="E4872" t="s">
        <v>237</v>
      </c>
      <c r="F4872" t="str">
        <f>VLOOKUP(G4872,PC!B:D,2,FALSE)</f>
        <v>COMIDA</v>
      </c>
      <c r="G4872" s="4" t="s">
        <v>34</v>
      </c>
      <c r="H4872" s="1">
        <v>187.53</v>
      </c>
    </row>
    <row r="4873" spans="2:8" x14ac:dyDescent="0.2">
      <c r="B4873" t="str">
        <f>VLOOKUP(G4873,PC!B:D,3,FALSE)</f>
        <v>RECEITA</v>
      </c>
      <c r="C4873" s="22">
        <v>2024</v>
      </c>
      <c r="D4873" t="s">
        <v>44</v>
      </c>
      <c r="F4873" t="str">
        <f>VLOOKUP(G4873,PC!B:D,2,FALSE)</f>
        <v>RECEITA</v>
      </c>
      <c r="G4873" s="4" t="s">
        <v>137</v>
      </c>
      <c r="H4873" s="1">
        <v>27833.94</v>
      </c>
    </row>
    <row r="4874" spans="2:8" x14ac:dyDescent="0.2">
      <c r="B4874" t="str">
        <f>VLOOKUP(G4874,PC!B:D,3,FALSE)</f>
        <v>RECEITA</v>
      </c>
      <c r="C4874" s="22">
        <v>2024</v>
      </c>
      <c r="D4874" t="s">
        <v>44</v>
      </c>
      <c r="F4874" t="str">
        <f>VLOOKUP(G4874,PC!B:D,2,FALSE)</f>
        <v>RECEITA</v>
      </c>
      <c r="G4874" s="4" t="s">
        <v>137</v>
      </c>
      <c r="H4874" s="1">
        <v>5235.1499999999996</v>
      </c>
    </row>
    <row r="4875" spans="2:8" x14ac:dyDescent="0.2">
      <c r="B4875" t="str">
        <f>VLOOKUP(G4875,PC!B:D,3,FALSE)</f>
        <v>RECEITA</v>
      </c>
      <c r="C4875" s="22">
        <v>2024</v>
      </c>
      <c r="D4875" t="s">
        <v>44</v>
      </c>
      <c r="F4875" t="str">
        <f>VLOOKUP(G4875,PC!B:D,2,FALSE)</f>
        <v>RECEITA</v>
      </c>
      <c r="G4875" s="4" t="s">
        <v>136</v>
      </c>
      <c r="H4875" s="1">
        <v>14040.2</v>
      </c>
    </row>
    <row r="4876" spans="2:8" x14ac:dyDescent="0.2">
      <c r="B4876" t="str">
        <f>VLOOKUP(G4876,PC!B:D,3,FALSE)</f>
        <v>DESCONTO DE FATURAMENTO</v>
      </c>
      <c r="C4876" s="22">
        <v>2024</v>
      </c>
      <c r="D4876" t="s">
        <v>44</v>
      </c>
      <c r="F4876" t="str">
        <f>VLOOKUP(G4876,PC!B:D,2,FALSE)</f>
        <v>OUTROS DESCONTOS</v>
      </c>
      <c r="G4876" s="4" t="s">
        <v>63</v>
      </c>
      <c r="H4876" s="1">
        <f>H4875-13884.35</f>
        <v>155.85000000000036</v>
      </c>
    </row>
    <row r="4877" spans="2:8" x14ac:dyDescent="0.2">
      <c r="B4877" t="e">
        <f>VLOOKUP(G4877,PC!B:D,3,FALSE)</f>
        <v>#N/A</v>
      </c>
      <c r="C4877" s="22">
        <v>2024</v>
      </c>
      <c r="D4877" t="s">
        <v>44</v>
      </c>
      <c r="F4877" t="e">
        <f>VLOOKUP(G4877,PC!B:D,2,FALSE)</f>
        <v>#N/A</v>
      </c>
      <c r="G4877" s="4" t="s">
        <v>232</v>
      </c>
      <c r="H4877" s="1">
        <v>1870</v>
      </c>
    </row>
    <row r="4878" spans="2:8" x14ac:dyDescent="0.2">
      <c r="B4878" t="str">
        <f>VLOOKUP(G4878,PC!B:D,3,FALSE)</f>
        <v>DESCONTO DE FATURAMENTO</v>
      </c>
      <c r="C4878" s="22">
        <v>2024</v>
      </c>
      <c r="D4878" t="s">
        <v>44</v>
      </c>
      <c r="F4878" t="str">
        <f>VLOOKUP(G4878,PC!B:D,2,FALSE)</f>
        <v>OUTROS DESCONTOS</v>
      </c>
      <c r="G4878" s="4" t="s">
        <v>63</v>
      </c>
      <c r="H4878" s="1">
        <f>H4877-1860.58</f>
        <v>9.4200000000000728</v>
      </c>
    </row>
    <row r="4879" spans="2:8" x14ac:dyDescent="0.2">
      <c r="B4879" t="str">
        <f>VLOOKUP(G4879,PC!B:D,3,FALSE)</f>
        <v>DESCONTO DE FATURAMENTO</v>
      </c>
      <c r="C4879" s="22">
        <v>2024</v>
      </c>
      <c r="D4879" t="s">
        <v>44</v>
      </c>
      <c r="F4879" t="str">
        <f>VLOOKUP(G4879,PC!B:D,2,FALSE)</f>
        <v>OUTROS DESCONTOS</v>
      </c>
      <c r="G4879" s="4" t="s">
        <v>63</v>
      </c>
      <c r="H4879" s="1">
        <f>H4874-5135.45</f>
        <v>99.699999999999818</v>
      </c>
    </row>
    <row r="4880" spans="2:8" x14ac:dyDescent="0.2">
      <c r="B4880" t="str">
        <f>VLOOKUP(G4880,PC!B:D,3,FALSE)</f>
        <v>CPV</v>
      </c>
      <c r="C4880" s="22">
        <v>2024</v>
      </c>
      <c r="D4880" t="s">
        <v>44</v>
      </c>
      <c r="E4880" t="s">
        <v>129</v>
      </c>
      <c r="F4880" t="str">
        <f>VLOOKUP(G4880,PC!B:D,2,FALSE)</f>
        <v>OUTROS</v>
      </c>
      <c r="G4880" s="4" t="s">
        <v>37</v>
      </c>
      <c r="H4880" s="1">
        <v>497.49</v>
      </c>
    </row>
    <row r="4881" spans="2:8" x14ac:dyDescent="0.2">
      <c r="B4881" t="str">
        <f>VLOOKUP(G4881,PC!B:D,3,FALSE)</f>
        <v>CPV</v>
      </c>
      <c r="C4881" s="22">
        <v>2024</v>
      </c>
      <c r="D4881" t="s">
        <v>44</v>
      </c>
      <c r="E4881" t="s">
        <v>129</v>
      </c>
      <c r="F4881" t="str">
        <f>VLOOKUP(G4881,PC!B:D,2,FALSE)</f>
        <v>COMIDA</v>
      </c>
      <c r="G4881" s="4" t="s">
        <v>155</v>
      </c>
      <c r="H4881" s="1">
        <v>620</v>
      </c>
    </row>
    <row r="4882" spans="2:8" x14ac:dyDescent="0.2">
      <c r="B4882" t="str">
        <f>VLOOKUP(G4882,PC!B:D,3,FALSE)</f>
        <v>CPV</v>
      </c>
      <c r="C4882" s="22">
        <v>2024</v>
      </c>
      <c r="D4882" t="s">
        <v>44</v>
      </c>
      <c r="E4882" t="s">
        <v>129</v>
      </c>
      <c r="F4882" t="str">
        <f>VLOOKUP(G4882,PC!B:D,2,FALSE)</f>
        <v>OUTROS</v>
      </c>
      <c r="G4882" s="4" t="s">
        <v>37</v>
      </c>
      <c r="H4882" s="1">
        <v>1080.5</v>
      </c>
    </row>
    <row r="4883" spans="2:8" x14ac:dyDescent="0.2">
      <c r="B4883" t="str">
        <f>VLOOKUP(G4883,PC!B:D,3,FALSE)</f>
        <v>CPV</v>
      </c>
      <c r="C4883" s="22">
        <v>2024</v>
      </c>
      <c r="D4883" t="s">
        <v>44</v>
      </c>
      <c r="E4883" t="s">
        <v>129</v>
      </c>
      <c r="F4883" t="str">
        <f>VLOOKUP(G4883,PC!B:D,2,FALSE)</f>
        <v>OUTROS</v>
      </c>
      <c r="G4883" s="4" t="s">
        <v>37</v>
      </c>
      <c r="H4883" s="1">
        <v>355</v>
      </c>
    </row>
    <row r="4884" spans="2:8" x14ac:dyDescent="0.2">
      <c r="B4884" t="str">
        <f>VLOOKUP(G4884,PC!B:D,3,FALSE)</f>
        <v>CPV</v>
      </c>
      <c r="C4884" s="22">
        <v>2024</v>
      </c>
      <c r="D4884" t="s">
        <v>44</v>
      </c>
      <c r="E4884" t="s">
        <v>129</v>
      </c>
      <c r="F4884" t="str">
        <f>VLOOKUP(G4884,PC!B:D,2,FALSE)</f>
        <v>OUTROS</v>
      </c>
      <c r="G4884" s="4" t="s">
        <v>37</v>
      </c>
      <c r="H4884" s="1">
        <v>351.2</v>
      </c>
    </row>
    <row r="4885" spans="2:8" x14ac:dyDescent="0.2">
      <c r="B4885" t="str">
        <f>VLOOKUP(G4885,PC!B:D,3,FALSE)</f>
        <v>CPV</v>
      </c>
      <c r="C4885" s="22">
        <v>2024</v>
      </c>
      <c r="D4885" t="s">
        <v>44</v>
      </c>
      <c r="E4885" t="s">
        <v>129</v>
      </c>
      <c r="F4885" t="str">
        <f>VLOOKUP(G4885,PC!B:D,2,FALSE)</f>
        <v>OUTROS</v>
      </c>
      <c r="G4885" s="4" t="s">
        <v>37</v>
      </c>
      <c r="H4885" s="1">
        <v>446.73</v>
      </c>
    </row>
    <row r="4886" spans="2:8" x14ac:dyDescent="0.2">
      <c r="B4886" t="str">
        <f>VLOOKUP(G4886,PC!B:D,3,FALSE)</f>
        <v>CPV</v>
      </c>
      <c r="C4886" s="22">
        <v>2024</v>
      </c>
      <c r="D4886" t="s">
        <v>44</v>
      </c>
      <c r="E4886" t="s">
        <v>129</v>
      </c>
      <c r="F4886" t="str">
        <f>VLOOKUP(G4886,PC!B:D,2,FALSE)</f>
        <v>OUTROS</v>
      </c>
      <c r="G4886" s="4" t="s">
        <v>37</v>
      </c>
      <c r="H4886" s="1">
        <v>549.33000000000004</v>
      </c>
    </row>
    <row r="4887" spans="2:8" x14ac:dyDescent="0.2">
      <c r="B4887" t="str">
        <f>VLOOKUP(G4887,PC!B:D,3,FALSE)</f>
        <v>DESPESA OPERACIONAL</v>
      </c>
      <c r="C4887" s="22">
        <v>2024</v>
      </c>
      <c r="D4887" t="s">
        <v>44</v>
      </c>
      <c r="F4887" t="str">
        <f>VLOOKUP(G4887,PC!B:D,2,FALSE)</f>
        <v>DESPESA OPERACIONAL</v>
      </c>
      <c r="G4887" s="4" t="s">
        <v>73</v>
      </c>
      <c r="H4887" s="1">
        <f>929.59+252.12+398.97</f>
        <v>1580.68</v>
      </c>
    </row>
    <row r="4888" spans="2:8" x14ac:dyDescent="0.2">
      <c r="B4888" t="str">
        <f>VLOOKUP(G4888,PC!B:D,3,FALSE)</f>
        <v>RECEITA</v>
      </c>
      <c r="C4888" s="22">
        <v>2024</v>
      </c>
      <c r="D4888" t="s">
        <v>44</v>
      </c>
      <c r="F4888" t="str">
        <f>VLOOKUP(G4888,PC!B:D,2,FALSE)</f>
        <v>RECEITA</v>
      </c>
      <c r="G4888" s="4" t="s">
        <v>64</v>
      </c>
      <c r="H4888" s="1">
        <f>19.91+5.38+8.53</f>
        <v>33.82</v>
      </c>
    </row>
    <row r="4889" spans="2:8" x14ac:dyDescent="0.2">
      <c r="B4889" t="str">
        <f>VLOOKUP(G4889,PC!B:D,3,FALSE)</f>
        <v>CPV</v>
      </c>
      <c r="C4889" s="22">
        <v>2024</v>
      </c>
      <c r="D4889" t="s">
        <v>44</v>
      </c>
      <c r="E4889" t="s">
        <v>129</v>
      </c>
      <c r="F4889" t="str">
        <f>VLOOKUP(G4889,PC!B:D,2,FALSE)</f>
        <v>CIGARRO</v>
      </c>
      <c r="G4889" s="4" t="s">
        <v>57</v>
      </c>
      <c r="H4889" s="1">
        <v>956</v>
      </c>
    </row>
    <row r="4890" spans="2:8" x14ac:dyDescent="0.2">
      <c r="B4890" t="str">
        <f>VLOOKUP(G4890,PC!B:D,3,FALSE)</f>
        <v>CPV</v>
      </c>
      <c r="C4890" s="22">
        <v>2024</v>
      </c>
      <c r="D4890" t="s">
        <v>44</v>
      </c>
      <c r="E4890" t="s">
        <v>129</v>
      </c>
      <c r="F4890" t="str">
        <f>VLOOKUP(G4890,PC!B:D,2,FALSE)</f>
        <v>CIGARRO</v>
      </c>
      <c r="G4890" s="4" t="s">
        <v>53</v>
      </c>
      <c r="H4890" s="1">
        <v>1500</v>
      </c>
    </row>
    <row r="4891" spans="2:8" x14ac:dyDescent="0.2">
      <c r="B4891" t="str">
        <f>VLOOKUP(G4891,PC!B:D,3,FALSE)</f>
        <v>CPV</v>
      </c>
      <c r="C4891" s="22">
        <v>2024</v>
      </c>
      <c r="D4891" t="s">
        <v>44</v>
      </c>
      <c r="E4891" t="s">
        <v>129</v>
      </c>
      <c r="F4891" t="str">
        <f>VLOOKUP(G4891,PC!B:D,2,FALSE)</f>
        <v>SOBREMESA</v>
      </c>
      <c r="G4891" s="4" t="s">
        <v>7</v>
      </c>
      <c r="H4891" s="1">
        <v>266</v>
      </c>
    </row>
    <row r="4892" spans="2:8" x14ac:dyDescent="0.2">
      <c r="B4892" t="str">
        <f>VLOOKUP(G4892,PC!B:D,3,FALSE)</f>
        <v>CPV</v>
      </c>
      <c r="C4892" s="22">
        <v>2024</v>
      </c>
      <c r="D4892" t="s">
        <v>44</v>
      </c>
      <c r="E4892" t="s">
        <v>129</v>
      </c>
      <c r="F4892" t="str">
        <f>VLOOKUP(G4892,PC!B:D,2,FALSE)</f>
        <v>COMIDA</v>
      </c>
      <c r="G4892" s="4" t="s">
        <v>155</v>
      </c>
      <c r="H4892" s="1">
        <v>635</v>
      </c>
    </row>
    <row r="4893" spans="2:8" x14ac:dyDescent="0.2">
      <c r="B4893" t="str">
        <f>VLOOKUP(G4893,PC!B:D,3,FALSE)</f>
        <v>CPV</v>
      </c>
      <c r="C4893" s="22">
        <v>2024</v>
      </c>
      <c r="D4893" t="s">
        <v>44</v>
      </c>
      <c r="E4893" t="s">
        <v>129</v>
      </c>
      <c r="F4893" t="str">
        <f>VLOOKUP(G4893,PC!B:D,2,FALSE)</f>
        <v>OUTROS</v>
      </c>
      <c r="G4893" s="4" t="s">
        <v>37</v>
      </c>
      <c r="H4893" s="1">
        <v>404</v>
      </c>
    </row>
    <row r="4894" spans="2:8" x14ac:dyDescent="0.2">
      <c r="B4894" t="str">
        <f>VLOOKUP(G4894,PC!B:D,3,FALSE)</f>
        <v>CPV</v>
      </c>
      <c r="C4894" s="22">
        <v>2024</v>
      </c>
      <c r="D4894" t="s">
        <v>44</v>
      </c>
      <c r="E4894" t="s">
        <v>129</v>
      </c>
      <c r="F4894" t="str">
        <f>VLOOKUP(G4894,PC!B:D,2,FALSE)</f>
        <v>SOBREMESA</v>
      </c>
      <c r="G4894" s="4" t="s">
        <v>7</v>
      </c>
      <c r="H4894" s="1">
        <v>323.69</v>
      </c>
    </row>
    <row r="4895" spans="2:8" x14ac:dyDescent="0.2">
      <c r="B4895" t="str">
        <f>VLOOKUP(G4895,PC!B:D,3,FALSE)</f>
        <v>CPV</v>
      </c>
      <c r="C4895" s="22">
        <v>2024</v>
      </c>
      <c r="D4895" t="s">
        <v>44</v>
      </c>
      <c r="E4895" t="s">
        <v>129</v>
      </c>
      <c r="F4895" t="str">
        <f>VLOOKUP(G4895,PC!B:D,2,FALSE)</f>
        <v>SOBREMESA</v>
      </c>
      <c r="G4895" s="4" t="s">
        <v>7</v>
      </c>
      <c r="H4895" s="1">
        <v>345</v>
      </c>
    </row>
    <row r="4896" spans="2:8" x14ac:dyDescent="0.2">
      <c r="B4896" t="str">
        <f>VLOOKUP(G4896,PC!B:D,3,FALSE)</f>
        <v>CPV</v>
      </c>
      <c r="C4896" s="22">
        <v>2024</v>
      </c>
      <c r="D4896" t="s">
        <v>44</v>
      </c>
      <c r="E4896" t="s">
        <v>129</v>
      </c>
      <c r="F4896" t="str">
        <f>VLOOKUP(G4896,PC!B:D,2,FALSE)</f>
        <v>COMIDA</v>
      </c>
      <c r="G4896" s="4" t="s">
        <v>12</v>
      </c>
      <c r="H4896" s="1">
        <v>500</v>
      </c>
    </row>
    <row r="4897" spans="2:8" x14ac:dyDescent="0.2">
      <c r="B4897" t="str">
        <f>VLOOKUP(G4897,PC!B:D,3,FALSE)</f>
        <v>CPV</v>
      </c>
      <c r="C4897" s="22">
        <v>2024</v>
      </c>
      <c r="D4897" t="s">
        <v>44</v>
      </c>
      <c r="E4897" t="s">
        <v>129</v>
      </c>
      <c r="F4897" t="str">
        <f>VLOOKUP(G4897,PC!B:D,2,FALSE)</f>
        <v>SOBREMESA</v>
      </c>
      <c r="G4897" s="4" t="s">
        <v>7</v>
      </c>
      <c r="H4897" s="1">
        <v>88</v>
      </c>
    </row>
    <row r="4898" spans="2:8" x14ac:dyDescent="0.2">
      <c r="B4898" t="str">
        <f>VLOOKUP(G4898,PC!B:D,3,FALSE)</f>
        <v>CPV</v>
      </c>
      <c r="C4898" s="22">
        <v>2024</v>
      </c>
      <c r="D4898" t="s">
        <v>44</v>
      </c>
      <c r="E4898" t="s">
        <v>129</v>
      </c>
      <c r="F4898" t="str">
        <f>VLOOKUP(G4898,PC!B:D,2,FALSE)</f>
        <v>COMIDA</v>
      </c>
      <c r="G4898" s="4" t="s">
        <v>12</v>
      </c>
      <c r="H4898" s="1">
        <v>140</v>
      </c>
    </row>
    <row r="4899" spans="2:8" x14ac:dyDescent="0.2">
      <c r="B4899" t="str">
        <f>VLOOKUP(G4899,PC!B:D,3,FALSE)</f>
        <v>CPV</v>
      </c>
      <c r="C4899" s="22">
        <v>2024</v>
      </c>
      <c r="D4899" t="s">
        <v>44</v>
      </c>
      <c r="E4899" t="s">
        <v>129</v>
      </c>
      <c r="F4899" t="str">
        <f>VLOOKUP(G4899,PC!B:D,2,FALSE)</f>
        <v>COMIDA</v>
      </c>
      <c r="G4899" s="4" t="s">
        <v>33</v>
      </c>
      <c r="H4899" s="1">
        <v>60</v>
      </c>
    </row>
    <row r="4900" spans="2:8" x14ac:dyDescent="0.2">
      <c r="B4900" t="str">
        <f>VLOOKUP(G4900,PC!B:D,3,FALSE)</f>
        <v>CPV</v>
      </c>
      <c r="C4900" s="22">
        <v>2024</v>
      </c>
      <c r="D4900" t="s">
        <v>44</v>
      </c>
      <c r="E4900" t="s">
        <v>129</v>
      </c>
      <c r="F4900" t="str">
        <f>VLOOKUP(G4900,PC!B:D,2,FALSE)</f>
        <v>OUTROS</v>
      </c>
      <c r="G4900" s="4" t="s">
        <v>149</v>
      </c>
      <c r="H4900" s="1">
        <v>168</v>
      </c>
    </row>
    <row r="4901" spans="2:8" x14ac:dyDescent="0.2">
      <c r="B4901" t="str">
        <f>VLOOKUP(G4901,PC!B:D,3,FALSE)</f>
        <v>CPV</v>
      </c>
      <c r="C4901" s="22">
        <v>2024</v>
      </c>
      <c r="D4901" t="s">
        <v>44</v>
      </c>
      <c r="E4901" t="s">
        <v>129</v>
      </c>
      <c r="F4901" t="str">
        <f>VLOOKUP(G4901,PC!B:D,2,FALSE)</f>
        <v>CIGARRO</v>
      </c>
      <c r="G4901" s="4" t="s">
        <v>57</v>
      </c>
      <c r="H4901" s="1">
        <v>1181</v>
      </c>
    </row>
    <row r="4902" spans="2:8" x14ac:dyDescent="0.2">
      <c r="B4902" t="str">
        <f>VLOOKUP(G4902,PC!B:D,3,FALSE)</f>
        <v>CPV</v>
      </c>
      <c r="C4902" s="22">
        <v>2024</v>
      </c>
      <c r="D4902" t="s">
        <v>44</v>
      </c>
      <c r="E4902" t="s">
        <v>129</v>
      </c>
      <c r="F4902" t="str">
        <f>VLOOKUP(G4902,PC!B:D,2,FALSE)</f>
        <v>BEBIDAS</v>
      </c>
      <c r="G4902" s="4" t="s">
        <v>39</v>
      </c>
      <c r="H4902" s="1">
        <v>104</v>
      </c>
    </row>
    <row r="4903" spans="2:8" x14ac:dyDescent="0.2">
      <c r="B4903" t="str">
        <f>VLOOKUP(G4903,PC!B:D,3,FALSE)</f>
        <v>CPV</v>
      </c>
      <c r="C4903" s="22">
        <v>2024</v>
      </c>
      <c r="D4903" t="s">
        <v>44</v>
      </c>
      <c r="E4903" t="s">
        <v>129</v>
      </c>
      <c r="F4903" t="str">
        <f>VLOOKUP(G4903,PC!B:D,2,FALSE)</f>
        <v>BEBIDAS</v>
      </c>
      <c r="G4903" s="4" t="s">
        <v>48</v>
      </c>
      <c r="H4903" s="1">
        <v>211.2</v>
      </c>
    </row>
    <row r="4904" spans="2:8" x14ac:dyDescent="0.2">
      <c r="B4904" t="str">
        <f>VLOOKUP(G4904,PC!B:D,3,FALSE)</f>
        <v>CPV</v>
      </c>
      <c r="C4904" s="22">
        <v>2024</v>
      </c>
      <c r="D4904" t="s">
        <v>44</v>
      </c>
      <c r="E4904" t="s">
        <v>129</v>
      </c>
      <c r="F4904" t="str">
        <f>VLOOKUP(G4904,PC!B:D,2,FALSE)</f>
        <v>BEBIDAS</v>
      </c>
      <c r="G4904" s="4" t="s">
        <v>48</v>
      </c>
      <c r="H4904" s="1">
        <v>316.8</v>
      </c>
    </row>
    <row r="4905" spans="2:8" x14ac:dyDescent="0.2">
      <c r="B4905" t="str">
        <f>VLOOKUP(G4905,PC!B:D,3,FALSE)</f>
        <v>DESPESA PESSOAL</v>
      </c>
      <c r="C4905" s="22">
        <v>2024</v>
      </c>
      <c r="D4905" t="s">
        <v>44</v>
      </c>
      <c r="F4905" t="str">
        <f>VLOOKUP(G4905,PC!B:D,2,FALSE)</f>
        <v>DESPESA PESSOAL</v>
      </c>
      <c r="G4905" s="4" t="s">
        <v>124</v>
      </c>
      <c r="H4905" s="1">
        <v>2400</v>
      </c>
    </row>
    <row r="4906" spans="2:8" x14ac:dyDescent="0.2">
      <c r="B4906" t="str">
        <f>VLOOKUP(G4906,PC!B:D,3,FALSE)</f>
        <v>SERV.TERCEIROS</v>
      </c>
      <c r="C4906" s="22">
        <v>2024</v>
      </c>
      <c r="D4906" t="s">
        <v>44</v>
      </c>
      <c r="F4906" t="str">
        <f>VLOOKUP(G4906,PC!B:D,2,FALSE)</f>
        <v>SERV.TERCEIROS</v>
      </c>
      <c r="G4906" s="4" t="s">
        <v>60</v>
      </c>
      <c r="H4906" s="1">
        <v>410</v>
      </c>
    </row>
    <row r="4907" spans="2:8" x14ac:dyDescent="0.2">
      <c r="B4907" t="str">
        <f>VLOOKUP(G4907,PC!B:D,3,FALSE)</f>
        <v>SERV.TERCEIROS</v>
      </c>
      <c r="C4907" s="22">
        <v>2024</v>
      </c>
      <c r="D4907" t="s">
        <v>44</v>
      </c>
      <c r="F4907" t="str">
        <f>VLOOKUP(G4907,PC!B:D,2,FALSE)</f>
        <v>SERV.TERCEIROS</v>
      </c>
      <c r="G4907" s="4" t="s">
        <v>123</v>
      </c>
      <c r="H4907" s="1">
        <v>190</v>
      </c>
    </row>
    <row r="4908" spans="2:8" x14ac:dyDescent="0.2">
      <c r="B4908" t="str">
        <f>VLOOKUP(G4908,PC!B:D,3,FALSE)</f>
        <v>INVESTIMENTO</v>
      </c>
      <c r="C4908" s="22">
        <v>2024</v>
      </c>
      <c r="D4908" t="s">
        <v>112</v>
      </c>
      <c r="F4908" t="str">
        <f>VLOOKUP(G4908,PC!B:D,2,FALSE)</f>
        <v>INVESTIMENTO</v>
      </c>
      <c r="G4908" s="4" t="s">
        <v>130</v>
      </c>
      <c r="H4908" s="1">
        <v>660</v>
      </c>
    </row>
    <row r="4909" spans="2:8" x14ac:dyDescent="0.2">
      <c r="B4909" t="str">
        <f>VLOOKUP(G4909,PC!B:D,3,FALSE)</f>
        <v>INVESTIMENTO</v>
      </c>
      <c r="C4909" s="22">
        <v>2024</v>
      </c>
      <c r="D4909" t="s">
        <v>113</v>
      </c>
      <c r="F4909" t="str">
        <f>VLOOKUP(G4909,PC!B:D,2,FALSE)</f>
        <v>INVESTIMENTO</v>
      </c>
      <c r="G4909" s="4" t="s">
        <v>130</v>
      </c>
      <c r="H4909" s="1">
        <v>660</v>
      </c>
    </row>
    <row r="4910" spans="2:8" x14ac:dyDescent="0.2">
      <c r="B4910" t="str">
        <f>VLOOKUP(G4910,PC!B:D,3,FALSE)</f>
        <v>INVESTIMENTO</v>
      </c>
      <c r="C4910" s="22">
        <v>2024</v>
      </c>
      <c r="D4910" t="s">
        <v>44</v>
      </c>
      <c r="F4910" t="str">
        <f>VLOOKUP(G4910,PC!B:D,2,FALSE)</f>
        <v>INVESTIMENTO</v>
      </c>
      <c r="G4910" s="4" t="s">
        <v>130</v>
      </c>
      <c r="H4910" s="1">
        <v>660</v>
      </c>
    </row>
    <row r="4911" spans="2:8" x14ac:dyDescent="0.2">
      <c r="B4911" t="str">
        <f>VLOOKUP(G4911,PC!B:D,3,FALSE)</f>
        <v>INVESTIMENTO</v>
      </c>
      <c r="C4911" s="22">
        <v>2024</v>
      </c>
      <c r="D4911" t="s">
        <v>84</v>
      </c>
      <c r="F4911" t="str">
        <f>VLOOKUP(G4911,PC!B:D,2,FALSE)</f>
        <v>INVESTIMENTO</v>
      </c>
      <c r="G4911" s="4" t="s">
        <v>130</v>
      </c>
      <c r="H4911" s="1">
        <v>660</v>
      </c>
    </row>
    <row r="4912" spans="2:8" x14ac:dyDescent="0.2">
      <c r="B4912" t="str">
        <f>VLOOKUP(G4912,PC!B:D,3,FALSE)</f>
        <v>DESPESA PESSOAL</v>
      </c>
      <c r="C4912" s="22">
        <v>2024</v>
      </c>
      <c r="D4912" t="s">
        <v>44</v>
      </c>
      <c r="F4912" t="str">
        <f>VLOOKUP(G4912,PC!B:D,2,FALSE)</f>
        <v>DESPESA PESSOAL</v>
      </c>
      <c r="G4912" s="4" t="s">
        <v>56</v>
      </c>
      <c r="H4912" s="1">
        <f>1233-150</f>
        <v>1083</v>
      </c>
    </row>
    <row r="4913" spans="2:8" x14ac:dyDescent="0.2">
      <c r="B4913" t="str">
        <f>VLOOKUP(G4913,PC!B:D,3,FALSE)</f>
        <v>DESPESA PESSOAL</v>
      </c>
      <c r="C4913" s="22">
        <v>2024</v>
      </c>
      <c r="D4913" t="s">
        <v>113</v>
      </c>
      <c r="F4913" t="str">
        <f>VLOOKUP(G4913,PC!B:D,2,FALSE)</f>
        <v>DESPESA PESSOAL</v>
      </c>
      <c r="G4913" s="4" t="s">
        <v>56</v>
      </c>
      <c r="H4913" s="1">
        <v>1233</v>
      </c>
    </row>
    <row r="4914" spans="2:8" x14ac:dyDescent="0.2">
      <c r="B4914" t="str">
        <f>VLOOKUP(G4914,PC!B:D,3,FALSE)</f>
        <v>DESPESA PESSOAL</v>
      </c>
      <c r="C4914" s="22">
        <v>2024</v>
      </c>
      <c r="D4914" t="s">
        <v>44</v>
      </c>
      <c r="F4914" t="str">
        <f>VLOOKUP(G4914,PC!B:D,2,FALSE)</f>
        <v>DESPESA PESSOAL</v>
      </c>
      <c r="G4914" s="4" t="s">
        <v>56</v>
      </c>
      <c r="H4914" s="1">
        <f>4*450</f>
        <v>1800</v>
      </c>
    </row>
    <row r="4915" spans="2:8" x14ac:dyDescent="0.2">
      <c r="B4915" t="str">
        <f>VLOOKUP(G4915,PC!B:D,3,FALSE)</f>
        <v>CPV</v>
      </c>
      <c r="C4915" s="22">
        <v>2024</v>
      </c>
      <c r="D4915" t="s">
        <v>74</v>
      </c>
      <c r="F4915" t="str">
        <f>VLOOKUP(G4915,PC!B:D,2,FALSE)</f>
        <v>COMIDA</v>
      </c>
      <c r="G4915" s="4" t="s">
        <v>155</v>
      </c>
      <c r="H4915" s="1">
        <f>370+370+750+500+595</f>
        <v>2585</v>
      </c>
    </row>
    <row r="4916" spans="2:8" x14ac:dyDescent="0.2">
      <c r="B4916" t="str">
        <f>VLOOKUP(G4916,PC!B:D,3,FALSE)</f>
        <v>DESPESA OPERACIONAL</v>
      </c>
      <c r="C4916" s="22">
        <v>2024</v>
      </c>
      <c r="D4916" t="s">
        <v>74</v>
      </c>
      <c r="F4916" t="str">
        <f>VLOOKUP(G4916,PC!B:D,2,FALSE)</f>
        <v>DESPESA OPERACIONAL</v>
      </c>
      <c r="G4916" s="4" t="s">
        <v>73</v>
      </c>
      <c r="H4916" s="1">
        <f>413.13+405.83+460.65+371.56+342.58+530.16+296.18</f>
        <v>2820.0899999999997</v>
      </c>
    </row>
    <row r="4917" spans="2:8" x14ac:dyDescent="0.2">
      <c r="B4917" t="str">
        <f>VLOOKUP(G4917,PC!B:D,3,FALSE)</f>
        <v>RECEITA</v>
      </c>
      <c r="C4917" s="22">
        <v>2024</v>
      </c>
      <c r="D4917" t="s">
        <v>74</v>
      </c>
      <c r="F4917" t="str">
        <f>VLOOKUP(G4917,PC!B:D,2,FALSE)</f>
        <v>RECEITA</v>
      </c>
      <c r="G4917" s="4" t="s">
        <v>64</v>
      </c>
      <c r="H4917" s="1">
        <f>8.84+8.67+9.85+7.94+5.82+11.34+6.32</f>
        <v>58.779999999999994</v>
      </c>
    </row>
    <row r="4918" spans="2:8" x14ac:dyDescent="0.2">
      <c r="B4918" t="str">
        <f>VLOOKUP(G4918,PC!B:D,3,FALSE)</f>
        <v>CPV</v>
      </c>
      <c r="C4918" s="22">
        <v>2024</v>
      </c>
      <c r="D4918" t="s">
        <v>74</v>
      </c>
      <c r="E4918" t="s">
        <v>129</v>
      </c>
      <c r="F4918" t="str">
        <f>VLOOKUP(G4918,PC!B:D,2,FALSE)</f>
        <v>OUTROS</v>
      </c>
      <c r="G4918" s="4" t="s">
        <v>37</v>
      </c>
      <c r="H4918" s="1">
        <f>252.31+475.38+351+622+306+250+310+735</f>
        <v>3301.69</v>
      </c>
    </row>
    <row r="4919" spans="2:8" x14ac:dyDescent="0.2">
      <c r="B4919" t="str">
        <f>VLOOKUP(G4919,PC!B:D,3,FALSE)</f>
        <v>CPV</v>
      </c>
      <c r="C4919" s="22">
        <v>2024</v>
      </c>
      <c r="D4919" t="s">
        <v>74</v>
      </c>
      <c r="E4919" t="s">
        <v>129</v>
      </c>
      <c r="F4919" t="str">
        <f>VLOOKUP(G4919,PC!B:D,2,FALSE)</f>
        <v>COMIDA</v>
      </c>
      <c r="G4919" s="4" t="s">
        <v>22</v>
      </c>
      <c r="H4919" s="1">
        <v>148</v>
      </c>
    </row>
    <row r="4920" spans="2:8" x14ac:dyDescent="0.2">
      <c r="B4920" t="str">
        <f>VLOOKUP(G4920,PC!B:D,3,FALSE)</f>
        <v>CPV</v>
      </c>
      <c r="C4920" s="22">
        <v>2024</v>
      </c>
      <c r="D4920" t="s">
        <v>74</v>
      </c>
      <c r="F4920" t="str">
        <f>VLOOKUP(G4920,PC!B:D,2,FALSE)</f>
        <v>SOBREMESA</v>
      </c>
      <c r="G4920" s="4" t="s">
        <v>7</v>
      </c>
      <c r="H4920" s="1">
        <v>80</v>
      </c>
    </row>
    <row r="4921" spans="2:8" x14ac:dyDescent="0.2">
      <c r="B4921" t="str">
        <f>VLOOKUP(G4921,PC!B:D,3,FALSE)</f>
        <v>CPV</v>
      </c>
      <c r="C4921" s="22">
        <v>2024</v>
      </c>
      <c r="D4921" t="s">
        <v>74</v>
      </c>
      <c r="F4921" t="str">
        <f>VLOOKUP(G4921,PC!B:D,2,FALSE)</f>
        <v>CIGARRO</v>
      </c>
      <c r="G4921" s="4" t="s">
        <v>57</v>
      </c>
      <c r="H4921" s="1">
        <v>1037</v>
      </c>
    </row>
    <row r="4922" spans="2:8" x14ac:dyDescent="0.2">
      <c r="B4922" t="str">
        <f>VLOOKUP(G4922,PC!B:D,3,FALSE)</f>
        <v>CPV</v>
      </c>
      <c r="C4922" s="22">
        <v>2024</v>
      </c>
      <c r="D4922" t="s">
        <v>74</v>
      </c>
      <c r="F4922" t="str">
        <f>VLOOKUP(G4922,PC!B:D,2,FALSE)</f>
        <v>COMIDA</v>
      </c>
      <c r="G4922" s="4" t="s">
        <v>12</v>
      </c>
      <c r="H4922" s="1">
        <v>228</v>
      </c>
    </row>
    <row r="4923" spans="2:8" x14ac:dyDescent="0.2">
      <c r="B4923" t="str">
        <f>VLOOKUP(G4923,PC!B:D,3,FALSE)</f>
        <v>CPV</v>
      </c>
      <c r="C4923" s="22">
        <v>2024</v>
      </c>
      <c r="D4923" t="s">
        <v>74</v>
      </c>
      <c r="F4923" t="str">
        <f>VLOOKUP(G4923,PC!B:D,2,FALSE)</f>
        <v>BEBIDAS</v>
      </c>
      <c r="G4923" s="4" t="s">
        <v>46</v>
      </c>
      <c r="H4923" s="1">
        <v>427.4</v>
      </c>
    </row>
    <row r="4924" spans="2:8" x14ac:dyDescent="0.2">
      <c r="B4924" t="str">
        <f>VLOOKUP(G4924,PC!B:D,3,FALSE)</f>
        <v>CPV</v>
      </c>
      <c r="C4924" s="22">
        <v>2024</v>
      </c>
      <c r="D4924" t="s">
        <v>74</v>
      </c>
      <c r="F4924" t="str">
        <f>VLOOKUP(G4924,PC!B:D,2,FALSE)</f>
        <v>OUTROS</v>
      </c>
      <c r="G4924" s="4" t="s">
        <v>58</v>
      </c>
      <c r="H4924" s="1">
        <v>192</v>
      </c>
    </row>
    <row r="4925" spans="2:8" x14ac:dyDescent="0.2">
      <c r="B4925" t="str">
        <f>VLOOKUP(G4925,PC!B:D,3,FALSE)</f>
        <v>CPV</v>
      </c>
      <c r="C4925" s="22">
        <v>2024</v>
      </c>
      <c r="D4925" t="s">
        <v>74</v>
      </c>
      <c r="F4925" t="str">
        <f>VLOOKUP(G4925,PC!B:D,2,FALSE)</f>
        <v>SOBREMESA</v>
      </c>
      <c r="G4925" s="4" t="s">
        <v>7</v>
      </c>
      <c r="H4925" s="1">
        <v>112</v>
      </c>
    </row>
    <row r="4926" spans="2:8" x14ac:dyDescent="0.2">
      <c r="B4926" t="str">
        <f>VLOOKUP(G4926,PC!B:D,3,FALSE)</f>
        <v>CPV</v>
      </c>
      <c r="C4926" s="22">
        <v>2024</v>
      </c>
      <c r="D4926" t="s">
        <v>74</v>
      </c>
      <c r="F4926" t="str">
        <f>VLOOKUP(G4926,PC!B:D,2,FALSE)</f>
        <v>SOBREMESA</v>
      </c>
      <c r="G4926" s="4" t="s">
        <v>7</v>
      </c>
      <c r="H4926" s="1">
        <v>282</v>
      </c>
    </row>
    <row r="4927" spans="2:8" x14ac:dyDescent="0.2">
      <c r="B4927" t="str">
        <f>VLOOKUP(G4927,PC!B:D,3,FALSE)</f>
        <v>CPV</v>
      </c>
      <c r="C4927" s="22">
        <v>2024</v>
      </c>
      <c r="D4927" t="s">
        <v>74</v>
      </c>
      <c r="F4927" t="str">
        <f>VLOOKUP(G4927,PC!B:D,2,FALSE)</f>
        <v>COMIDA</v>
      </c>
      <c r="G4927" s="4" t="s">
        <v>12</v>
      </c>
      <c r="H4927" s="1">
        <v>400</v>
      </c>
    </row>
    <row r="4928" spans="2:8" x14ac:dyDescent="0.2">
      <c r="B4928" t="str">
        <f>VLOOKUP(G4928,PC!B:D,3,FALSE)</f>
        <v>CPV</v>
      </c>
      <c r="C4928" s="22">
        <v>2024</v>
      </c>
      <c r="D4928" t="s">
        <v>74</v>
      </c>
      <c r="F4928" t="str">
        <f>VLOOKUP(G4928,PC!B:D,2,FALSE)</f>
        <v>SOBREMESA</v>
      </c>
      <c r="G4928" s="4" t="s">
        <v>7</v>
      </c>
      <c r="H4928" s="1">
        <v>46</v>
      </c>
    </row>
    <row r="4929" spans="2:8" x14ac:dyDescent="0.2">
      <c r="B4929" t="str">
        <f>VLOOKUP(G4929,PC!B:D,3,FALSE)</f>
        <v>CPV</v>
      </c>
      <c r="C4929" s="22">
        <v>2024</v>
      </c>
      <c r="D4929" t="s">
        <v>74</v>
      </c>
      <c r="F4929" t="str">
        <f>VLOOKUP(G4929,PC!B:D,2,FALSE)</f>
        <v>OUTROS</v>
      </c>
      <c r="G4929" s="4" t="s">
        <v>37</v>
      </c>
      <c r="H4929" s="1">
        <v>79.3</v>
      </c>
    </row>
    <row r="4930" spans="2:8" x14ac:dyDescent="0.2">
      <c r="B4930" t="str">
        <f>VLOOKUP(G4930,PC!B:D,3,FALSE)</f>
        <v>CPV</v>
      </c>
      <c r="C4930" s="22">
        <v>2024</v>
      </c>
      <c r="D4930" t="s">
        <v>74</v>
      </c>
      <c r="F4930" t="str">
        <f>VLOOKUP(G4930,PC!B:D,2,FALSE)</f>
        <v>COMIDA</v>
      </c>
      <c r="G4930" s="4" t="s">
        <v>18</v>
      </c>
      <c r="H4930" s="1">
        <v>55</v>
      </c>
    </row>
    <row r="4931" spans="2:8" x14ac:dyDescent="0.2">
      <c r="B4931" t="str">
        <f>VLOOKUP(G4931,PC!B:D,3,FALSE)</f>
        <v>CPV</v>
      </c>
      <c r="C4931" s="22">
        <v>2024</v>
      </c>
      <c r="D4931" t="s">
        <v>74</v>
      </c>
      <c r="F4931" t="str">
        <f>VLOOKUP(G4931,PC!B:D,2,FALSE)</f>
        <v>BEBIDAS</v>
      </c>
      <c r="G4931" s="4" t="s">
        <v>25</v>
      </c>
      <c r="H4931" s="1">
        <v>308</v>
      </c>
    </row>
    <row r="4932" spans="2:8" x14ac:dyDescent="0.2">
      <c r="B4932" t="str">
        <f>VLOOKUP(G4932,PC!B:D,3,FALSE)</f>
        <v>CPV</v>
      </c>
      <c r="C4932" s="22">
        <v>2024</v>
      </c>
      <c r="D4932" t="s">
        <v>74</v>
      </c>
      <c r="F4932" t="str">
        <f>VLOOKUP(G4932,PC!B:D,2,FALSE)</f>
        <v>BEBIDAS</v>
      </c>
      <c r="G4932" s="4" t="s">
        <v>51</v>
      </c>
      <c r="H4932" s="1">
        <v>124.2</v>
      </c>
    </row>
    <row r="4933" spans="2:8" x14ac:dyDescent="0.2">
      <c r="B4933" t="str">
        <f>VLOOKUP(G4933,PC!B:D,3,FALSE)</f>
        <v>CPV</v>
      </c>
      <c r="C4933" s="22">
        <v>2024</v>
      </c>
      <c r="D4933" t="s">
        <v>74</v>
      </c>
      <c r="F4933" t="str">
        <f>VLOOKUP(G4933,PC!B:D,2,FALSE)</f>
        <v>COMIDA</v>
      </c>
      <c r="G4933" s="4" t="s">
        <v>33</v>
      </c>
      <c r="H4933" s="1">
        <f>60+60</f>
        <v>120</v>
      </c>
    </row>
    <row r="4934" spans="2:8" x14ac:dyDescent="0.2">
      <c r="B4934" t="str">
        <f>VLOOKUP(G4934,PC!B:D,3,FALSE)</f>
        <v>CPV</v>
      </c>
      <c r="C4934" s="22">
        <v>2024</v>
      </c>
      <c r="D4934" t="s">
        <v>74</v>
      </c>
      <c r="F4934" t="str">
        <f>VLOOKUP(G4934,PC!B:D,2,FALSE)</f>
        <v>COMIDA</v>
      </c>
      <c r="G4934" s="4" t="s">
        <v>12</v>
      </c>
      <c r="H4934" s="1">
        <v>96.25</v>
      </c>
    </row>
    <row r="4935" spans="2:8" x14ac:dyDescent="0.2">
      <c r="B4935" t="str">
        <f>VLOOKUP(G4935,PC!B:D,3,FALSE)</f>
        <v>CPV</v>
      </c>
      <c r="C4935" s="22">
        <v>2024</v>
      </c>
      <c r="D4935" t="s">
        <v>74</v>
      </c>
      <c r="F4935" t="str">
        <f>VLOOKUP(G4935,PC!B:D,2,FALSE)</f>
        <v>CIGARRO</v>
      </c>
      <c r="G4935" s="4" t="s">
        <v>57</v>
      </c>
      <c r="H4935" s="1">
        <v>1031</v>
      </c>
    </row>
    <row r="4936" spans="2:8" x14ac:dyDescent="0.2">
      <c r="B4936" t="e">
        <f>VLOOKUP(G4936,PC!B:D,3,FALSE)</f>
        <v>#N/A</v>
      </c>
      <c r="C4936" s="22">
        <v>2024</v>
      </c>
      <c r="D4936" t="s">
        <v>44</v>
      </c>
      <c r="F4936" t="e">
        <f>VLOOKUP(G4936,PC!B:D,2,FALSE)</f>
        <v>#N/A</v>
      </c>
      <c r="G4936" s="4" t="s">
        <v>157</v>
      </c>
      <c r="H4936" s="1">
        <v>160.52000000000001</v>
      </c>
    </row>
    <row r="4937" spans="2:8" x14ac:dyDescent="0.2">
      <c r="B4937" t="str">
        <f>VLOOKUP(G4937,PC!B:D,3,FALSE)</f>
        <v>DESPESA PESSOAL</v>
      </c>
      <c r="C4937" s="22">
        <v>2024</v>
      </c>
      <c r="D4937" t="s">
        <v>44</v>
      </c>
      <c r="F4937" t="str">
        <f>VLOOKUP(G4937,PC!B:D,2,FALSE)</f>
        <v>DESPESA PESSOAL</v>
      </c>
      <c r="G4937" s="4" t="s">
        <v>115</v>
      </c>
      <c r="H4937" s="1">
        <v>135.15</v>
      </c>
    </row>
    <row r="4938" spans="2:8" x14ac:dyDescent="0.2">
      <c r="B4938" t="str">
        <f>VLOOKUP(G4938,PC!B:D,3,FALSE)</f>
        <v>DESPESA FINANCEIRA</v>
      </c>
      <c r="C4938" s="22">
        <v>2024</v>
      </c>
      <c r="D4938" t="s">
        <v>44</v>
      </c>
      <c r="F4938" t="str">
        <f>VLOOKUP(G4938,PC!B:D,2,FALSE)</f>
        <v>DESPESA FINANCEIRA</v>
      </c>
      <c r="G4938" s="4" t="s">
        <v>90</v>
      </c>
      <c r="H4938" s="1">
        <v>751.54</v>
      </c>
    </row>
    <row r="4939" spans="2:8" x14ac:dyDescent="0.2">
      <c r="B4939" t="str">
        <f>VLOOKUP(G4939,PC!B:D,3,FALSE)</f>
        <v>SERV.TERCEIROS</v>
      </c>
      <c r="C4939" s="22">
        <v>2024</v>
      </c>
      <c r="D4939" t="s">
        <v>74</v>
      </c>
      <c r="F4939" t="str">
        <f>VLOOKUP(G4939,PC!B:D,2,FALSE)</f>
        <v>SERV.TERCEIROS</v>
      </c>
      <c r="G4939" s="4" t="s">
        <v>60</v>
      </c>
      <c r="H4939" s="1">
        <v>450</v>
      </c>
    </row>
    <row r="4940" spans="2:8" x14ac:dyDescent="0.2">
      <c r="B4940" t="str">
        <f>VLOOKUP(G4940,PC!B:D,3,FALSE)</f>
        <v>DESCONTO DE FATURAMENTO</v>
      </c>
      <c r="C4940" s="22">
        <v>2024</v>
      </c>
      <c r="D4940" t="s">
        <v>44</v>
      </c>
      <c r="F4940" t="str">
        <f>VLOOKUP(G4940,PC!B:D,2,FALSE)</f>
        <v>IMPOSTO</v>
      </c>
      <c r="G4940" s="4" t="s">
        <v>88</v>
      </c>
      <c r="H4940" s="1">
        <v>4431.8999999999996</v>
      </c>
    </row>
    <row r="4941" spans="2:8" x14ac:dyDescent="0.2">
      <c r="B4941" t="str">
        <f>VLOOKUP(G4941,PC!B:D,3,FALSE)</f>
        <v>CPV</v>
      </c>
      <c r="C4941" s="22">
        <v>2024</v>
      </c>
      <c r="D4941" t="s">
        <v>74</v>
      </c>
      <c r="E4941" t="s">
        <v>129</v>
      </c>
      <c r="F4941" t="str">
        <f>VLOOKUP(G4941,PC!B:D,2,FALSE)</f>
        <v>SOBREMESA</v>
      </c>
      <c r="G4941" s="4" t="s">
        <v>7</v>
      </c>
      <c r="H4941" s="1">
        <v>264</v>
      </c>
    </row>
    <row r="4942" spans="2:8" x14ac:dyDescent="0.2">
      <c r="B4942" t="str">
        <f>VLOOKUP(G4942,PC!B:D,3,FALSE)</f>
        <v>CPV</v>
      </c>
      <c r="C4942" s="22">
        <v>2024</v>
      </c>
      <c r="D4942" t="s">
        <v>74</v>
      </c>
      <c r="E4942" t="s">
        <v>129</v>
      </c>
      <c r="F4942" t="str">
        <f>VLOOKUP(G4942,PC!B:D,2,FALSE)</f>
        <v>COMIDA</v>
      </c>
      <c r="G4942" s="4" t="s">
        <v>12</v>
      </c>
      <c r="H4942" s="1">
        <v>400</v>
      </c>
    </row>
    <row r="4943" spans="2:8" x14ac:dyDescent="0.2">
      <c r="B4943" t="str">
        <f>VLOOKUP(G4943,PC!B:D,3,FALSE)</f>
        <v>CPV</v>
      </c>
      <c r="C4943" s="22">
        <v>2024</v>
      </c>
      <c r="D4943" t="s">
        <v>74</v>
      </c>
      <c r="E4943" t="s">
        <v>129</v>
      </c>
      <c r="F4943" t="str">
        <f>VLOOKUP(G4943,PC!B:D,2,FALSE)</f>
        <v>BEBIDAS</v>
      </c>
      <c r="G4943" s="4" t="s">
        <v>26</v>
      </c>
      <c r="H4943" s="1">
        <v>107.8</v>
      </c>
    </row>
    <row r="4944" spans="2:8" x14ac:dyDescent="0.2">
      <c r="B4944" t="str">
        <f>VLOOKUP(G4944,PC!B:D,3,FALSE)</f>
        <v>CPV</v>
      </c>
      <c r="C4944" s="22">
        <v>2024</v>
      </c>
      <c r="D4944" t="s">
        <v>74</v>
      </c>
      <c r="E4944" t="s">
        <v>129</v>
      </c>
      <c r="F4944" t="str">
        <f>VLOOKUP(G4944,PC!B:D,2,FALSE)</f>
        <v>SOBREMESA</v>
      </c>
      <c r="G4944" s="4" t="s">
        <v>7</v>
      </c>
      <c r="H4944" s="1">
        <v>109</v>
      </c>
    </row>
    <row r="4945" spans="2:8" x14ac:dyDescent="0.2">
      <c r="B4945" t="str">
        <f>VLOOKUP(G4945,PC!B:D,3,FALSE)</f>
        <v>CPV</v>
      </c>
      <c r="C4945" s="22">
        <v>2024</v>
      </c>
      <c r="D4945" t="s">
        <v>74</v>
      </c>
      <c r="E4945" t="s">
        <v>129</v>
      </c>
      <c r="F4945" t="str">
        <f>VLOOKUP(G4945,PC!B:D,2,FALSE)</f>
        <v>SOBREMESA</v>
      </c>
      <c r="G4945" s="4" t="s">
        <v>7</v>
      </c>
      <c r="H4945" s="1">
        <v>181</v>
      </c>
    </row>
    <row r="4946" spans="2:8" x14ac:dyDescent="0.2">
      <c r="B4946" t="str">
        <f>VLOOKUP(G4946,PC!B:D,3,FALSE)</f>
        <v>CPV</v>
      </c>
      <c r="C4946" s="22">
        <v>2024</v>
      </c>
      <c r="D4946" t="s">
        <v>74</v>
      </c>
      <c r="E4946" t="s">
        <v>129</v>
      </c>
      <c r="F4946" t="str">
        <f>VLOOKUP(G4946,PC!B:D,2,FALSE)</f>
        <v>COMIDA</v>
      </c>
      <c r="G4946" s="4" t="s">
        <v>12</v>
      </c>
      <c r="H4946" s="1">
        <v>400</v>
      </c>
    </row>
    <row r="4947" spans="2:8" x14ac:dyDescent="0.2">
      <c r="B4947" t="str">
        <f>VLOOKUP(G4947,PC!B:D,3,FALSE)</f>
        <v>CPV</v>
      </c>
      <c r="C4947" s="22">
        <v>2024</v>
      </c>
      <c r="D4947" t="s">
        <v>74</v>
      </c>
      <c r="E4947" t="s">
        <v>129</v>
      </c>
      <c r="F4947" t="str">
        <f>VLOOKUP(G4947,PC!B:D,2,FALSE)</f>
        <v>OUTROS</v>
      </c>
      <c r="G4947" s="4" t="s">
        <v>58</v>
      </c>
      <c r="H4947" s="1">
        <v>192</v>
      </c>
    </row>
    <row r="4948" spans="2:8" x14ac:dyDescent="0.2">
      <c r="B4948" t="str">
        <f>VLOOKUP(G4948,PC!B:D,3,FALSE)</f>
        <v>CPV</v>
      </c>
      <c r="C4948" s="22">
        <v>2024</v>
      </c>
      <c r="D4948" t="s">
        <v>74</v>
      </c>
      <c r="E4948" t="s">
        <v>129</v>
      </c>
      <c r="F4948" t="str">
        <f>VLOOKUP(G4948,PC!B:D,2,FALSE)</f>
        <v>CIGARRO</v>
      </c>
      <c r="G4948" s="4" t="s">
        <v>57</v>
      </c>
      <c r="H4948" s="1">
        <v>1106</v>
      </c>
    </row>
    <row r="4949" spans="2:8" x14ac:dyDescent="0.2">
      <c r="B4949" t="str">
        <f>VLOOKUP(G4949,PC!B:D,3,FALSE)</f>
        <v>CPV</v>
      </c>
      <c r="C4949" s="22">
        <v>2024</v>
      </c>
      <c r="D4949" t="s">
        <v>74</v>
      </c>
      <c r="E4949" t="s">
        <v>129</v>
      </c>
      <c r="F4949" t="str">
        <f>VLOOKUP(G4949,PC!B:D,2,FALSE)</f>
        <v>COMIDA</v>
      </c>
      <c r="G4949" s="4" t="s">
        <v>22</v>
      </c>
      <c r="H4949" s="1">
        <v>308</v>
      </c>
    </row>
    <row r="4950" spans="2:8" x14ac:dyDescent="0.2">
      <c r="B4950" t="str">
        <f>VLOOKUP(G4950,PC!B:D,3,FALSE)</f>
        <v>CPV</v>
      </c>
      <c r="C4950" s="22">
        <v>2024</v>
      </c>
      <c r="D4950" t="s">
        <v>74</v>
      </c>
      <c r="E4950" t="s">
        <v>129</v>
      </c>
      <c r="F4950" t="str">
        <f>VLOOKUP(G4950,PC!B:D,2,FALSE)</f>
        <v>COMIDA</v>
      </c>
      <c r="G4950" s="4" t="s">
        <v>12</v>
      </c>
      <c r="H4950" s="1">
        <v>500</v>
      </c>
    </row>
    <row r="4951" spans="2:8" x14ac:dyDescent="0.2">
      <c r="B4951" t="str">
        <f>VLOOKUP(G4951,PC!B:D,3,FALSE)</f>
        <v>CPV</v>
      </c>
      <c r="C4951" s="22">
        <v>2024</v>
      </c>
      <c r="D4951" t="s">
        <v>74</v>
      </c>
      <c r="E4951" t="s">
        <v>129</v>
      </c>
      <c r="F4951" t="str">
        <f>VLOOKUP(G4951,PC!B:D,2,FALSE)</f>
        <v>SOBREMESA</v>
      </c>
      <c r="G4951" s="4" t="s">
        <v>7</v>
      </c>
      <c r="H4951" s="1">
        <v>288</v>
      </c>
    </row>
    <row r="4952" spans="2:8" x14ac:dyDescent="0.2">
      <c r="B4952" t="str">
        <f>VLOOKUP(G4952,PC!B:D,3,FALSE)</f>
        <v>CPV</v>
      </c>
      <c r="C4952" s="22">
        <v>2024</v>
      </c>
      <c r="D4952" t="s">
        <v>74</v>
      </c>
      <c r="E4952" t="s">
        <v>129</v>
      </c>
      <c r="F4952" t="str">
        <f>VLOOKUP(G4952,PC!B:D,2,FALSE)</f>
        <v>COMIDA</v>
      </c>
      <c r="G4952" s="4" t="s">
        <v>12</v>
      </c>
      <c r="H4952" s="1">
        <f>160+63</f>
        <v>223</v>
      </c>
    </row>
    <row r="4953" spans="2:8" x14ac:dyDescent="0.2">
      <c r="B4953" t="str">
        <f>VLOOKUP(G4953,PC!B:D,3,FALSE)</f>
        <v>CPV</v>
      </c>
      <c r="C4953" s="22">
        <v>2024</v>
      </c>
      <c r="D4953" t="s">
        <v>74</v>
      </c>
      <c r="E4953" t="s">
        <v>129</v>
      </c>
      <c r="F4953" t="str">
        <f>VLOOKUP(G4953,PC!B:D,2,FALSE)</f>
        <v>COMIDA</v>
      </c>
      <c r="G4953" s="4" t="s">
        <v>12</v>
      </c>
      <c r="H4953" s="1">
        <v>140</v>
      </c>
    </row>
    <row r="4954" spans="2:8" x14ac:dyDescent="0.2">
      <c r="B4954" t="str">
        <f>VLOOKUP(G4954,PC!B:D,3,FALSE)</f>
        <v>CPV</v>
      </c>
      <c r="C4954" s="22">
        <v>2024</v>
      </c>
      <c r="D4954" t="s">
        <v>74</v>
      </c>
      <c r="E4954" t="s">
        <v>129</v>
      </c>
      <c r="F4954" t="str">
        <f>VLOOKUP(G4954,PC!B:D,2,FALSE)</f>
        <v>BEBIDAS</v>
      </c>
      <c r="G4954" s="4" t="s">
        <v>46</v>
      </c>
      <c r="H4954" s="1">
        <v>310.60000000000002</v>
      </c>
    </row>
    <row r="4955" spans="2:8" x14ac:dyDescent="0.2">
      <c r="B4955" t="str">
        <f>VLOOKUP(G4955,PC!B:D,3,FALSE)</f>
        <v>CPV</v>
      </c>
      <c r="C4955" s="22">
        <v>2024</v>
      </c>
      <c r="D4955" t="s">
        <v>74</v>
      </c>
      <c r="E4955" t="s">
        <v>129</v>
      </c>
      <c r="F4955" t="str">
        <f>VLOOKUP(G4955,PC!B:D,2,FALSE)</f>
        <v>SOBREMESA</v>
      </c>
      <c r="G4955" s="4" t="s">
        <v>8</v>
      </c>
      <c r="H4955" s="1">
        <v>62</v>
      </c>
    </row>
    <row r="4956" spans="2:8" x14ac:dyDescent="0.2">
      <c r="B4956" t="str">
        <f>VLOOKUP(G4956,PC!B:D,3,FALSE)</f>
        <v>CPV</v>
      </c>
      <c r="C4956" s="22">
        <v>2024</v>
      </c>
      <c r="D4956" t="s">
        <v>74</v>
      </c>
      <c r="E4956" t="s">
        <v>129</v>
      </c>
      <c r="F4956" t="str">
        <f>VLOOKUP(G4956,PC!B:D,2,FALSE)</f>
        <v>SOBREMESA</v>
      </c>
      <c r="G4956" s="4" t="s">
        <v>23</v>
      </c>
      <c r="H4956" s="1">
        <v>69</v>
      </c>
    </row>
    <row r="4957" spans="2:8" x14ac:dyDescent="0.2">
      <c r="B4957" t="str">
        <f>VLOOKUP(G4957,PC!B:D,3,FALSE)</f>
        <v>CPV</v>
      </c>
      <c r="C4957" s="22">
        <v>2024</v>
      </c>
      <c r="D4957" t="s">
        <v>74</v>
      </c>
      <c r="E4957" t="s">
        <v>129</v>
      </c>
      <c r="F4957" t="str">
        <f>VLOOKUP(G4957,PC!B:D,2,FALSE)</f>
        <v>OUTROS</v>
      </c>
      <c r="G4957" s="4" t="s">
        <v>149</v>
      </c>
      <c r="H4957" s="1">
        <v>240</v>
      </c>
    </row>
    <row r="4958" spans="2:8" x14ac:dyDescent="0.2">
      <c r="B4958" t="str">
        <f>VLOOKUP(G4958,PC!B:D,3,FALSE)</f>
        <v>CPV</v>
      </c>
      <c r="C4958" s="22">
        <v>2024</v>
      </c>
      <c r="D4958" t="s">
        <v>74</v>
      </c>
      <c r="E4958" t="s">
        <v>129</v>
      </c>
      <c r="F4958" t="str">
        <f>VLOOKUP(G4958,PC!B:D,2,FALSE)</f>
        <v>COMIDA</v>
      </c>
      <c r="G4958" s="4" t="s">
        <v>33</v>
      </c>
      <c r="H4958" s="1">
        <v>60</v>
      </c>
    </row>
    <row r="4959" spans="2:8" x14ac:dyDescent="0.2">
      <c r="B4959" t="str">
        <f>VLOOKUP(G4959,PC!B:D,3,FALSE)</f>
        <v>CPV</v>
      </c>
      <c r="C4959" s="22">
        <v>2024</v>
      </c>
      <c r="D4959" t="s">
        <v>74</v>
      </c>
      <c r="E4959" t="s">
        <v>129</v>
      </c>
      <c r="F4959" t="str">
        <f>VLOOKUP(G4959,PC!B:D,2,FALSE)</f>
        <v>SOBREMESA</v>
      </c>
      <c r="G4959" s="4" t="s">
        <v>7</v>
      </c>
      <c r="H4959" s="1">
        <v>267</v>
      </c>
    </row>
    <row r="4960" spans="2:8" x14ac:dyDescent="0.2">
      <c r="B4960" t="str">
        <f>VLOOKUP(G4960,PC!B:D,3,FALSE)</f>
        <v>CPV</v>
      </c>
      <c r="C4960" s="22">
        <v>2024</v>
      </c>
      <c r="D4960" t="s">
        <v>74</v>
      </c>
      <c r="E4960" t="s">
        <v>129</v>
      </c>
      <c r="F4960" t="str">
        <f>VLOOKUP(G4960,PC!B:D,2,FALSE)</f>
        <v>COMIDA</v>
      </c>
      <c r="G4960" s="4" t="s">
        <v>12</v>
      </c>
      <c r="H4960" s="1">
        <v>400</v>
      </c>
    </row>
    <row r="4961" spans="2:8" x14ac:dyDescent="0.2">
      <c r="B4961" t="str">
        <f>VLOOKUP(G4961,PC!B:D,3,FALSE)</f>
        <v>CPV</v>
      </c>
      <c r="C4961" s="22">
        <v>2024</v>
      </c>
      <c r="D4961" t="s">
        <v>74</v>
      </c>
      <c r="E4961" t="s">
        <v>129</v>
      </c>
      <c r="F4961" t="str">
        <f>VLOOKUP(G4961,PC!B:D,2,FALSE)</f>
        <v>COMIDA</v>
      </c>
      <c r="G4961" s="4" t="s">
        <v>12</v>
      </c>
      <c r="H4961" s="1">
        <v>82</v>
      </c>
    </row>
    <row r="4962" spans="2:8" x14ac:dyDescent="0.2">
      <c r="B4962" t="str">
        <f>VLOOKUP(G4962,PC!B:D,3,FALSE)</f>
        <v>CPV</v>
      </c>
      <c r="C4962" s="22">
        <v>2024</v>
      </c>
      <c r="D4962" t="s">
        <v>74</v>
      </c>
      <c r="E4962" t="s">
        <v>129</v>
      </c>
      <c r="F4962" t="str">
        <f>VLOOKUP(G4962,PC!B:D,2,FALSE)</f>
        <v>COMIDA</v>
      </c>
      <c r="G4962" s="4" t="s">
        <v>34</v>
      </c>
      <c r="H4962" s="1">
        <v>63</v>
      </c>
    </row>
    <row r="4963" spans="2:8" x14ac:dyDescent="0.2">
      <c r="B4963" t="str">
        <f>VLOOKUP(G4963,PC!B:D,3,FALSE)</f>
        <v>DESPESA OPERACIONAL</v>
      </c>
      <c r="C4963" s="22">
        <v>2024</v>
      </c>
      <c r="D4963" t="s">
        <v>74</v>
      </c>
      <c r="F4963" t="str">
        <f>VLOOKUP(G4963,PC!B:D,2,FALSE)</f>
        <v>DESPESA OPERACIONAL</v>
      </c>
      <c r="G4963" s="4" t="s">
        <v>70</v>
      </c>
      <c r="H4963" s="1">
        <v>206</v>
      </c>
    </row>
    <row r="4964" spans="2:8" x14ac:dyDescent="0.2">
      <c r="B4964" t="str">
        <f>VLOOKUP(G4964,PC!B:D,3,FALSE)</f>
        <v>CPV</v>
      </c>
      <c r="C4964" s="22">
        <v>2024</v>
      </c>
      <c r="D4964" t="s">
        <v>74</v>
      </c>
      <c r="E4964" t="s">
        <v>129</v>
      </c>
      <c r="F4964" t="str">
        <f>VLOOKUP(G4964,PC!B:D,2,FALSE)</f>
        <v>OUTROS</v>
      </c>
      <c r="G4964" s="4" t="s">
        <v>37</v>
      </c>
      <c r="H4964" s="1">
        <v>397</v>
      </c>
    </row>
    <row r="4965" spans="2:8" x14ac:dyDescent="0.2">
      <c r="B4965" t="str">
        <f>VLOOKUP(G4965,PC!B:D,3,FALSE)</f>
        <v>CPV</v>
      </c>
      <c r="C4965" s="22">
        <v>2024</v>
      </c>
      <c r="D4965" t="s">
        <v>74</v>
      </c>
      <c r="E4965" t="s">
        <v>129</v>
      </c>
      <c r="F4965" t="str">
        <f>VLOOKUP(G4965,PC!B:D,2,FALSE)</f>
        <v>CIGARRO</v>
      </c>
      <c r="G4965" s="4" t="s">
        <v>57</v>
      </c>
      <c r="H4965" s="1">
        <v>1307</v>
      </c>
    </row>
    <row r="4966" spans="2:8" x14ac:dyDescent="0.2">
      <c r="B4966" t="str">
        <f>VLOOKUP(G4966,PC!B:D,3,FALSE)</f>
        <v>CPV</v>
      </c>
      <c r="C4966" s="22">
        <v>2024</v>
      </c>
      <c r="D4966" t="s">
        <v>74</v>
      </c>
      <c r="E4966" t="s">
        <v>129</v>
      </c>
      <c r="F4966" t="str">
        <f>VLOOKUP(G4966,PC!B:D,2,FALSE)</f>
        <v>BEBIDAS</v>
      </c>
      <c r="G4966" s="4" t="s">
        <v>48</v>
      </c>
      <c r="H4966" s="1">
        <f>372+373+422.4+105.6</f>
        <v>1273</v>
      </c>
    </row>
    <row r="4967" spans="2:8" x14ac:dyDescent="0.2">
      <c r="B4967" t="str">
        <f>VLOOKUP(G4967,PC!B:D,3,FALSE)</f>
        <v>CPV</v>
      </c>
      <c r="C4967" s="22">
        <v>2024</v>
      </c>
      <c r="D4967" t="s">
        <v>74</v>
      </c>
      <c r="E4967" t="s">
        <v>242</v>
      </c>
      <c r="F4967" t="str">
        <f>VLOOKUP(G4967,PC!B:D,2,FALSE)</f>
        <v>SOBREMESA</v>
      </c>
      <c r="G4967" s="4" t="s">
        <v>8</v>
      </c>
      <c r="H4967" s="1">
        <v>107.47</v>
      </c>
    </row>
    <row r="4968" spans="2:8" x14ac:dyDescent="0.2">
      <c r="B4968" t="str">
        <f>VLOOKUP(G4968,PC!B:D,3,FALSE)</f>
        <v>CPV</v>
      </c>
      <c r="C4968" s="22">
        <v>2024</v>
      </c>
      <c r="D4968" t="s">
        <v>74</v>
      </c>
      <c r="E4968" t="s">
        <v>227</v>
      </c>
      <c r="F4968" t="str">
        <f>VLOOKUP(G4968,PC!B:D,2,FALSE)</f>
        <v>OUTROS</v>
      </c>
      <c r="G4968" s="4" t="s">
        <v>37</v>
      </c>
      <c r="H4968" s="1">
        <v>1251.8800000000001</v>
      </c>
    </row>
    <row r="4969" spans="2:8" x14ac:dyDescent="0.2">
      <c r="B4969" t="str">
        <f>VLOOKUP(G4969,PC!B:D,3,FALSE)</f>
        <v>CPV</v>
      </c>
      <c r="C4969" s="22">
        <v>2024</v>
      </c>
      <c r="D4969" t="s">
        <v>74</v>
      </c>
      <c r="E4969" t="s">
        <v>21</v>
      </c>
      <c r="F4969" t="str">
        <f>VLOOKUP(G4969,PC!B:D,2,FALSE)</f>
        <v>SOBREMESA</v>
      </c>
      <c r="G4969" s="4" t="s">
        <v>23</v>
      </c>
      <c r="H4969" s="1">
        <v>192.76</v>
      </c>
    </row>
    <row r="4970" spans="2:8" x14ac:dyDescent="0.2">
      <c r="B4970" t="str">
        <f>VLOOKUP(G4970,PC!B:D,3,FALSE)</f>
        <v>CPV</v>
      </c>
      <c r="C4970" s="22">
        <v>2024</v>
      </c>
      <c r="D4970" t="s">
        <v>74</v>
      </c>
      <c r="E4970" t="s">
        <v>19</v>
      </c>
      <c r="F4970" t="str">
        <f>VLOOKUP(G4970,PC!B:D,2,FALSE)</f>
        <v>COMIDA</v>
      </c>
      <c r="G4970" s="4" t="s">
        <v>18</v>
      </c>
      <c r="H4970" s="1">
        <v>117.76</v>
      </c>
    </row>
    <row r="4971" spans="2:8" x14ac:dyDescent="0.2">
      <c r="B4971" t="str">
        <f>VLOOKUP(G4971,PC!B:D,3,FALSE)</f>
        <v>CPV</v>
      </c>
      <c r="C4971" s="22">
        <v>2024</v>
      </c>
      <c r="D4971" t="s">
        <v>74</v>
      </c>
      <c r="E4971" t="s">
        <v>20</v>
      </c>
      <c r="F4971" t="str">
        <f>VLOOKUP(G4971,PC!B:D,2,FALSE)</f>
        <v>COMIDA</v>
      </c>
      <c r="G4971" s="4" t="s">
        <v>29</v>
      </c>
      <c r="H4971" s="1">
        <v>81.5</v>
      </c>
    </row>
    <row r="4972" spans="2:8" x14ac:dyDescent="0.2">
      <c r="B4972" t="str">
        <f>VLOOKUP(G4972,PC!B:D,3,FALSE)</f>
        <v>CPV</v>
      </c>
      <c r="C4972" s="22">
        <v>2024</v>
      </c>
      <c r="D4972" t="s">
        <v>74</v>
      </c>
      <c r="E4972" t="s">
        <v>45</v>
      </c>
      <c r="F4972" t="str">
        <f>VLOOKUP(G4972,PC!B:D,2,FALSE)</f>
        <v>HIGIENE</v>
      </c>
      <c r="G4972" s="4" t="s">
        <v>36</v>
      </c>
      <c r="H4972" s="1">
        <v>299.68</v>
      </c>
    </row>
    <row r="4973" spans="2:8" x14ac:dyDescent="0.2">
      <c r="B4973" t="str">
        <f>VLOOKUP(G4973,PC!B:D,3,FALSE)</f>
        <v>CPV</v>
      </c>
      <c r="C4973" s="22">
        <v>2024</v>
      </c>
      <c r="D4973" t="s">
        <v>74</v>
      </c>
      <c r="E4973" t="s">
        <v>16</v>
      </c>
      <c r="F4973" t="str">
        <f>VLOOKUP(G4973,PC!B:D,2,FALSE)</f>
        <v>COMIDA</v>
      </c>
      <c r="G4973" s="4" t="s">
        <v>33</v>
      </c>
      <c r="H4973" s="1">
        <v>298.52999999999997</v>
      </c>
    </row>
    <row r="4974" spans="2:8" x14ac:dyDescent="0.2">
      <c r="B4974" t="str">
        <f>VLOOKUP(G4974,PC!B:D,3,FALSE)</f>
        <v>CPV</v>
      </c>
      <c r="C4974" s="22">
        <v>2024</v>
      </c>
      <c r="D4974" t="s">
        <v>74</v>
      </c>
      <c r="E4974" t="s">
        <v>16</v>
      </c>
      <c r="F4974" t="str">
        <f>VLOOKUP(G4974,PC!B:D,2,FALSE)</f>
        <v>COMIDA</v>
      </c>
      <c r="G4974" s="4" t="s">
        <v>12</v>
      </c>
      <c r="H4974" s="1">
        <v>611.29999999999995</v>
      </c>
    </row>
    <row r="4975" spans="2:8" x14ac:dyDescent="0.2">
      <c r="B4975" t="str">
        <f>VLOOKUP(G4975,PC!B:D,3,FALSE)</f>
        <v>CPV</v>
      </c>
      <c r="C4975" s="22">
        <v>2024</v>
      </c>
      <c r="D4975" t="s">
        <v>74</v>
      </c>
      <c r="E4975" t="s">
        <v>241</v>
      </c>
      <c r="F4975" t="str">
        <f>VLOOKUP(G4975,PC!B:D,2,FALSE)</f>
        <v>COMIDA</v>
      </c>
      <c r="G4975" s="4" t="s">
        <v>12</v>
      </c>
      <c r="H4975" s="1">
        <v>301.39999999999998</v>
      </c>
    </row>
    <row r="4976" spans="2:8" x14ac:dyDescent="0.2">
      <c r="B4976" t="str">
        <f>VLOOKUP(G4976,PC!B:D,3,FALSE)</f>
        <v>CPV</v>
      </c>
      <c r="C4976" s="22">
        <v>2024</v>
      </c>
      <c r="D4976" t="s">
        <v>74</v>
      </c>
      <c r="E4976" t="s">
        <v>129</v>
      </c>
      <c r="F4976" t="str">
        <f>VLOOKUP(G4976,PC!B:D,2,FALSE)</f>
        <v>SOBREMESA</v>
      </c>
      <c r="G4976" s="4" t="s">
        <v>23</v>
      </c>
      <c r="H4976" s="1">
        <v>239.95</v>
      </c>
    </row>
    <row r="4977" spans="2:8" x14ac:dyDescent="0.2">
      <c r="B4977" t="str">
        <f>VLOOKUP(G4977,PC!B:D,3,FALSE)</f>
        <v>CPV</v>
      </c>
      <c r="C4977" s="22">
        <v>2024</v>
      </c>
      <c r="D4977" t="s">
        <v>74</v>
      </c>
      <c r="E4977" t="s">
        <v>228</v>
      </c>
      <c r="F4977" t="str">
        <f>VLOOKUP(G4977,PC!B:D,2,FALSE)</f>
        <v>COMIDA</v>
      </c>
      <c r="G4977" s="4" t="s">
        <v>12</v>
      </c>
      <c r="H4977" s="1">
        <v>450.87</v>
      </c>
    </row>
    <row r="4978" spans="2:8" x14ac:dyDescent="0.2">
      <c r="B4978" t="str">
        <f>VLOOKUP(G4978,PC!B:D,3,FALSE)</f>
        <v>CPV</v>
      </c>
      <c r="C4978" s="22">
        <v>2024</v>
      </c>
      <c r="D4978" t="s">
        <v>74</v>
      </c>
      <c r="E4978" t="s">
        <v>30</v>
      </c>
      <c r="F4978" t="str">
        <f>VLOOKUP(G4978,PC!B:D,2,FALSE)</f>
        <v>SOBREMESA</v>
      </c>
      <c r="G4978" s="4" t="s">
        <v>23</v>
      </c>
      <c r="H4978" s="1">
        <v>549</v>
      </c>
    </row>
    <row r="4979" spans="2:8" x14ac:dyDescent="0.2">
      <c r="B4979" t="str">
        <f>VLOOKUP(G4979,PC!B:D,3,FALSE)</f>
        <v>CPV</v>
      </c>
      <c r="C4979" s="22">
        <v>2024</v>
      </c>
      <c r="D4979" t="s">
        <v>74</v>
      </c>
      <c r="E4979" t="s">
        <v>241</v>
      </c>
      <c r="F4979" t="str">
        <f>VLOOKUP(G4979,PC!B:D,2,FALSE)</f>
        <v>COMIDA</v>
      </c>
      <c r="G4979" s="4" t="s">
        <v>12</v>
      </c>
      <c r="H4979" s="1">
        <v>224.85</v>
      </c>
    </row>
    <row r="4980" spans="2:8" x14ac:dyDescent="0.2">
      <c r="B4980" t="str">
        <f>VLOOKUP(G4980,PC!B:D,3,FALSE)</f>
        <v>CPV</v>
      </c>
      <c r="C4980" s="22">
        <v>2024</v>
      </c>
      <c r="D4980" t="s">
        <v>74</v>
      </c>
      <c r="E4980" t="s">
        <v>45</v>
      </c>
      <c r="F4980" t="str">
        <f>VLOOKUP(G4980,PC!B:D,2,FALSE)</f>
        <v>HIGIENE</v>
      </c>
      <c r="G4980" s="4" t="s">
        <v>36</v>
      </c>
      <c r="H4980" s="1">
        <v>337.54</v>
      </c>
    </row>
    <row r="4981" spans="2:8" x14ac:dyDescent="0.2">
      <c r="B4981" t="str">
        <f>VLOOKUP(G4981,PC!B:D,3,FALSE)</f>
        <v>CPV</v>
      </c>
      <c r="C4981" s="22">
        <v>2024</v>
      </c>
      <c r="D4981" t="s">
        <v>74</v>
      </c>
      <c r="E4981" t="s">
        <v>20</v>
      </c>
      <c r="F4981" t="str">
        <f>VLOOKUP(G4981,PC!B:D,2,FALSE)</f>
        <v>COMIDA</v>
      </c>
      <c r="G4981" s="4" t="s">
        <v>29</v>
      </c>
      <c r="H4981" s="1">
        <v>55.4</v>
      </c>
    </row>
    <row r="4982" spans="2:8" x14ac:dyDescent="0.2">
      <c r="B4982" t="str">
        <f>VLOOKUP(G4982,PC!B:D,3,FALSE)</f>
        <v>CPV</v>
      </c>
      <c r="C4982" s="22">
        <v>2024</v>
      </c>
      <c r="D4982" t="s">
        <v>74</v>
      </c>
      <c r="E4982" t="s">
        <v>21</v>
      </c>
      <c r="F4982" t="str">
        <f>VLOOKUP(G4982,PC!B:D,2,FALSE)</f>
        <v>SOBREMESA</v>
      </c>
      <c r="G4982" s="4" t="s">
        <v>23</v>
      </c>
      <c r="H4982" s="52">
        <v>439.33</v>
      </c>
    </row>
    <row r="4983" spans="2:8" x14ac:dyDescent="0.2">
      <c r="B4983" t="str">
        <f>VLOOKUP(G4983,PC!B:D,3,FALSE)</f>
        <v>CPV</v>
      </c>
      <c r="C4983" s="22">
        <v>2024</v>
      </c>
      <c r="D4983" t="s">
        <v>74</v>
      </c>
      <c r="E4983" t="s">
        <v>129</v>
      </c>
      <c r="F4983" t="str">
        <f>VLOOKUP(G4983,PC!B:D,2,FALSE)</f>
        <v>CIGARRO</v>
      </c>
      <c r="G4983" s="4" t="s">
        <v>131</v>
      </c>
      <c r="H4983" s="1">
        <v>622.53</v>
      </c>
    </row>
    <row r="4984" spans="2:8" x14ac:dyDescent="0.2">
      <c r="B4984" t="str">
        <f>VLOOKUP(G4984,PC!B:D,3,FALSE)</f>
        <v>CPV</v>
      </c>
      <c r="C4984" s="22">
        <v>2024</v>
      </c>
      <c r="D4984" t="s">
        <v>74</v>
      </c>
      <c r="E4984" t="s">
        <v>212</v>
      </c>
      <c r="F4984" t="str">
        <f>VLOOKUP(G4984,PC!B:D,2,FALSE)</f>
        <v>COMIDA</v>
      </c>
      <c r="G4984" s="4" t="s">
        <v>33</v>
      </c>
      <c r="H4984" s="1">
        <v>362.21</v>
      </c>
    </row>
    <row r="4985" spans="2:8" x14ac:dyDescent="0.2">
      <c r="B4985" t="str">
        <f>VLOOKUP(G4985,PC!B:D,3,FALSE)</f>
        <v>CPV</v>
      </c>
      <c r="C4985" s="22">
        <v>2024</v>
      </c>
      <c r="D4985" t="s">
        <v>74</v>
      </c>
      <c r="E4985" t="s">
        <v>19</v>
      </c>
      <c r="F4985" t="str">
        <f>VLOOKUP(G4985,PC!B:D,2,FALSE)</f>
        <v>SOBREMESA</v>
      </c>
      <c r="G4985" s="4" t="s">
        <v>8</v>
      </c>
      <c r="H4985" s="1">
        <v>349.18</v>
      </c>
    </row>
    <row r="4986" spans="2:8" x14ac:dyDescent="0.2">
      <c r="B4986" t="str">
        <f>VLOOKUP(G4986,PC!B:D,3,FALSE)</f>
        <v>CPV</v>
      </c>
      <c r="C4986" s="22">
        <v>2024</v>
      </c>
      <c r="D4986" t="s">
        <v>74</v>
      </c>
      <c r="E4986" t="s">
        <v>78</v>
      </c>
      <c r="F4986" t="str">
        <f>VLOOKUP(G4986,PC!B:D,2,FALSE)</f>
        <v>CIGARRO</v>
      </c>
      <c r="G4986" s="4" t="s">
        <v>82</v>
      </c>
      <c r="H4986" s="1">
        <v>508.74</v>
      </c>
    </row>
    <row r="4987" spans="2:8" x14ac:dyDescent="0.2">
      <c r="B4987" t="str">
        <f>VLOOKUP(G4987,PC!B:D,3,FALSE)</f>
        <v>CPV</v>
      </c>
      <c r="C4987" s="22">
        <v>2024</v>
      </c>
      <c r="D4987" t="s">
        <v>74</v>
      </c>
      <c r="E4987" t="s">
        <v>27</v>
      </c>
      <c r="F4987" t="str">
        <f>VLOOKUP(G4987,PC!B:D,2,FALSE)</f>
        <v>COMIDA</v>
      </c>
      <c r="G4987" s="4" t="s">
        <v>12</v>
      </c>
      <c r="H4987" s="1">
        <v>190.48</v>
      </c>
    </row>
    <row r="4988" spans="2:8" x14ac:dyDescent="0.2">
      <c r="B4988" t="str">
        <f>VLOOKUP(G4988,PC!B:D,3,FALSE)</f>
        <v>CPV</v>
      </c>
      <c r="C4988" s="22">
        <v>2024</v>
      </c>
      <c r="D4988" t="s">
        <v>74</v>
      </c>
      <c r="E4988" t="s">
        <v>45</v>
      </c>
      <c r="F4988" t="str">
        <f>VLOOKUP(G4988,PC!B:D,2,FALSE)</f>
        <v>COMIDA</v>
      </c>
      <c r="G4988" s="4" t="s">
        <v>38</v>
      </c>
      <c r="H4988" s="1">
        <v>950.74</v>
      </c>
    </row>
    <row r="4989" spans="2:8" x14ac:dyDescent="0.2">
      <c r="B4989" t="str">
        <f>VLOOKUP(G4989,PC!B:D,3,FALSE)</f>
        <v>CPV</v>
      </c>
      <c r="C4989" s="22">
        <v>2024</v>
      </c>
      <c r="D4989" t="s">
        <v>74</v>
      </c>
      <c r="E4989" t="s">
        <v>235</v>
      </c>
      <c r="F4989" t="str">
        <f>VLOOKUP(G4989,PC!B:D,2,FALSE)</f>
        <v>SOBREMESA</v>
      </c>
      <c r="G4989" s="4" t="s">
        <v>23</v>
      </c>
      <c r="H4989" s="1">
        <v>197.5</v>
      </c>
    </row>
    <row r="4990" spans="2:8" x14ac:dyDescent="0.2">
      <c r="B4990" t="str">
        <f>VLOOKUP(G4990,PC!B:D,3,FALSE)</f>
        <v>CPV</v>
      </c>
      <c r="C4990" s="22">
        <v>2024</v>
      </c>
      <c r="D4990" t="s">
        <v>74</v>
      </c>
      <c r="E4990" t="s">
        <v>227</v>
      </c>
      <c r="F4990" t="str">
        <f>VLOOKUP(G4990,PC!B:D,2,FALSE)</f>
        <v>OUTROS</v>
      </c>
      <c r="G4990" s="4" t="s">
        <v>37</v>
      </c>
      <c r="H4990" s="1">
        <v>378.51</v>
      </c>
    </row>
    <row r="4991" spans="2:8" x14ac:dyDescent="0.2">
      <c r="B4991" t="str">
        <f>VLOOKUP(G4991,PC!B:D,3,FALSE)</f>
        <v>CPV</v>
      </c>
      <c r="C4991" s="22">
        <v>2024</v>
      </c>
      <c r="D4991" t="s">
        <v>74</v>
      </c>
      <c r="E4991" t="s">
        <v>19</v>
      </c>
      <c r="F4991" t="str">
        <f>VLOOKUP(G4991,PC!B:D,2,FALSE)</f>
        <v>COMIDA</v>
      </c>
      <c r="G4991" s="4" t="s">
        <v>145</v>
      </c>
      <c r="H4991" s="1">
        <v>626.70000000000005</v>
      </c>
    </row>
    <row r="4992" spans="2:8" x14ac:dyDescent="0.2">
      <c r="B4992" t="str">
        <f>VLOOKUP(G4992,PC!B:D,3,FALSE)</f>
        <v>CPV</v>
      </c>
      <c r="C4992" s="22">
        <v>2024</v>
      </c>
      <c r="D4992" t="s">
        <v>74</v>
      </c>
      <c r="E4992" t="s">
        <v>24</v>
      </c>
      <c r="F4992" t="str">
        <f>VLOOKUP(G4992,PC!B:D,2,FALSE)</f>
        <v>COMIDA</v>
      </c>
      <c r="G4992" s="4" t="s">
        <v>33</v>
      </c>
      <c r="H4992" s="1">
        <v>179.98</v>
      </c>
    </row>
    <row r="4993" spans="2:8" x14ac:dyDescent="0.2">
      <c r="B4993" t="str">
        <f>VLOOKUP(G4993,PC!B:D,3,FALSE)</f>
        <v>CPV</v>
      </c>
      <c r="C4993" s="22">
        <v>2024</v>
      </c>
      <c r="D4993" t="s">
        <v>74</v>
      </c>
      <c r="E4993" t="s">
        <v>16</v>
      </c>
      <c r="F4993" t="str">
        <f>VLOOKUP(G4993,PC!B:D,2,FALSE)</f>
        <v>COMIDA</v>
      </c>
      <c r="G4993" s="4" t="s">
        <v>12</v>
      </c>
      <c r="H4993" s="1">
        <v>217.67</v>
      </c>
    </row>
    <row r="4994" spans="2:8" x14ac:dyDescent="0.2">
      <c r="B4994" t="str">
        <f>VLOOKUP(G4994,PC!B:D,3,FALSE)</f>
        <v>CPV</v>
      </c>
      <c r="C4994" s="22">
        <v>2024</v>
      </c>
      <c r="D4994" t="s">
        <v>74</v>
      </c>
      <c r="E4994" t="s">
        <v>129</v>
      </c>
      <c r="F4994" t="str">
        <f>VLOOKUP(G4994,PC!B:D,2,FALSE)</f>
        <v>BEBIDAS</v>
      </c>
      <c r="G4994" s="4" t="s">
        <v>48</v>
      </c>
      <c r="H4994" s="1">
        <v>334</v>
      </c>
    </row>
    <row r="4995" spans="2:8" x14ac:dyDescent="0.2">
      <c r="B4995" t="str">
        <f>VLOOKUP(G4995,PC!B:D,3,FALSE)</f>
        <v>DESPESA PESSOAL</v>
      </c>
      <c r="C4995" s="22">
        <v>2024</v>
      </c>
      <c r="D4995" t="s">
        <v>74</v>
      </c>
      <c r="E4995" t="s">
        <v>91</v>
      </c>
      <c r="F4995" t="str">
        <f>VLOOKUP(G4995,PC!B:D,2,FALSE)</f>
        <v>DESPESA PESSOAL</v>
      </c>
      <c r="G4995" s="4" t="s">
        <v>68</v>
      </c>
      <c r="H4995" s="1">
        <v>226.62</v>
      </c>
    </row>
    <row r="4996" spans="2:8" x14ac:dyDescent="0.2">
      <c r="B4996" t="str">
        <f>VLOOKUP(G4996,PC!B:D,3,FALSE)</f>
        <v>SERV. PUBLICOS</v>
      </c>
      <c r="C4996" s="22">
        <v>2024</v>
      </c>
      <c r="D4996" t="s">
        <v>74</v>
      </c>
      <c r="F4996" t="str">
        <f>VLOOKUP(G4996,PC!B:D,2,FALSE)</f>
        <v>SERV. PUBLICOS</v>
      </c>
      <c r="G4996" s="4" t="s">
        <v>91</v>
      </c>
      <c r="H4996" s="1">
        <v>461.96</v>
      </c>
    </row>
    <row r="4997" spans="2:8" x14ac:dyDescent="0.2">
      <c r="B4997" t="str">
        <f>VLOOKUP(G4997,PC!B:D,3,FALSE)</f>
        <v>DESPESA PESSOAL</v>
      </c>
      <c r="C4997" s="22">
        <v>2024</v>
      </c>
      <c r="D4997" t="s">
        <v>74</v>
      </c>
      <c r="F4997" t="str">
        <f>VLOOKUP(G4997,PC!B:D,2,FALSE)</f>
        <v>DESPESA PESSOAL</v>
      </c>
      <c r="G4997" s="4" t="s">
        <v>68</v>
      </c>
      <c r="H4997" s="1">
        <v>2035.3</v>
      </c>
    </row>
    <row r="4998" spans="2:8" x14ac:dyDescent="0.2">
      <c r="B4998" t="str">
        <f>VLOOKUP(G4998,PC!B:D,3,FALSE)</f>
        <v>CPV</v>
      </c>
      <c r="C4998" s="22">
        <v>2024</v>
      </c>
      <c r="D4998" t="s">
        <v>74</v>
      </c>
      <c r="E4998" t="s">
        <v>10</v>
      </c>
      <c r="F4998" t="str">
        <f>VLOOKUP(G4998,PC!B:D,2,FALSE)</f>
        <v>COMIDA</v>
      </c>
      <c r="G4998" s="4" t="s">
        <v>12</v>
      </c>
      <c r="H4998" s="1">
        <v>514.65</v>
      </c>
    </row>
    <row r="4999" spans="2:8" x14ac:dyDescent="0.2">
      <c r="B4999" t="str">
        <f>VLOOKUP(G4999,PC!B:D,3,FALSE)</f>
        <v>CPV</v>
      </c>
      <c r="C4999" s="22">
        <v>2024</v>
      </c>
      <c r="D4999" t="s">
        <v>74</v>
      </c>
      <c r="E4999" t="s">
        <v>21</v>
      </c>
      <c r="F4999" t="str">
        <f>VLOOKUP(G4999,PC!B:D,2,FALSE)</f>
        <v>SOBREMESA</v>
      </c>
      <c r="G4999" s="4" t="s">
        <v>23</v>
      </c>
      <c r="H4999" s="1">
        <v>142.41999999999999</v>
      </c>
    </row>
    <row r="5000" spans="2:8" x14ac:dyDescent="0.2">
      <c r="B5000" t="str">
        <f>VLOOKUP(G5000,PC!B:D,3,FALSE)</f>
        <v>CPV</v>
      </c>
      <c r="C5000" s="22">
        <v>2024</v>
      </c>
      <c r="D5000" t="s">
        <v>74</v>
      </c>
      <c r="E5000" t="s">
        <v>5</v>
      </c>
      <c r="F5000" t="str">
        <f>VLOOKUP(G5000,PC!B:D,2,FALSE)</f>
        <v>COMIDA</v>
      </c>
      <c r="G5000" s="4" t="s">
        <v>18</v>
      </c>
      <c r="H5000" s="1">
        <v>128.38999999999999</v>
      </c>
    </row>
    <row r="5001" spans="2:8" x14ac:dyDescent="0.2">
      <c r="B5001" t="str">
        <f>VLOOKUP(G5001,PC!B:D,3,FALSE)</f>
        <v>CPV</v>
      </c>
      <c r="C5001" s="22">
        <v>2024</v>
      </c>
      <c r="D5001" t="s">
        <v>74</v>
      </c>
      <c r="E5001" t="s">
        <v>19</v>
      </c>
      <c r="F5001" t="str">
        <f>VLOOKUP(G5001,PC!B:D,2,FALSE)</f>
        <v>SOBREMESA</v>
      </c>
      <c r="G5001" s="4" t="s">
        <v>23</v>
      </c>
      <c r="H5001" s="1">
        <v>130.75</v>
      </c>
    </row>
    <row r="5002" spans="2:8" x14ac:dyDescent="0.2">
      <c r="B5002" t="str">
        <f>VLOOKUP(G5002,PC!B:D,3,FALSE)</f>
        <v>CPV</v>
      </c>
      <c r="C5002" s="22">
        <v>2024</v>
      </c>
      <c r="D5002" t="s">
        <v>74</v>
      </c>
      <c r="E5002" t="s">
        <v>241</v>
      </c>
      <c r="F5002" t="str">
        <f>VLOOKUP(G5002,PC!B:D,2,FALSE)</f>
        <v>COMIDA</v>
      </c>
      <c r="G5002" s="4" t="s">
        <v>12</v>
      </c>
      <c r="H5002" s="1">
        <v>200.51</v>
      </c>
    </row>
    <row r="5003" spans="2:8" x14ac:dyDescent="0.2">
      <c r="B5003" t="str">
        <f>VLOOKUP(G5003,PC!B:D,3,FALSE)</f>
        <v>CPV</v>
      </c>
      <c r="C5003" s="22">
        <v>2024</v>
      </c>
      <c r="D5003" t="s">
        <v>74</v>
      </c>
      <c r="E5003" t="s">
        <v>20</v>
      </c>
      <c r="F5003" t="str">
        <f>VLOOKUP(G5003,PC!B:D,2,FALSE)</f>
        <v>COMIDA</v>
      </c>
      <c r="G5003" s="4" t="s">
        <v>29</v>
      </c>
      <c r="H5003" s="1">
        <v>173.9</v>
      </c>
    </row>
    <row r="5004" spans="2:8" x14ac:dyDescent="0.2">
      <c r="B5004" t="str">
        <f>VLOOKUP(G5004,PC!B:D,3,FALSE)</f>
        <v>CPV</v>
      </c>
      <c r="C5004" s="22">
        <v>2024</v>
      </c>
      <c r="D5004" t="s">
        <v>74</v>
      </c>
      <c r="E5004" t="s">
        <v>227</v>
      </c>
      <c r="F5004" t="str">
        <f>VLOOKUP(G5004,PC!B:D,2,FALSE)</f>
        <v>OUTROS</v>
      </c>
      <c r="G5004" s="4" t="s">
        <v>37</v>
      </c>
      <c r="H5004" s="1">
        <v>828.91</v>
      </c>
    </row>
    <row r="5005" spans="2:8" x14ac:dyDescent="0.2">
      <c r="B5005" t="str">
        <f>VLOOKUP(G5005,PC!B:D,3,FALSE)</f>
        <v>CPV</v>
      </c>
      <c r="C5005" s="22">
        <v>2024</v>
      </c>
      <c r="D5005" t="s">
        <v>74</v>
      </c>
      <c r="E5005" t="s">
        <v>129</v>
      </c>
      <c r="F5005" t="str">
        <f>VLOOKUP(G5005,PC!B:D,2,FALSE)</f>
        <v>OUTROS</v>
      </c>
      <c r="G5005" s="4" t="s">
        <v>37</v>
      </c>
      <c r="H5005" s="1">
        <v>814.26</v>
      </c>
    </row>
    <row r="5006" spans="2:8" x14ac:dyDescent="0.2">
      <c r="B5006" t="str">
        <f>VLOOKUP(G5006,PC!B:D,3,FALSE)</f>
        <v>CPV</v>
      </c>
      <c r="C5006" s="22">
        <v>2024</v>
      </c>
      <c r="D5006" t="s">
        <v>74</v>
      </c>
      <c r="E5006" t="s">
        <v>78</v>
      </c>
      <c r="F5006" t="str">
        <f>VLOOKUP(G5006,PC!B:D,2,FALSE)</f>
        <v>CIGARRO</v>
      </c>
      <c r="G5006" s="4" t="s">
        <v>82</v>
      </c>
      <c r="H5006" s="1">
        <v>501.23</v>
      </c>
    </row>
    <row r="5007" spans="2:8" x14ac:dyDescent="0.2">
      <c r="B5007" t="str">
        <f>VLOOKUP(G5007,PC!B:D,3,FALSE)</f>
        <v>CPV</v>
      </c>
      <c r="C5007" s="22">
        <v>2024</v>
      </c>
      <c r="D5007" t="s">
        <v>74</v>
      </c>
      <c r="E5007" t="s">
        <v>6</v>
      </c>
      <c r="F5007" t="str">
        <f>VLOOKUP(G5007,PC!B:D,2,FALSE)</f>
        <v>COMIDA</v>
      </c>
      <c r="G5007" s="4" t="s">
        <v>18</v>
      </c>
      <c r="H5007" s="1">
        <v>404.14</v>
      </c>
    </row>
    <row r="5008" spans="2:8" x14ac:dyDescent="0.2">
      <c r="B5008" t="str">
        <f>VLOOKUP(G5008,PC!B:D,3,FALSE)</f>
        <v>CPV</v>
      </c>
      <c r="C5008" s="22">
        <v>2024</v>
      </c>
      <c r="D5008" t="s">
        <v>74</v>
      </c>
      <c r="E5008" t="s">
        <v>129</v>
      </c>
      <c r="F5008" t="str">
        <f>VLOOKUP(G5008,PC!B:D,2,FALSE)</f>
        <v>OUTROS</v>
      </c>
      <c r="G5008" s="4" t="s">
        <v>37</v>
      </c>
      <c r="H5008" s="1">
        <v>479.63</v>
      </c>
    </row>
    <row r="5009" spans="2:8" x14ac:dyDescent="0.2">
      <c r="B5009" t="str">
        <f>VLOOKUP(G5009,PC!B:D,3,FALSE)</f>
        <v>CPV</v>
      </c>
      <c r="C5009" s="22">
        <v>2024</v>
      </c>
      <c r="D5009" t="s">
        <v>74</v>
      </c>
      <c r="E5009" t="s">
        <v>19</v>
      </c>
      <c r="F5009" t="str">
        <f>VLOOKUP(G5009,PC!B:D,2,FALSE)</f>
        <v>COMIDA</v>
      </c>
      <c r="G5009" s="4" t="s">
        <v>34</v>
      </c>
      <c r="H5009" s="1">
        <v>173.29</v>
      </c>
    </row>
    <row r="5010" spans="2:8" x14ac:dyDescent="0.2">
      <c r="B5010" t="str">
        <f>VLOOKUP(G5010,PC!B:D,3,FALSE)</f>
        <v>CPV</v>
      </c>
      <c r="C5010" s="22">
        <v>2024</v>
      </c>
      <c r="D5010" t="s">
        <v>74</v>
      </c>
      <c r="E5010" t="s">
        <v>237</v>
      </c>
      <c r="F5010" t="str">
        <f>VLOOKUP(G5010,PC!B:D,2,FALSE)</f>
        <v>COMIDA</v>
      </c>
      <c r="G5010" s="4" t="s">
        <v>38</v>
      </c>
      <c r="H5010" s="1">
        <v>218.18</v>
      </c>
    </row>
    <row r="5011" spans="2:8" x14ac:dyDescent="0.2">
      <c r="B5011" t="str">
        <f>VLOOKUP(G5011,PC!B:D,3,FALSE)</f>
        <v>CPV</v>
      </c>
      <c r="C5011" s="22">
        <v>2024</v>
      </c>
      <c r="D5011" t="s">
        <v>74</v>
      </c>
      <c r="E5011" t="s">
        <v>24</v>
      </c>
      <c r="F5011" t="str">
        <f>VLOOKUP(G5011,PC!B:D,2,FALSE)</f>
        <v>COMIDA</v>
      </c>
      <c r="G5011" s="4" t="s">
        <v>33</v>
      </c>
      <c r="H5011" s="1">
        <v>221.88</v>
      </c>
    </row>
    <row r="5012" spans="2:8" x14ac:dyDescent="0.2">
      <c r="B5012" t="str">
        <f>VLOOKUP(G5012,PC!B:D,3,FALSE)</f>
        <v>CPV</v>
      </c>
      <c r="C5012" s="22">
        <v>2024</v>
      </c>
      <c r="D5012" t="s">
        <v>74</v>
      </c>
      <c r="E5012" t="s">
        <v>16</v>
      </c>
      <c r="F5012" t="str">
        <f>VLOOKUP(G5012,PC!B:D,2,FALSE)</f>
        <v>COMIDA</v>
      </c>
      <c r="G5012" s="4" t="s">
        <v>12</v>
      </c>
      <c r="H5012" s="1">
        <v>223.4</v>
      </c>
    </row>
    <row r="5013" spans="2:8" x14ac:dyDescent="0.2">
      <c r="B5013" t="str">
        <f>VLOOKUP(G5013,PC!B:D,3,FALSE)</f>
        <v>CPV</v>
      </c>
      <c r="C5013" s="22">
        <v>2024</v>
      </c>
      <c r="D5013" t="s">
        <v>74</v>
      </c>
      <c r="E5013" t="s">
        <v>242</v>
      </c>
      <c r="F5013" t="str">
        <f>VLOOKUP(G5013,PC!B:D,2,FALSE)</f>
        <v>SOBREMESA</v>
      </c>
      <c r="G5013" s="4" t="s">
        <v>8</v>
      </c>
      <c r="H5013" s="1">
        <v>102.11</v>
      </c>
    </row>
    <row r="5014" spans="2:8" x14ac:dyDescent="0.2">
      <c r="B5014" t="str">
        <f>VLOOKUP(G5014,PC!B:D,3,FALSE)</f>
        <v>CPV</v>
      </c>
      <c r="C5014" s="22">
        <v>2024</v>
      </c>
      <c r="D5014" t="s">
        <v>74</v>
      </c>
      <c r="E5014" t="s">
        <v>16</v>
      </c>
      <c r="F5014" t="str">
        <f>VLOOKUP(G5014,PC!B:D,2,FALSE)</f>
        <v>COMIDA</v>
      </c>
      <c r="G5014" s="4" t="s">
        <v>12</v>
      </c>
      <c r="H5014" s="1">
        <v>274.77999999999997</v>
      </c>
    </row>
    <row r="5015" spans="2:8" x14ac:dyDescent="0.2">
      <c r="B5015" t="str">
        <f>VLOOKUP(G5015,PC!B:D,3,FALSE)</f>
        <v>CPV</v>
      </c>
      <c r="C5015" s="22">
        <v>2024</v>
      </c>
      <c r="D5015" t="s">
        <v>74</v>
      </c>
      <c r="E5015" t="s">
        <v>21</v>
      </c>
      <c r="F5015" t="str">
        <f>VLOOKUP(G5015,PC!B:D,2,FALSE)</f>
        <v>SOBREMESA</v>
      </c>
      <c r="G5015" s="4" t="s">
        <v>23</v>
      </c>
      <c r="H5015" s="1">
        <v>416.34</v>
      </c>
    </row>
    <row r="5016" spans="2:8" x14ac:dyDescent="0.2">
      <c r="B5016" t="str">
        <f>VLOOKUP(G5016,PC!B:D,3,FALSE)</f>
        <v>CPV</v>
      </c>
      <c r="C5016" s="22">
        <v>2024</v>
      </c>
      <c r="D5016" t="s">
        <v>74</v>
      </c>
      <c r="E5016" t="s">
        <v>227</v>
      </c>
      <c r="F5016" t="str">
        <f>VLOOKUP(G5016,PC!B:D,2,FALSE)</f>
        <v>LIMPEZA</v>
      </c>
      <c r="G5016" s="4" t="s">
        <v>43</v>
      </c>
      <c r="H5016" s="1">
        <v>1229.56</v>
      </c>
    </row>
    <row r="5017" spans="2:8" x14ac:dyDescent="0.2">
      <c r="B5017" t="str">
        <f>VLOOKUP(G5017,PC!B:D,3,FALSE)</f>
        <v>CPV</v>
      </c>
      <c r="C5017" s="22">
        <v>2024</v>
      </c>
      <c r="D5017" t="s">
        <v>74</v>
      </c>
      <c r="E5017" t="s">
        <v>228</v>
      </c>
      <c r="F5017" t="str">
        <f>VLOOKUP(G5017,PC!B:D,2,FALSE)</f>
        <v>COMIDA</v>
      </c>
      <c r="G5017" s="4" t="s">
        <v>12</v>
      </c>
      <c r="H5017" s="1">
        <v>448.27</v>
      </c>
    </row>
    <row r="5018" spans="2:8" x14ac:dyDescent="0.2">
      <c r="B5018" t="str">
        <f>VLOOKUP(G5018,PC!B:D,3,FALSE)</f>
        <v>CPV</v>
      </c>
      <c r="C5018" s="22">
        <v>2024</v>
      </c>
      <c r="D5018" t="s">
        <v>74</v>
      </c>
      <c r="E5018" t="s">
        <v>5</v>
      </c>
      <c r="F5018" t="str">
        <f>VLOOKUP(G5018,PC!B:D,2,FALSE)</f>
        <v>COMIDA</v>
      </c>
      <c r="G5018" s="4" t="s">
        <v>18</v>
      </c>
      <c r="H5018" s="1">
        <v>423.62</v>
      </c>
    </row>
    <row r="5019" spans="2:8" x14ac:dyDescent="0.2">
      <c r="B5019" t="str">
        <f>VLOOKUP(G5019,PC!B:D,3,FALSE)</f>
        <v>CPV</v>
      </c>
      <c r="C5019" s="22">
        <v>2024</v>
      </c>
      <c r="D5019" t="s">
        <v>74</v>
      </c>
      <c r="E5019" t="s">
        <v>24</v>
      </c>
      <c r="F5019" t="str">
        <f>VLOOKUP(G5019,PC!B:D,2,FALSE)</f>
        <v>COMIDA</v>
      </c>
      <c r="G5019" s="4" t="s">
        <v>33</v>
      </c>
      <c r="H5019" s="1">
        <v>277.22000000000003</v>
      </c>
    </row>
    <row r="5020" spans="2:8" x14ac:dyDescent="0.2">
      <c r="B5020" t="str">
        <f>VLOOKUP(G5020,PC!B:D,3,FALSE)</f>
        <v>CPV</v>
      </c>
      <c r="C5020" s="22">
        <v>2024</v>
      </c>
      <c r="D5020" t="s">
        <v>74</v>
      </c>
      <c r="E5020" t="s">
        <v>95</v>
      </c>
      <c r="F5020" t="str">
        <f>VLOOKUP(G5020,PC!B:D,2,FALSE)</f>
        <v>BEBIDAS</v>
      </c>
      <c r="G5020" s="4" t="s">
        <v>144</v>
      </c>
      <c r="H5020" s="1">
        <v>310.08999999999997</v>
      </c>
    </row>
    <row r="5021" spans="2:8" x14ac:dyDescent="0.2">
      <c r="B5021" t="str">
        <f>VLOOKUP(G5021,PC!B:D,3,FALSE)</f>
        <v>CPV</v>
      </c>
      <c r="C5021" s="22">
        <v>2024</v>
      </c>
      <c r="D5021" t="s">
        <v>74</v>
      </c>
      <c r="E5021" t="s">
        <v>237</v>
      </c>
      <c r="F5021" t="str">
        <f>VLOOKUP(G5021,PC!B:D,2,FALSE)</f>
        <v>LIMPEZA</v>
      </c>
      <c r="G5021" s="4" t="s">
        <v>43</v>
      </c>
      <c r="H5021" s="1">
        <v>160.22</v>
      </c>
    </row>
    <row r="5022" spans="2:8" x14ac:dyDescent="0.2">
      <c r="B5022" t="str">
        <f>VLOOKUP(G5022,PC!B:D,3,FALSE)</f>
        <v>CPV</v>
      </c>
      <c r="C5022" s="22">
        <v>2024</v>
      </c>
      <c r="D5022" t="s">
        <v>74</v>
      </c>
      <c r="E5022" t="s">
        <v>24</v>
      </c>
      <c r="F5022" t="str">
        <f>VLOOKUP(G5022,PC!B:D,2,FALSE)</f>
        <v>COMIDA</v>
      </c>
      <c r="G5022" s="4" t="s">
        <v>33</v>
      </c>
      <c r="H5022" s="1">
        <v>330.69</v>
      </c>
    </row>
    <row r="5023" spans="2:8" x14ac:dyDescent="0.2">
      <c r="B5023" t="str">
        <f>VLOOKUP(G5023,PC!B:D,3,FALSE)</f>
        <v>CPV</v>
      </c>
      <c r="C5023" s="22">
        <v>2024</v>
      </c>
      <c r="D5023" t="s">
        <v>74</v>
      </c>
      <c r="E5023" t="s">
        <v>27</v>
      </c>
      <c r="F5023" t="str">
        <f>VLOOKUP(G5023,PC!B:D,2,FALSE)</f>
        <v>COMIDA</v>
      </c>
      <c r="G5023" s="4" t="s">
        <v>12</v>
      </c>
      <c r="H5023" s="1">
        <v>353.59</v>
      </c>
    </row>
    <row r="5024" spans="2:8" x14ac:dyDescent="0.2">
      <c r="B5024" t="str">
        <f>VLOOKUP(G5024,PC!B:D,3,FALSE)</f>
        <v>CPV</v>
      </c>
      <c r="C5024" s="22">
        <v>2024</v>
      </c>
      <c r="D5024" t="s">
        <v>74</v>
      </c>
      <c r="E5024" t="s">
        <v>242</v>
      </c>
      <c r="F5024" t="str">
        <f>VLOOKUP(G5024,PC!B:D,2,FALSE)</f>
        <v>SOBREMESA</v>
      </c>
      <c r="G5024" s="4" t="s">
        <v>8</v>
      </c>
      <c r="H5024" s="1">
        <v>103.87</v>
      </c>
    </row>
    <row r="5025" spans="2:8" x14ac:dyDescent="0.2">
      <c r="B5025" t="str">
        <f>VLOOKUP(G5025,PC!B:D,3,FALSE)</f>
        <v>CPV</v>
      </c>
      <c r="C5025" s="22">
        <v>2024</v>
      </c>
      <c r="D5025" t="s">
        <v>74</v>
      </c>
      <c r="E5025" t="s">
        <v>226</v>
      </c>
      <c r="F5025" t="str">
        <f>VLOOKUP(G5025,PC!B:D,2,FALSE)</f>
        <v>BEBIDAS</v>
      </c>
      <c r="G5025" s="4" t="s">
        <v>25</v>
      </c>
      <c r="H5025" s="1">
        <f>127.51+310+1005.45+540.62+968.45+50.61</f>
        <v>3002.64</v>
      </c>
    </row>
    <row r="5026" spans="2:8" x14ac:dyDescent="0.2">
      <c r="B5026" t="str">
        <f>VLOOKUP(G5026,PC!B:D,3,FALSE)</f>
        <v>RECEITA</v>
      </c>
      <c r="C5026" s="22">
        <v>2024</v>
      </c>
      <c r="D5026" t="s">
        <v>74</v>
      </c>
      <c r="F5026" t="str">
        <f>VLOOKUP(G5026,PC!B:D,2,FALSE)</f>
        <v>RECEITA</v>
      </c>
      <c r="G5026" s="4" t="s">
        <v>83</v>
      </c>
      <c r="H5026" s="1">
        <v>23.58</v>
      </c>
    </row>
    <row r="5027" spans="2:8" x14ac:dyDescent="0.2">
      <c r="B5027" t="str">
        <f>VLOOKUP(G5027,PC!B:D,3,FALSE)</f>
        <v>CPV</v>
      </c>
      <c r="C5027" s="22">
        <v>2024</v>
      </c>
      <c r="D5027" t="s">
        <v>74</v>
      </c>
      <c r="E5027" t="s">
        <v>49</v>
      </c>
      <c r="F5027" t="str">
        <f>VLOOKUP(G5027,PC!B:D,2,FALSE)</f>
        <v>CIGARRO</v>
      </c>
      <c r="G5027" s="4" t="s">
        <v>52</v>
      </c>
      <c r="H5027" s="1">
        <f>8143.02+2059.86+2213.2</f>
        <v>12416.080000000002</v>
      </c>
    </row>
    <row r="5028" spans="2:8" x14ac:dyDescent="0.2">
      <c r="B5028" t="str">
        <f>VLOOKUP(G5028,PC!B:D,3,FALSE)</f>
        <v>RECEITA</v>
      </c>
      <c r="C5028" s="22">
        <v>2024</v>
      </c>
      <c r="D5028" t="s">
        <v>74</v>
      </c>
      <c r="E5028" t="s">
        <v>49</v>
      </c>
      <c r="F5028" t="str">
        <f>VLOOKUP(G5028,PC!B:D,2,FALSE)</f>
        <v>RECEITA</v>
      </c>
      <c r="G5028" s="4" t="s">
        <v>83</v>
      </c>
      <c r="H5028" s="1">
        <v>106.07</v>
      </c>
    </row>
    <row r="5029" spans="2:8" x14ac:dyDescent="0.2">
      <c r="B5029" t="str">
        <f>VLOOKUP(G5029,PC!B:D,3,FALSE)</f>
        <v>CPV</v>
      </c>
      <c r="C5029" s="22">
        <v>2024</v>
      </c>
      <c r="D5029" t="s">
        <v>74</v>
      </c>
      <c r="E5029" t="s">
        <v>226</v>
      </c>
      <c r="F5029" t="str">
        <f>VLOOKUP(G5029,PC!B:D,2,FALSE)</f>
        <v>BEBIDAS</v>
      </c>
      <c r="G5029" s="4" t="s">
        <v>25</v>
      </c>
      <c r="H5029" s="1">
        <f>953.32+387.21+241.55+1321.09+531.31</f>
        <v>3434.48</v>
      </c>
    </row>
    <row r="5030" spans="2:8" x14ac:dyDescent="0.2">
      <c r="B5030" t="str">
        <f>VLOOKUP(G5030,PC!B:D,3,FALSE)</f>
        <v>CPV</v>
      </c>
      <c r="C5030" s="22">
        <v>2024</v>
      </c>
      <c r="D5030" t="s">
        <v>74</v>
      </c>
      <c r="E5030" t="s">
        <v>211</v>
      </c>
      <c r="F5030" t="str">
        <f>VLOOKUP(G5030,PC!B:D,2,FALSE)</f>
        <v>BEBIDAS</v>
      </c>
      <c r="G5030" s="4" t="s">
        <v>26</v>
      </c>
      <c r="H5030" s="1">
        <f>1930.33+390.19+765.54+286.55</f>
        <v>3372.61</v>
      </c>
    </row>
    <row r="5031" spans="2:8" x14ac:dyDescent="0.2">
      <c r="B5031" t="str">
        <f>VLOOKUP(G5031,PC!B:D,3,FALSE)</f>
        <v>CPV</v>
      </c>
      <c r="C5031" s="22">
        <v>2024</v>
      </c>
      <c r="D5031" t="s">
        <v>74</v>
      </c>
      <c r="E5031" t="s">
        <v>28</v>
      </c>
      <c r="F5031" t="str">
        <f>VLOOKUP(G5031,PC!B:D,2,FALSE)</f>
        <v>BEBIDAS</v>
      </c>
      <c r="G5031" s="4" t="s">
        <v>26</v>
      </c>
      <c r="H5031" s="1">
        <f>156.88+1752.69+5636.58+879.13+229.49+2320.12+1256.93+327.76+4642.55+5091.08+13.9+1914.14+94.51+1845.86+156.65</f>
        <v>26318.27</v>
      </c>
    </row>
    <row r="5032" spans="2:8" x14ac:dyDescent="0.2">
      <c r="B5032" t="str">
        <f>VLOOKUP(G5032,PC!B:D,3,FALSE)</f>
        <v>CPV</v>
      </c>
      <c r="C5032" s="22">
        <v>2024</v>
      </c>
      <c r="D5032" t="s">
        <v>74</v>
      </c>
      <c r="E5032" t="s">
        <v>156</v>
      </c>
      <c r="F5032" t="str">
        <f>VLOOKUP(G5032,PC!B:D,2,FALSE)</f>
        <v>BEBIDAS</v>
      </c>
      <c r="G5032" s="4" t="s">
        <v>26</v>
      </c>
      <c r="H5032" s="1">
        <f>611.68+452.76+227.76+56.94</f>
        <v>1349.14</v>
      </c>
    </row>
    <row r="5033" spans="2:8" x14ac:dyDescent="0.2">
      <c r="B5033" t="str">
        <f>VLOOKUP(G5033,PC!B:D,3,FALSE)</f>
        <v>CPV</v>
      </c>
      <c r="C5033" s="22">
        <v>2024</v>
      </c>
      <c r="D5033" t="s">
        <v>74</v>
      </c>
      <c r="E5033" t="s">
        <v>239</v>
      </c>
      <c r="F5033" t="str">
        <f>VLOOKUP(G5033,PC!B:D,2,FALSE)</f>
        <v>BEBIDAS</v>
      </c>
      <c r="G5033" s="4" t="s">
        <v>26</v>
      </c>
      <c r="H5033" s="1">
        <v>728.8</v>
      </c>
    </row>
    <row r="5034" spans="2:8" x14ac:dyDescent="0.2">
      <c r="B5034" t="str">
        <f>VLOOKUP(G5034,PC!B:D,3,FALSE)</f>
        <v>RECEITA</v>
      </c>
      <c r="C5034" s="22">
        <v>2024</v>
      </c>
      <c r="D5034" t="s">
        <v>74</v>
      </c>
      <c r="F5034" t="str">
        <f>VLOOKUP(G5034,PC!B:D,2,FALSE)</f>
        <v>RECEITA</v>
      </c>
      <c r="G5034" s="4" t="s">
        <v>83</v>
      </c>
      <c r="H5034" s="1">
        <f>127.2+912.73+113.4</f>
        <v>1153.3300000000002</v>
      </c>
    </row>
    <row r="5035" spans="2:8" x14ac:dyDescent="0.2">
      <c r="B5035" t="str">
        <f>VLOOKUP(G5035,PC!B:D,3,FALSE)</f>
        <v>RECEITA</v>
      </c>
      <c r="C5035" s="22">
        <v>2024</v>
      </c>
      <c r="D5035" t="s">
        <v>74</v>
      </c>
      <c r="F5035" t="str">
        <f>VLOOKUP(G5035,PC!B:D,2,FALSE)</f>
        <v>RECEITA</v>
      </c>
      <c r="G5035" s="4" t="s">
        <v>54</v>
      </c>
      <c r="H5035" s="1">
        <f>1380+60+350+800+1300+2250</f>
        <v>6140</v>
      </c>
    </row>
    <row r="5036" spans="2:8" x14ac:dyDescent="0.2">
      <c r="B5036" t="str">
        <f>VLOOKUP(G5036,PC!B:D,3,FALSE)</f>
        <v>DESPESA PESSOAL</v>
      </c>
      <c r="C5036" s="22">
        <v>2024</v>
      </c>
      <c r="D5036" t="s">
        <v>74</v>
      </c>
      <c r="F5036" t="str">
        <f>VLOOKUP(G5036,PC!B:D,2,FALSE)</f>
        <v>DESPESA PESSOAL</v>
      </c>
      <c r="G5036" s="4" t="s">
        <v>56</v>
      </c>
      <c r="H5036" s="1">
        <v>350</v>
      </c>
    </row>
    <row r="5037" spans="2:8" x14ac:dyDescent="0.2">
      <c r="B5037" t="str">
        <f>VLOOKUP(G5037,PC!B:D,3,FALSE)</f>
        <v>RECEITA</v>
      </c>
      <c r="C5037" s="22">
        <v>2024</v>
      </c>
      <c r="D5037" t="s">
        <v>74</v>
      </c>
      <c r="F5037" t="str">
        <f>VLOOKUP(G5037,PC!B:D,2,FALSE)</f>
        <v>RECEITA</v>
      </c>
      <c r="G5037" s="4" t="s">
        <v>54</v>
      </c>
      <c r="H5037" s="1">
        <f>1000+1000+700+600+79.3+400+500+290+1250+200+182.2+40+30+108+400+1200+300+400+112+1650+25+22+100+16.1+192+900+800+650</f>
        <v>13146.6</v>
      </c>
    </row>
    <row r="5038" spans="2:8" x14ac:dyDescent="0.2">
      <c r="B5038" t="str">
        <f>VLOOKUP(G5038,PC!B:D,3,FALSE)</f>
        <v>CPV</v>
      </c>
      <c r="C5038" s="22">
        <v>2024</v>
      </c>
      <c r="D5038" t="s">
        <v>74</v>
      </c>
      <c r="E5038" t="s">
        <v>129</v>
      </c>
      <c r="F5038" t="str">
        <f>VLOOKUP(G5038,PC!B:D,2,FALSE)</f>
        <v>COMIDA</v>
      </c>
      <c r="G5038" s="4" t="s">
        <v>33</v>
      </c>
      <c r="H5038" s="1">
        <v>290</v>
      </c>
    </row>
    <row r="5039" spans="2:8" x14ac:dyDescent="0.2">
      <c r="B5039" t="str">
        <f>VLOOKUP(G5039,PC!B:D,3,FALSE)</f>
        <v>DESPESA OPERACIONAL</v>
      </c>
      <c r="C5039" s="22">
        <v>2024</v>
      </c>
      <c r="D5039" t="s">
        <v>74</v>
      </c>
      <c r="F5039" t="str">
        <f>VLOOKUP(G5039,PC!B:D,2,FALSE)</f>
        <v>DESPESA OPERACIONAL</v>
      </c>
      <c r="G5039" s="4" t="s">
        <v>70</v>
      </c>
      <c r="H5039" s="1">
        <v>108</v>
      </c>
    </row>
    <row r="5040" spans="2:8" x14ac:dyDescent="0.2">
      <c r="B5040" t="str">
        <f>VLOOKUP(G5040,PC!B:D,3,FALSE)</f>
        <v>DESPESA PESSOAL</v>
      </c>
      <c r="C5040" s="22">
        <v>2024</v>
      </c>
      <c r="D5040" t="s">
        <v>74</v>
      </c>
      <c r="F5040" t="str">
        <f>VLOOKUP(G5040,PC!B:D,2,FALSE)</f>
        <v>DESPESA PESSOAL</v>
      </c>
      <c r="G5040" s="4" t="s">
        <v>68</v>
      </c>
      <c r="H5040" s="1">
        <v>25</v>
      </c>
    </row>
    <row r="5041" spans="2:8" x14ac:dyDescent="0.2">
      <c r="B5041" t="str">
        <f>VLOOKUP(G5041,PC!B:D,3,FALSE)</f>
        <v>RECEITA</v>
      </c>
      <c r="C5041" s="22">
        <v>2024</v>
      </c>
      <c r="D5041" t="s">
        <v>74</v>
      </c>
      <c r="F5041" t="str">
        <f>VLOOKUP(G5041,PC!B:D,2,FALSE)</f>
        <v>RECEITA</v>
      </c>
      <c r="G5041" s="4" t="s">
        <v>54</v>
      </c>
      <c r="H5041" s="1">
        <f>55+308+400+34+396+48+900+300+1250+1200+80+1400+60+350+1700+800+2200+450+57+400+650+45+40+156+1150+45+45+278+1750</f>
        <v>16547</v>
      </c>
    </row>
    <row r="5042" spans="2:8" x14ac:dyDescent="0.2">
      <c r="B5042" t="str">
        <f>VLOOKUP(G5042,PC!B:D,3,FALSE)</f>
        <v>CPV</v>
      </c>
      <c r="C5042" s="22">
        <v>2024</v>
      </c>
      <c r="D5042" t="s">
        <v>74</v>
      </c>
      <c r="F5042" t="str">
        <f>VLOOKUP(G5042,PC!B:D,2,FALSE)</f>
        <v>COMIDA</v>
      </c>
      <c r="G5042" s="4" t="s">
        <v>12</v>
      </c>
      <c r="H5042" s="1">
        <v>48</v>
      </c>
    </row>
    <row r="5043" spans="2:8" x14ac:dyDescent="0.2">
      <c r="B5043" t="str">
        <f>VLOOKUP(G5043,PC!B:D,3,FALSE)</f>
        <v>CPV</v>
      </c>
      <c r="C5043" s="22">
        <v>2024</v>
      </c>
      <c r="D5043" t="s">
        <v>74</v>
      </c>
      <c r="F5043" t="str">
        <f>VLOOKUP(G5043,PC!B:D,2,FALSE)</f>
        <v>OUTROS</v>
      </c>
      <c r="G5043" s="4" t="s">
        <v>37</v>
      </c>
      <c r="H5043" s="1">
        <v>80</v>
      </c>
    </row>
    <row r="5044" spans="2:8" x14ac:dyDescent="0.2">
      <c r="B5044" t="str">
        <f>VLOOKUP(G5044,PC!B:D,3,FALSE)</f>
        <v>DESPESA PESSOAL</v>
      </c>
      <c r="C5044" s="22">
        <v>2024</v>
      </c>
      <c r="D5044" t="s">
        <v>74</v>
      </c>
      <c r="F5044" t="str">
        <f>VLOOKUP(G5044,PC!B:D,2,FALSE)</f>
        <v>DESPESA PESSOAL</v>
      </c>
      <c r="G5044" s="4" t="s">
        <v>56</v>
      </c>
      <c r="H5044" s="1">
        <v>350</v>
      </c>
    </row>
    <row r="5045" spans="2:8" x14ac:dyDescent="0.2">
      <c r="B5045" t="e">
        <f>VLOOKUP(G5045,PC!B:D,3,FALSE)</f>
        <v>#N/A</v>
      </c>
      <c r="C5045" s="22">
        <v>2024</v>
      </c>
      <c r="D5045" t="s">
        <v>74</v>
      </c>
      <c r="F5045" t="e">
        <f>VLOOKUP(G5045,PC!B:D,2,FALSE)</f>
        <v>#N/A</v>
      </c>
      <c r="G5045" s="4" t="s">
        <v>231</v>
      </c>
      <c r="H5045" s="1">
        <v>45</v>
      </c>
    </row>
    <row r="5046" spans="2:8" x14ac:dyDescent="0.2">
      <c r="B5046" t="str">
        <f>VLOOKUP(G5046,PC!B:D,3,FALSE)</f>
        <v>CPV</v>
      </c>
      <c r="C5046" s="22">
        <v>2024</v>
      </c>
      <c r="D5046" t="s">
        <v>74</v>
      </c>
      <c r="F5046" t="str">
        <f>VLOOKUP(G5046,PC!B:D,2,FALSE)</f>
        <v>OUTROS</v>
      </c>
      <c r="G5046" s="4" t="s">
        <v>37</v>
      </c>
      <c r="H5046" s="1">
        <v>40</v>
      </c>
    </row>
    <row r="5047" spans="2:8" x14ac:dyDescent="0.2">
      <c r="B5047" t="str">
        <f>VLOOKUP(G5047,PC!B:D,3,FALSE)</f>
        <v>RECEITA</v>
      </c>
      <c r="C5047" s="22">
        <v>2024</v>
      </c>
      <c r="D5047" t="s">
        <v>74</v>
      </c>
      <c r="F5047" t="str">
        <f>VLOOKUP(G5047,PC!B:D,2,FALSE)</f>
        <v>RECEITA</v>
      </c>
      <c r="G5047" s="4" t="s">
        <v>54</v>
      </c>
      <c r="H5047" s="1">
        <f>164+94+96+300+109+950+45+30+127.7+192+55+1950+55+67+107.8+120+400+153+2500+350+800+2150+100+2100+1000+30+1400</f>
        <v>15445.5</v>
      </c>
    </row>
    <row r="5048" spans="2:8" x14ac:dyDescent="0.2">
      <c r="B5048" t="str">
        <f>VLOOKUP(G5048,PC!B:D,3,FALSE)</f>
        <v>DESPESA PESSOAL</v>
      </c>
      <c r="C5048" s="22">
        <v>2024</v>
      </c>
      <c r="D5048" t="s">
        <v>74</v>
      </c>
      <c r="F5048" t="str">
        <f>VLOOKUP(G5048,PC!B:D,2,FALSE)</f>
        <v>DESPESA PESSOAL</v>
      </c>
      <c r="G5048" s="4" t="s">
        <v>68</v>
      </c>
      <c r="H5048" s="1">
        <v>30</v>
      </c>
    </row>
    <row r="5049" spans="2:8" x14ac:dyDescent="0.2">
      <c r="B5049" t="str">
        <f>VLOOKUP(G5049,PC!B:D,3,FALSE)</f>
        <v>CPV</v>
      </c>
      <c r="C5049" s="22">
        <v>2024</v>
      </c>
      <c r="D5049" t="s">
        <v>74</v>
      </c>
      <c r="F5049" t="str">
        <f>VLOOKUP(G5049,PC!B:D,2,FALSE)</f>
        <v>COMIDA</v>
      </c>
      <c r="G5049" s="4" t="s">
        <v>146</v>
      </c>
      <c r="H5049" s="1">
        <v>55</v>
      </c>
    </row>
    <row r="5050" spans="2:8" x14ac:dyDescent="0.2">
      <c r="B5050" t="str">
        <f>VLOOKUP(G5050,PC!B:D,3,FALSE)</f>
        <v>DESPESA OPERACIONAL</v>
      </c>
      <c r="C5050" s="22">
        <v>2024</v>
      </c>
      <c r="D5050" t="s">
        <v>74</v>
      </c>
      <c r="F5050" t="str">
        <f>VLOOKUP(G5050,PC!B:D,2,FALSE)</f>
        <v>DESPESA OPERACIONAL</v>
      </c>
      <c r="G5050" s="4" t="s">
        <v>70</v>
      </c>
      <c r="H5050" s="1">
        <v>94</v>
      </c>
    </row>
    <row r="5051" spans="2:8" x14ac:dyDescent="0.2">
      <c r="B5051" t="str">
        <f>VLOOKUP(G5051,PC!B:D,3,FALSE)</f>
        <v>DESPESA PESSOAL</v>
      </c>
      <c r="C5051" s="22">
        <v>2024</v>
      </c>
      <c r="D5051" t="s">
        <v>74</v>
      </c>
      <c r="F5051" t="str">
        <f>VLOOKUP(G5051,PC!B:D,2,FALSE)</f>
        <v>DESPESA PESSOAL</v>
      </c>
      <c r="G5051" s="4" t="s">
        <v>68</v>
      </c>
      <c r="H5051" s="1">
        <v>120</v>
      </c>
    </row>
    <row r="5052" spans="2:8" x14ac:dyDescent="0.2">
      <c r="B5052" t="str">
        <f>VLOOKUP(G5052,PC!B:D,3,FALSE)</f>
        <v>CPV</v>
      </c>
      <c r="C5052" s="22">
        <v>2024</v>
      </c>
      <c r="D5052" t="s">
        <v>74</v>
      </c>
      <c r="F5052" t="str">
        <f>VLOOKUP(G5052,PC!B:D,2,FALSE)</f>
        <v>COMIDA</v>
      </c>
      <c r="G5052" s="4" t="s">
        <v>12</v>
      </c>
      <c r="H5052" s="1">
        <v>153</v>
      </c>
    </row>
    <row r="5053" spans="2:8" x14ac:dyDescent="0.2">
      <c r="B5053" t="str">
        <f>VLOOKUP(G5053,PC!B:D,3,FALSE)</f>
        <v>DESPESA PESSOAL</v>
      </c>
      <c r="C5053" s="22">
        <v>2024</v>
      </c>
      <c r="D5053" t="s">
        <v>74</v>
      </c>
      <c r="F5053" t="str">
        <f>VLOOKUP(G5053,PC!B:D,2,FALSE)</f>
        <v>DESPESA PESSOAL</v>
      </c>
      <c r="G5053" s="4" t="s">
        <v>56</v>
      </c>
      <c r="H5053" s="1">
        <v>350</v>
      </c>
    </row>
    <row r="5054" spans="2:8" x14ac:dyDescent="0.2">
      <c r="B5054" t="str">
        <f>VLOOKUP(G5054,PC!B:D,3,FALSE)</f>
        <v>RECEITA</v>
      </c>
      <c r="C5054" s="22">
        <v>2024</v>
      </c>
      <c r="D5054" t="s">
        <v>74</v>
      </c>
      <c r="F5054" t="str">
        <f>VLOOKUP(G5054,PC!B:D,2,FALSE)</f>
        <v>RECEITA</v>
      </c>
      <c r="G5054" s="4" t="s">
        <v>54</v>
      </c>
      <c r="H5054" s="1">
        <f>1000+45+45+300+1400+41+180+51+58+140+250+62+50+500+1100+25+73+100+37+69+1950+336+250+48+240+1100</f>
        <v>9450</v>
      </c>
    </row>
    <row r="5055" spans="2:8" x14ac:dyDescent="0.2">
      <c r="B5055" t="str">
        <f>VLOOKUP(G5055,PC!B:D,3,FALSE)</f>
        <v>DESPESA OPERACIONAL</v>
      </c>
      <c r="C5055" s="22">
        <v>2024</v>
      </c>
      <c r="D5055" t="s">
        <v>74</v>
      </c>
      <c r="F5055" t="str">
        <f>VLOOKUP(G5055,PC!B:D,2,FALSE)</f>
        <v>MANUTENÇÃO MÁQUINAS</v>
      </c>
      <c r="G5055" s="4" t="s">
        <v>147</v>
      </c>
      <c r="H5055" s="1">
        <v>45</v>
      </c>
    </row>
    <row r="5056" spans="2:8" x14ac:dyDescent="0.2">
      <c r="B5056" t="str">
        <f>VLOOKUP(G5056,PC!B:D,3,FALSE)</f>
        <v>DESPESA OPERACIONAL</v>
      </c>
      <c r="C5056" s="22">
        <v>2024</v>
      </c>
      <c r="D5056" t="s">
        <v>74</v>
      </c>
      <c r="F5056" t="str">
        <f>VLOOKUP(G5056,PC!B:D,2,FALSE)</f>
        <v>DESPESA OPERACIONAL</v>
      </c>
      <c r="G5056" s="4" t="s">
        <v>70</v>
      </c>
      <c r="H5056" s="1">
        <v>58</v>
      </c>
    </row>
    <row r="5057" spans="2:8" x14ac:dyDescent="0.2">
      <c r="B5057" t="str">
        <f>VLOOKUP(G5057,PC!B:D,3,FALSE)</f>
        <v>RECEITAS NÃO OPERACIONAIS</v>
      </c>
      <c r="C5057" s="22">
        <v>2024</v>
      </c>
      <c r="D5057" t="s">
        <v>74</v>
      </c>
      <c r="F5057" t="str">
        <f>VLOOKUP(G5057,PC!B:D,2,FALSE)</f>
        <v>EMPRESTIMO</v>
      </c>
      <c r="G5057" s="4" t="s">
        <v>71</v>
      </c>
      <c r="H5057" s="1">
        <v>50</v>
      </c>
    </row>
    <row r="5058" spans="2:8" x14ac:dyDescent="0.2">
      <c r="B5058" t="str">
        <f>VLOOKUP(G5058,PC!B:D,3,FALSE)</f>
        <v>DESPESA PESSOAL</v>
      </c>
      <c r="C5058" s="22">
        <v>2024</v>
      </c>
      <c r="D5058" t="s">
        <v>74</v>
      </c>
      <c r="F5058" t="str">
        <f>VLOOKUP(G5058,PC!B:D,2,FALSE)</f>
        <v>DESPESA PESSOAL</v>
      </c>
      <c r="G5058" s="4" t="s">
        <v>68</v>
      </c>
      <c r="H5058" s="1">
        <v>25</v>
      </c>
    </row>
    <row r="5059" spans="2:8" x14ac:dyDescent="0.2">
      <c r="B5059" t="str">
        <f>VLOOKUP(G5059,PC!B:D,3,FALSE)</f>
        <v>CPV</v>
      </c>
      <c r="C5059" s="22">
        <v>2024</v>
      </c>
      <c r="D5059" t="s">
        <v>74</v>
      </c>
      <c r="F5059" t="str">
        <f>VLOOKUP(G5059,PC!B:D,2,FALSE)</f>
        <v>COMIDA</v>
      </c>
      <c r="G5059" s="4" t="s">
        <v>12</v>
      </c>
      <c r="H5059" s="1">
        <v>48</v>
      </c>
    </row>
    <row r="5060" spans="2:8" x14ac:dyDescent="0.2">
      <c r="B5060" t="str">
        <f>VLOOKUP(G5060,PC!B:D,3,FALSE)</f>
        <v>DESPESA PESSOAL</v>
      </c>
      <c r="C5060" s="22">
        <v>2024</v>
      </c>
      <c r="D5060" t="s">
        <v>74</v>
      </c>
      <c r="F5060" t="str">
        <f>VLOOKUP(G5060,PC!B:D,2,FALSE)</f>
        <v>DESPESA PESSOAL</v>
      </c>
      <c r="G5060" s="4" t="s">
        <v>56</v>
      </c>
      <c r="H5060" s="52">
        <v>350</v>
      </c>
    </row>
    <row r="5061" spans="2:8" x14ac:dyDescent="0.2">
      <c r="B5061" t="e">
        <f>VLOOKUP(G5061,PC!B:D,3,FALSE)</f>
        <v>#N/A</v>
      </c>
      <c r="C5061" s="22">
        <v>2024</v>
      </c>
      <c r="D5061" t="s">
        <v>74</v>
      </c>
      <c r="F5061" t="e">
        <f>VLOOKUP(G5061,PC!B:D,2,FALSE)</f>
        <v>#N/A</v>
      </c>
      <c r="G5061" s="4" t="s">
        <v>231</v>
      </c>
      <c r="H5061" s="1">
        <v>45</v>
      </c>
    </row>
    <row r="5062" spans="2:8" x14ac:dyDescent="0.2">
      <c r="B5062" t="str">
        <f>VLOOKUP(G5062,PC!B:D,3,FALSE)</f>
        <v>CPV</v>
      </c>
      <c r="C5062" s="22">
        <v>2024</v>
      </c>
      <c r="D5062" t="s">
        <v>74</v>
      </c>
      <c r="F5062" t="str">
        <f>VLOOKUP(G5062,PC!B:D,2,FALSE)</f>
        <v>LIMPEZA</v>
      </c>
      <c r="G5062" s="4" t="s">
        <v>43</v>
      </c>
      <c r="H5062" s="1">
        <v>40</v>
      </c>
    </row>
    <row r="5063" spans="2:8" x14ac:dyDescent="0.2">
      <c r="B5063" t="str">
        <f>VLOOKUP(G5063,PC!B:D,3,FALSE)</f>
        <v>DESPESA OPERACIONAL</v>
      </c>
      <c r="C5063" s="22">
        <v>2024</v>
      </c>
      <c r="D5063" t="s">
        <v>74</v>
      </c>
      <c r="F5063" t="str">
        <f>VLOOKUP(G5063,PC!B:D,2,FALSE)</f>
        <v>DESPESA OPERACIONAL</v>
      </c>
      <c r="G5063" s="4" t="s">
        <v>70</v>
      </c>
      <c r="H5063" s="1">
        <v>95</v>
      </c>
    </row>
    <row r="5064" spans="2:8" x14ac:dyDescent="0.2">
      <c r="B5064" t="str">
        <f>VLOOKUP(G5064,PC!B:D,3,FALSE)</f>
        <v>RECEITA</v>
      </c>
      <c r="C5064" s="22">
        <v>2024</v>
      </c>
      <c r="D5064" t="s">
        <v>74</v>
      </c>
      <c r="F5064" t="str">
        <f>VLOOKUP(G5064,PC!B:D,2,FALSE)</f>
        <v>RECEITA</v>
      </c>
      <c r="G5064" s="4" t="s">
        <v>54</v>
      </c>
      <c r="H5064" s="1">
        <f>1100+164+370+700+350+135+100+1000+2000+150+104+500+650+45+900+45+370+40+1150+95+75+400+80+100</f>
        <v>10623</v>
      </c>
    </row>
    <row r="5065" spans="2:8" x14ac:dyDescent="0.2">
      <c r="B5065" t="str">
        <f>VLOOKUP(G5065,PC!B:D,3,FALSE)</f>
        <v>RECEITA</v>
      </c>
      <c r="C5065" s="22">
        <v>2024</v>
      </c>
      <c r="D5065" t="s">
        <v>74</v>
      </c>
      <c r="F5065" t="str">
        <f>VLOOKUP(G5065,PC!B:D,2,FALSE)</f>
        <v>RECEITA</v>
      </c>
      <c r="G5065" s="4" t="s">
        <v>54</v>
      </c>
      <c r="H5065" s="1">
        <f>800+400+33+35+79+30+24+700+78+1250+81.5+60+105.6+67.2+1600+1100+106+1200+350+1200+1000+1800+50+800+700+45+850</f>
        <v>14544.3</v>
      </c>
    </row>
    <row r="5066" spans="2:8" x14ac:dyDescent="0.2">
      <c r="B5066" t="str">
        <f>VLOOKUP(G5066,PC!B:D,3,FALSE)</f>
        <v>DESPESA PESSOAL</v>
      </c>
      <c r="C5066" s="22">
        <v>2024</v>
      </c>
      <c r="D5066" t="s">
        <v>74</v>
      </c>
      <c r="F5066" t="str">
        <f>VLOOKUP(G5066,PC!B:D,2,FALSE)</f>
        <v>DESPESA PESSOAL</v>
      </c>
      <c r="G5066" s="4" t="s">
        <v>68</v>
      </c>
      <c r="H5066" s="1">
        <v>65</v>
      </c>
    </row>
    <row r="5067" spans="2:8" x14ac:dyDescent="0.2">
      <c r="B5067" t="str">
        <f>VLOOKUP(G5067,PC!B:D,3,FALSE)</f>
        <v>RECEITAS NÃO OPERACIONAIS</v>
      </c>
      <c r="C5067" s="22">
        <v>2024</v>
      </c>
      <c r="D5067" t="s">
        <v>74</v>
      </c>
      <c r="F5067" t="str">
        <f>VLOOKUP(G5067,PC!B:D,2,FALSE)</f>
        <v>EMPRESTIMO</v>
      </c>
      <c r="G5067" s="4" t="s">
        <v>71</v>
      </c>
      <c r="H5067" s="1">
        <v>24</v>
      </c>
    </row>
    <row r="5068" spans="2:8" x14ac:dyDescent="0.2">
      <c r="B5068" t="str">
        <f>VLOOKUP(G5068,PC!B:D,3,FALSE)</f>
        <v>DESPESA PESSOAL</v>
      </c>
      <c r="C5068" s="22">
        <v>2024</v>
      </c>
      <c r="D5068" t="s">
        <v>74</v>
      </c>
      <c r="F5068" t="str">
        <f>VLOOKUP(G5068,PC!B:D,2,FALSE)</f>
        <v>DESPESA PESSOAL</v>
      </c>
      <c r="G5068" s="4" t="s">
        <v>56</v>
      </c>
      <c r="H5068" s="1">
        <v>350</v>
      </c>
    </row>
    <row r="5069" spans="2:8" x14ac:dyDescent="0.2">
      <c r="B5069" t="e">
        <f>VLOOKUP(G5069,PC!B:D,3,FALSE)</f>
        <v>#N/A</v>
      </c>
      <c r="C5069" s="22">
        <v>2024</v>
      </c>
      <c r="D5069" t="s">
        <v>74</v>
      </c>
      <c r="F5069" t="e">
        <f>VLOOKUP(G5069,PC!B:D,2,FALSE)</f>
        <v>#N/A</v>
      </c>
      <c r="G5069" s="4" t="s">
        <v>231</v>
      </c>
      <c r="H5069" s="1">
        <v>45</v>
      </c>
    </row>
    <row r="5070" spans="2:8" x14ac:dyDescent="0.2">
      <c r="B5070" t="str">
        <f>VLOOKUP(G5070,PC!B:D,3,FALSE)</f>
        <v>DESPESA PESSOAL</v>
      </c>
      <c r="C5070" s="22">
        <v>2024</v>
      </c>
      <c r="D5070" t="s">
        <v>74</v>
      </c>
      <c r="F5070" t="str">
        <f>VLOOKUP(G5070,PC!B:D,2,FALSE)</f>
        <v>DESPESA PESSOAL</v>
      </c>
      <c r="G5070" s="4" t="s">
        <v>124</v>
      </c>
      <c r="H5070" s="1">
        <v>2400</v>
      </c>
    </row>
    <row r="5071" spans="2:8" x14ac:dyDescent="0.2">
      <c r="B5071" t="str">
        <f>VLOOKUP(G5071,PC!B:D,3,FALSE)</f>
        <v>SERV.TERCEIROS</v>
      </c>
      <c r="C5071" s="22">
        <v>2024</v>
      </c>
      <c r="D5071" t="s">
        <v>74</v>
      </c>
      <c r="F5071" t="str">
        <f>VLOOKUP(G5071,PC!B:D,2,FALSE)</f>
        <v>SERV.TERCEIROS</v>
      </c>
      <c r="G5071" s="4" t="s">
        <v>123</v>
      </c>
      <c r="H5071" s="1">
        <v>190</v>
      </c>
    </row>
    <row r="5072" spans="2:8" x14ac:dyDescent="0.2">
      <c r="B5072" t="str">
        <f>VLOOKUP(G5072,PC!B:D,3,FALSE)</f>
        <v>DESPESA PESSOAL</v>
      </c>
      <c r="C5072" s="22">
        <v>2024</v>
      </c>
      <c r="D5072" t="s">
        <v>74</v>
      </c>
      <c r="F5072" t="str">
        <f>VLOOKUP(G5072,PC!B:D,2,FALSE)</f>
        <v>DESPESA PESSOAL</v>
      </c>
      <c r="G5072" s="4" t="s">
        <v>56</v>
      </c>
      <c r="H5072" s="1">
        <f>5*450</f>
        <v>2250</v>
      </c>
    </row>
    <row r="5073" spans="2:8" x14ac:dyDescent="0.2">
      <c r="B5073" t="str">
        <f>VLOOKUP(G5073,PC!B:D,3,FALSE)</f>
        <v>DESPESA PESSOAL</v>
      </c>
      <c r="C5073" s="22">
        <v>2024</v>
      </c>
      <c r="D5073" t="s">
        <v>74</v>
      </c>
      <c r="F5073" t="str">
        <f>VLOOKUP(G5073,PC!B:D,2,FALSE)</f>
        <v>DESPESA PESSOAL</v>
      </c>
      <c r="G5073" s="4" t="s">
        <v>56</v>
      </c>
      <c r="H5073" s="1">
        <v>1083</v>
      </c>
    </row>
    <row r="5074" spans="2:8" x14ac:dyDescent="0.2">
      <c r="B5074" t="str">
        <f>VLOOKUP(G5074,PC!B:D,3,FALSE)</f>
        <v>INVESTIMENTO</v>
      </c>
      <c r="C5074" s="22">
        <v>2024</v>
      </c>
      <c r="D5074" t="s">
        <v>74</v>
      </c>
      <c r="F5074" t="str">
        <f>VLOOKUP(G5074,PC!B:D,2,FALSE)</f>
        <v>INVESTIMENTO</v>
      </c>
      <c r="G5074" s="4" t="s">
        <v>130</v>
      </c>
      <c r="H5074" s="1">
        <v>660</v>
      </c>
    </row>
    <row r="5075" spans="2:8" x14ac:dyDescent="0.2">
      <c r="B5075" t="str">
        <f>VLOOKUP(G5075,PC!B:D,3,FALSE)</f>
        <v>RECEITA</v>
      </c>
      <c r="C5075" s="22">
        <v>2024</v>
      </c>
      <c r="D5075" t="s">
        <v>74</v>
      </c>
      <c r="F5075" t="str">
        <f>VLOOKUP(G5075,PC!B:D,2,FALSE)</f>
        <v>RECEITA</v>
      </c>
      <c r="G5075" s="4" t="s">
        <v>137</v>
      </c>
      <c r="H5075" s="1">
        <v>23000</v>
      </c>
    </row>
    <row r="5076" spans="2:8" x14ac:dyDescent="0.2">
      <c r="B5076" t="str">
        <f>VLOOKUP(G5076,PC!B:D,3,FALSE)</f>
        <v>RECEITA</v>
      </c>
      <c r="C5076" s="22">
        <v>2024</v>
      </c>
      <c r="D5076" t="s">
        <v>74</v>
      </c>
      <c r="F5076" t="str">
        <f>VLOOKUP(G5076,PC!B:D,2,FALSE)</f>
        <v>RECEITA</v>
      </c>
      <c r="G5076" s="4" t="s">
        <v>136</v>
      </c>
      <c r="H5076" s="1">
        <f>50741.49-H5075</f>
        <v>27741.489999999998</v>
      </c>
    </row>
    <row r="5077" spans="2:8" x14ac:dyDescent="0.2">
      <c r="B5077" t="e">
        <f>VLOOKUP(G5077,PC!B:D,3,FALSE)</f>
        <v>#N/A</v>
      </c>
      <c r="C5077" s="22">
        <v>2024</v>
      </c>
      <c r="D5077" t="s">
        <v>74</v>
      </c>
      <c r="F5077" t="e">
        <f>VLOOKUP(G5077,PC!B:D,2,FALSE)</f>
        <v>#N/A</v>
      </c>
      <c r="G5077" s="4" t="s">
        <v>232</v>
      </c>
      <c r="H5077" s="1">
        <v>3000</v>
      </c>
    </row>
    <row r="5078" spans="2:8" x14ac:dyDescent="0.2">
      <c r="B5078" t="str">
        <f>VLOOKUP(G5078,PC!B:D,3,FALSE)</f>
        <v>DESCONTO DE FATURAMENTO</v>
      </c>
      <c r="C5078" s="22">
        <v>2024</v>
      </c>
      <c r="D5078" t="s">
        <v>74</v>
      </c>
      <c r="F5078" t="str">
        <f>VLOOKUP(G5078,PC!B:D,2,FALSE)</f>
        <v>OUTROS DESCONTOS</v>
      </c>
      <c r="G5078" s="4" t="s">
        <v>63</v>
      </c>
      <c r="H5078" s="1">
        <f>H5075*0.0169</f>
        <v>388.7</v>
      </c>
    </row>
    <row r="5079" spans="2:8" x14ac:dyDescent="0.2">
      <c r="B5079" t="str">
        <f>VLOOKUP(G5079,PC!B:D,3,FALSE)</f>
        <v>DESCONTO DE FATURAMENTO</v>
      </c>
      <c r="C5079" s="22">
        <v>2024</v>
      </c>
      <c r="D5079" t="s">
        <v>74</v>
      </c>
      <c r="F5079" t="str">
        <f>VLOOKUP(G5079,PC!B:D,2,FALSE)</f>
        <v>OUTROS DESCONTOS</v>
      </c>
      <c r="G5079" s="4" t="s">
        <v>63</v>
      </c>
      <c r="H5079" s="1">
        <f>0.0078*H5076</f>
        <v>216.38362199999997</v>
      </c>
    </row>
    <row r="5080" spans="2:8" x14ac:dyDescent="0.2">
      <c r="B5080" t="str">
        <f>VLOOKUP(G5080,PC!B:D,3,FALSE)</f>
        <v>CPV</v>
      </c>
      <c r="C5080" s="22">
        <v>2024</v>
      </c>
      <c r="D5080" t="s">
        <v>74</v>
      </c>
      <c r="E5080" t="s">
        <v>49</v>
      </c>
      <c r="F5080" t="str">
        <f>VLOOKUP(G5080,PC!B:D,2,FALSE)</f>
        <v>CIGARRO</v>
      </c>
      <c r="G5080" s="4" t="s">
        <v>52</v>
      </c>
      <c r="H5080" s="1">
        <v>5104.9399999999996</v>
      </c>
    </row>
    <row r="5081" spans="2:8" x14ac:dyDescent="0.2">
      <c r="B5081" t="str">
        <f>VLOOKUP(G5081,PC!B:D,3,FALSE)</f>
        <v>CPV</v>
      </c>
      <c r="C5081" s="22">
        <v>2024</v>
      </c>
      <c r="D5081" t="s">
        <v>74</v>
      </c>
      <c r="E5081" t="s">
        <v>97</v>
      </c>
      <c r="F5081" t="str">
        <f>VLOOKUP(G5081,PC!B:D,2,FALSE)</f>
        <v>OUTROS</v>
      </c>
      <c r="G5081" s="4" t="s">
        <v>37</v>
      </c>
      <c r="H5081" s="1">
        <v>1001.13</v>
      </c>
    </row>
    <row r="5082" spans="2:8" x14ac:dyDescent="0.2">
      <c r="B5082" t="str">
        <f>VLOOKUP(G5082,PC!B:D,3,FALSE)</f>
        <v>CPV</v>
      </c>
      <c r="C5082" s="22">
        <v>2024</v>
      </c>
      <c r="D5082" t="s">
        <v>74</v>
      </c>
      <c r="E5082" t="s">
        <v>30</v>
      </c>
      <c r="F5082" t="str">
        <f>VLOOKUP(G5082,PC!B:D,2,FALSE)</f>
        <v>SOBREMESA</v>
      </c>
      <c r="G5082" s="4" t="s">
        <v>23</v>
      </c>
      <c r="H5082" s="1">
        <v>422.61</v>
      </c>
    </row>
    <row r="5083" spans="2:8" x14ac:dyDescent="0.2">
      <c r="B5083" t="str">
        <f>VLOOKUP(G5083,PC!B:D,3,FALSE)</f>
        <v>CPV</v>
      </c>
      <c r="C5083" s="22">
        <v>2024</v>
      </c>
      <c r="D5083" t="s">
        <v>84</v>
      </c>
      <c r="E5083" t="s">
        <v>228</v>
      </c>
      <c r="F5083" t="str">
        <f>VLOOKUP(G5083,PC!B:D,2,FALSE)</f>
        <v>COMIDA</v>
      </c>
      <c r="G5083" s="4" t="s">
        <v>12</v>
      </c>
      <c r="H5083" s="1">
        <v>491.16</v>
      </c>
    </row>
    <row r="5084" spans="2:8" x14ac:dyDescent="0.2">
      <c r="B5084" t="str">
        <f>VLOOKUP(G5084,PC!B:D,3,FALSE)</f>
        <v>CPV</v>
      </c>
      <c r="C5084" s="22">
        <v>2024</v>
      </c>
      <c r="D5084" t="s">
        <v>84</v>
      </c>
      <c r="E5084" t="s">
        <v>241</v>
      </c>
      <c r="F5084" t="str">
        <f>VLOOKUP(G5084,PC!B:D,2,FALSE)</f>
        <v>COMIDA</v>
      </c>
      <c r="G5084" s="4" t="s">
        <v>12</v>
      </c>
      <c r="H5084" s="1">
        <v>79.45</v>
      </c>
    </row>
    <row r="5085" spans="2:8" x14ac:dyDescent="0.2">
      <c r="B5085" t="str">
        <f>VLOOKUP(G5085,PC!B:D,3,FALSE)</f>
        <v>CPV</v>
      </c>
      <c r="C5085" s="22">
        <v>2024</v>
      </c>
      <c r="D5085" t="s">
        <v>84</v>
      </c>
      <c r="E5085" t="s">
        <v>5</v>
      </c>
      <c r="F5085" t="str">
        <f>VLOOKUP(G5085,PC!B:D,2,FALSE)</f>
        <v>COMIDA</v>
      </c>
      <c r="G5085" s="4" t="s">
        <v>18</v>
      </c>
      <c r="H5085" s="1">
        <v>408.68</v>
      </c>
    </row>
    <row r="5086" spans="2:8" x14ac:dyDescent="0.2">
      <c r="B5086" t="str">
        <f>VLOOKUP(G5086,PC!B:D,3,FALSE)</f>
        <v>CPV</v>
      </c>
      <c r="C5086" s="22">
        <v>2024</v>
      </c>
      <c r="D5086" t="s">
        <v>84</v>
      </c>
      <c r="E5086" t="s">
        <v>45</v>
      </c>
      <c r="F5086" t="str">
        <f>VLOOKUP(G5086,PC!B:D,2,FALSE)</f>
        <v>BEBIDAS</v>
      </c>
      <c r="G5086" s="4" t="s">
        <v>48</v>
      </c>
      <c r="H5086" s="1">
        <v>443.74</v>
      </c>
    </row>
    <row r="5087" spans="2:8" x14ac:dyDescent="0.2">
      <c r="B5087" t="str">
        <f>VLOOKUP(G5087,PC!B:D,3,FALSE)</f>
        <v>CPV</v>
      </c>
      <c r="C5087" s="22">
        <v>2024</v>
      </c>
      <c r="D5087" t="s">
        <v>84</v>
      </c>
      <c r="E5087" t="s">
        <v>129</v>
      </c>
      <c r="F5087" t="str">
        <f>VLOOKUP(G5087,PC!B:D,2,FALSE)</f>
        <v>OUTROS</v>
      </c>
      <c r="G5087" s="4" t="s">
        <v>37</v>
      </c>
      <c r="H5087" s="1">
        <v>392.76</v>
      </c>
    </row>
    <row r="5088" spans="2:8" x14ac:dyDescent="0.2">
      <c r="B5088" t="str">
        <f>VLOOKUP(G5088,PC!B:D,3,FALSE)</f>
        <v>CPV</v>
      </c>
      <c r="C5088" s="22">
        <v>2024</v>
      </c>
      <c r="D5088" t="s">
        <v>84</v>
      </c>
      <c r="E5088" t="s">
        <v>227</v>
      </c>
      <c r="F5088" t="str">
        <f>VLOOKUP(G5088,PC!B:D,2,FALSE)</f>
        <v>OUTROS</v>
      </c>
      <c r="G5088" s="4" t="s">
        <v>37</v>
      </c>
      <c r="H5088" s="1">
        <v>432.13</v>
      </c>
    </row>
    <row r="5089" spans="2:8" x14ac:dyDescent="0.2">
      <c r="B5089" t="str">
        <f>VLOOKUP(G5089,PC!B:D,3,FALSE)</f>
        <v>CPV</v>
      </c>
      <c r="C5089" s="22">
        <v>2024</v>
      </c>
      <c r="D5089" t="s">
        <v>84</v>
      </c>
      <c r="E5089" t="s">
        <v>129</v>
      </c>
      <c r="F5089" t="str">
        <f>VLOOKUP(G5089,PC!B:D,2,FALSE)</f>
        <v>OUTROS</v>
      </c>
      <c r="G5089" s="4" t="s">
        <v>37</v>
      </c>
      <c r="H5089" s="1">
        <v>304.87</v>
      </c>
    </row>
    <row r="5090" spans="2:8" x14ac:dyDescent="0.2">
      <c r="B5090" t="str">
        <f>VLOOKUP(G5090,PC!B:D,3,FALSE)</f>
        <v>CPV</v>
      </c>
      <c r="C5090" s="22">
        <v>2024</v>
      </c>
      <c r="D5090" t="s">
        <v>84</v>
      </c>
      <c r="E5090" t="s">
        <v>19</v>
      </c>
      <c r="F5090" t="str">
        <f>VLOOKUP(G5090,PC!B:D,2,FALSE)</f>
        <v>COMIDA</v>
      </c>
      <c r="G5090" s="4" t="s">
        <v>145</v>
      </c>
      <c r="H5090" s="1">
        <v>280.42</v>
      </c>
    </row>
    <row r="5091" spans="2:8" x14ac:dyDescent="0.2">
      <c r="B5091" t="str">
        <f>VLOOKUP(G5091,PC!B:D,3,FALSE)</f>
        <v>CPV</v>
      </c>
      <c r="C5091" s="22">
        <v>2024</v>
      </c>
      <c r="D5091" t="s">
        <v>84</v>
      </c>
      <c r="E5091" t="s">
        <v>78</v>
      </c>
      <c r="F5091" t="str">
        <f>VLOOKUP(G5091,PC!B:D,2,FALSE)</f>
        <v>CIGARRO</v>
      </c>
      <c r="G5091" s="4" t="s">
        <v>82</v>
      </c>
      <c r="H5091" s="1">
        <v>601.92999999999995</v>
      </c>
    </row>
    <row r="5092" spans="2:8" x14ac:dyDescent="0.2">
      <c r="B5092" t="str">
        <f>VLOOKUP(G5092,PC!B:D,3,FALSE)</f>
        <v>CPV</v>
      </c>
      <c r="C5092" s="22">
        <v>2024</v>
      </c>
      <c r="D5092" t="s">
        <v>84</v>
      </c>
      <c r="E5092" t="s">
        <v>19</v>
      </c>
      <c r="F5092" t="str">
        <f>VLOOKUP(G5092,PC!B:D,2,FALSE)</f>
        <v>COMIDA</v>
      </c>
      <c r="G5092" s="4" t="s">
        <v>34</v>
      </c>
      <c r="H5092" s="1">
        <v>103.5</v>
      </c>
    </row>
    <row r="5093" spans="2:8" x14ac:dyDescent="0.2">
      <c r="B5093" t="str">
        <f>VLOOKUP(G5093,PC!B:D,3,FALSE)</f>
        <v>CPV</v>
      </c>
      <c r="C5093" s="22">
        <v>2024</v>
      </c>
      <c r="D5093" t="s">
        <v>84</v>
      </c>
      <c r="E5093" t="s">
        <v>236</v>
      </c>
      <c r="F5093" t="str">
        <f>VLOOKUP(G5093,PC!B:D,2,FALSE)</f>
        <v>OUTROS</v>
      </c>
      <c r="G5093" s="4" t="s">
        <v>37</v>
      </c>
      <c r="H5093" s="1">
        <v>409.93</v>
      </c>
    </row>
    <row r="5094" spans="2:8" x14ac:dyDescent="0.2">
      <c r="B5094" t="str">
        <f>VLOOKUP(G5094,PC!B:D,3,FALSE)</f>
        <v>CPV</v>
      </c>
      <c r="C5094" s="22">
        <v>2024</v>
      </c>
      <c r="D5094" t="s">
        <v>84</v>
      </c>
      <c r="E5094" t="s">
        <v>20</v>
      </c>
      <c r="F5094" t="str">
        <f>VLOOKUP(G5094,PC!B:D,2,FALSE)</f>
        <v>COMIDA</v>
      </c>
      <c r="G5094" s="4" t="s">
        <v>29</v>
      </c>
      <c r="H5094" s="1">
        <v>147.4</v>
      </c>
    </row>
    <row r="5095" spans="2:8" x14ac:dyDescent="0.2">
      <c r="B5095" t="str">
        <f>VLOOKUP(G5095,PC!B:D,3,FALSE)</f>
        <v>CPV</v>
      </c>
      <c r="C5095" s="22">
        <v>2024</v>
      </c>
      <c r="D5095" t="s">
        <v>84</v>
      </c>
      <c r="E5095" t="s">
        <v>19</v>
      </c>
      <c r="F5095" t="str">
        <f>VLOOKUP(G5095,PC!B:D,2,FALSE)</f>
        <v>COMIDA</v>
      </c>
      <c r="G5095" s="4" t="s">
        <v>145</v>
      </c>
      <c r="H5095" s="1">
        <v>497.17</v>
      </c>
    </row>
    <row r="5096" spans="2:8" x14ac:dyDescent="0.2">
      <c r="B5096" t="str">
        <f>VLOOKUP(G5096,PC!B:D,3,FALSE)</f>
        <v>CPV</v>
      </c>
      <c r="C5096" s="22">
        <v>2024</v>
      </c>
      <c r="D5096" t="s">
        <v>84</v>
      </c>
      <c r="E5096" t="s">
        <v>228</v>
      </c>
      <c r="F5096" t="str">
        <f>VLOOKUP(G5096,PC!B:D,2,FALSE)</f>
        <v>COMIDA</v>
      </c>
      <c r="G5096" s="4" t="s">
        <v>12</v>
      </c>
      <c r="H5096" s="1">
        <v>252.59</v>
      </c>
    </row>
    <row r="5097" spans="2:8" x14ac:dyDescent="0.2">
      <c r="B5097" t="str">
        <f>VLOOKUP(G5097,PC!B:D,3,FALSE)</f>
        <v>CPV</v>
      </c>
      <c r="C5097" s="22">
        <v>2024</v>
      </c>
      <c r="D5097" t="s">
        <v>84</v>
      </c>
      <c r="E5097" t="s">
        <v>237</v>
      </c>
      <c r="F5097" t="str">
        <f>VLOOKUP(G5097,PC!B:D,2,FALSE)</f>
        <v>COMIDA</v>
      </c>
      <c r="G5097" s="4" t="s">
        <v>38</v>
      </c>
      <c r="H5097" s="1">
        <v>541.59</v>
      </c>
    </row>
    <row r="5098" spans="2:8" x14ac:dyDescent="0.2">
      <c r="B5098" t="str">
        <f>VLOOKUP(G5098,PC!B:D,3,FALSE)</f>
        <v>CPV</v>
      </c>
      <c r="C5098" s="22">
        <v>2024</v>
      </c>
      <c r="D5098" t="s">
        <v>84</v>
      </c>
      <c r="E5098" t="s">
        <v>21</v>
      </c>
      <c r="F5098" t="str">
        <f>VLOOKUP(G5098,PC!B:D,2,FALSE)</f>
        <v>SOBREMESA</v>
      </c>
      <c r="G5098" s="4" t="s">
        <v>23</v>
      </c>
      <c r="H5098" s="1">
        <v>77</v>
      </c>
    </row>
    <row r="5099" spans="2:8" x14ac:dyDescent="0.2">
      <c r="B5099" t="str">
        <f>VLOOKUP(G5099,PC!B:D,3,FALSE)</f>
        <v>CPV</v>
      </c>
      <c r="C5099" s="22">
        <v>2024</v>
      </c>
      <c r="D5099" t="s">
        <v>84</v>
      </c>
      <c r="E5099" t="s">
        <v>100</v>
      </c>
      <c r="F5099" t="str">
        <f>VLOOKUP(G5099,PC!B:D,2,FALSE)</f>
        <v>SOBREMESA</v>
      </c>
      <c r="G5099" s="4" t="s">
        <v>8</v>
      </c>
      <c r="H5099" s="1">
        <v>76.05</v>
      </c>
    </row>
    <row r="5100" spans="2:8" x14ac:dyDescent="0.2">
      <c r="B5100" t="str">
        <f>VLOOKUP(G5100,PC!B:D,3,FALSE)</f>
        <v>CPV</v>
      </c>
      <c r="C5100" s="22">
        <v>2024</v>
      </c>
      <c r="D5100" t="s">
        <v>84</v>
      </c>
      <c r="E5100" t="s">
        <v>45</v>
      </c>
      <c r="F5100" t="str">
        <f>VLOOKUP(G5100,PC!B:D,2,FALSE)</f>
        <v>HIGIENE</v>
      </c>
      <c r="G5100" s="4" t="s">
        <v>36</v>
      </c>
      <c r="H5100" s="1">
        <v>1426.16</v>
      </c>
    </row>
    <row r="5101" spans="2:8" x14ac:dyDescent="0.2">
      <c r="B5101" t="str">
        <f>VLOOKUP(G5101,PC!B:D,3,FALSE)</f>
        <v>CPV</v>
      </c>
      <c r="C5101" s="22">
        <v>2024</v>
      </c>
      <c r="D5101" t="s">
        <v>84</v>
      </c>
      <c r="E5101" t="s">
        <v>95</v>
      </c>
      <c r="F5101" t="str">
        <f>VLOOKUP(G5101,PC!B:D,2,FALSE)</f>
        <v>BEBIDAS</v>
      </c>
      <c r="G5101" s="4" t="s">
        <v>144</v>
      </c>
      <c r="H5101" s="1">
        <v>482.89</v>
      </c>
    </row>
    <row r="5102" spans="2:8" x14ac:dyDescent="0.2">
      <c r="B5102" t="str">
        <f>VLOOKUP(G5102,PC!B:D,3,FALSE)</f>
        <v>CPV</v>
      </c>
      <c r="C5102" s="22">
        <v>2024</v>
      </c>
      <c r="D5102" t="s">
        <v>84</v>
      </c>
      <c r="E5102" t="s">
        <v>21</v>
      </c>
      <c r="F5102" t="str">
        <f>VLOOKUP(G5102,PC!B:D,2,FALSE)</f>
        <v>SOBREMESA</v>
      </c>
      <c r="G5102" s="4" t="s">
        <v>23</v>
      </c>
      <c r="H5102" s="1">
        <f>136.39+169.5</f>
        <v>305.89</v>
      </c>
    </row>
    <row r="5103" spans="2:8" x14ac:dyDescent="0.2">
      <c r="B5103" t="str">
        <f>VLOOKUP(G5103,PC!B:D,3,FALSE)</f>
        <v>CPV</v>
      </c>
      <c r="C5103" s="22">
        <v>2024</v>
      </c>
      <c r="D5103" t="s">
        <v>84</v>
      </c>
      <c r="E5103" t="s">
        <v>30</v>
      </c>
      <c r="F5103" t="str">
        <f>VLOOKUP(G5103,PC!B:D,2,FALSE)</f>
        <v>LIMPEZA</v>
      </c>
      <c r="G5103" s="4" t="s">
        <v>43</v>
      </c>
      <c r="H5103" s="1">
        <v>100.32</v>
      </c>
    </row>
    <row r="5104" spans="2:8" x14ac:dyDescent="0.2">
      <c r="B5104" t="str">
        <f>VLOOKUP(G5104,PC!B:D,3,FALSE)</f>
        <v>CPV</v>
      </c>
      <c r="C5104" s="22">
        <v>2024</v>
      </c>
      <c r="D5104" t="s">
        <v>84</v>
      </c>
      <c r="E5104" t="s">
        <v>228</v>
      </c>
      <c r="F5104" t="str">
        <f>VLOOKUP(G5104,PC!B:D,2,FALSE)</f>
        <v>COMIDA</v>
      </c>
      <c r="G5104" s="4" t="s">
        <v>12</v>
      </c>
      <c r="H5104" s="1">
        <v>252.14</v>
      </c>
    </row>
    <row r="5105" spans="2:8" x14ac:dyDescent="0.2">
      <c r="B5105" t="str">
        <f>VLOOKUP(G5105,PC!B:D,3,FALSE)</f>
        <v>CPV</v>
      </c>
      <c r="C5105" s="22">
        <v>2024</v>
      </c>
      <c r="D5105" t="s">
        <v>84</v>
      </c>
      <c r="E5105" t="s">
        <v>228</v>
      </c>
      <c r="F5105" t="str">
        <f>VLOOKUP(G5105,PC!B:D,2,FALSE)</f>
        <v>COMIDA</v>
      </c>
      <c r="G5105" s="4" t="s">
        <v>12</v>
      </c>
      <c r="H5105" s="1">
        <v>458.25</v>
      </c>
    </row>
    <row r="5106" spans="2:8" x14ac:dyDescent="0.2">
      <c r="B5106" t="str">
        <f>VLOOKUP(G5106,PC!B:D,3,FALSE)</f>
        <v>CPV</v>
      </c>
      <c r="C5106" s="22">
        <v>2024</v>
      </c>
      <c r="D5106" t="s">
        <v>84</v>
      </c>
      <c r="E5106" t="s">
        <v>20</v>
      </c>
      <c r="F5106" t="str">
        <f>VLOOKUP(G5106,PC!B:D,2,FALSE)</f>
        <v>COMIDA</v>
      </c>
      <c r="G5106" s="4" t="s">
        <v>29</v>
      </c>
      <c r="H5106" s="1">
        <v>61.4</v>
      </c>
    </row>
    <row r="5107" spans="2:8" x14ac:dyDescent="0.2">
      <c r="B5107" t="str">
        <f>VLOOKUP(G5107,PC!B:D,3,FALSE)</f>
        <v>CPV</v>
      </c>
      <c r="C5107" s="22">
        <v>2024</v>
      </c>
      <c r="D5107" t="s">
        <v>84</v>
      </c>
      <c r="E5107" t="s">
        <v>242</v>
      </c>
      <c r="F5107" t="str">
        <f>VLOOKUP(G5107,PC!B:D,2,FALSE)</f>
        <v>COMIDA</v>
      </c>
      <c r="G5107" s="4" t="s">
        <v>38</v>
      </c>
      <c r="H5107" s="1">
        <v>169.01</v>
      </c>
    </row>
    <row r="5108" spans="2:8" x14ac:dyDescent="0.2">
      <c r="B5108" t="str">
        <f>VLOOKUP(G5108,PC!B:D,3,FALSE)</f>
        <v>CPV</v>
      </c>
      <c r="C5108" s="22">
        <v>2024</v>
      </c>
      <c r="D5108" t="s">
        <v>84</v>
      </c>
      <c r="E5108" t="s">
        <v>237</v>
      </c>
      <c r="F5108" t="str">
        <f>VLOOKUP(G5108,PC!B:D,2,FALSE)</f>
        <v>COMIDA</v>
      </c>
      <c r="G5108" s="4" t="s">
        <v>38</v>
      </c>
      <c r="H5108" s="1">
        <v>608.70000000000005</v>
      </c>
    </row>
    <row r="5109" spans="2:8" x14ac:dyDescent="0.2">
      <c r="B5109" t="str">
        <f>VLOOKUP(G5109,PC!B:D,3,FALSE)</f>
        <v>CPV</v>
      </c>
      <c r="C5109" s="22">
        <v>2024</v>
      </c>
      <c r="D5109" t="s">
        <v>84</v>
      </c>
      <c r="E5109" t="s">
        <v>227</v>
      </c>
      <c r="F5109" t="str">
        <f>VLOOKUP(G5109,PC!B:D,2,FALSE)</f>
        <v>LIMPEZA</v>
      </c>
      <c r="G5109" s="4" t="s">
        <v>43</v>
      </c>
      <c r="H5109" s="1">
        <v>1123.6400000000001</v>
      </c>
    </row>
    <row r="5110" spans="2:8" x14ac:dyDescent="0.2">
      <c r="B5110" t="str">
        <f>VLOOKUP(G5110,PC!B:D,3,FALSE)</f>
        <v>CPV</v>
      </c>
      <c r="C5110" s="22">
        <v>2024</v>
      </c>
      <c r="D5110" t="s">
        <v>84</v>
      </c>
      <c r="E5110" t="s">
        <v>129</v>
      </c>
      <c r="F5110" t="str">
        <f>VLOOKUP(G5110,PC!B:D,2,FALSE)</f>
        <v>BEBIDAS</v>
      </c>
      <c r="G5110" s="4" t="s">
        <v>48</v>
      </c>
      <c r="H5110" s="1">
        <v>100</v>
      </c>
    </row>
    <row r="5111" spans="2:8" x14ac:dyDescent="0.2">
      <c r="B5111" t="str">
        <f>VLOOKUP(G5111,PC!B:D,3,FALSE)</f>
        <v>CPV</v>
      </c>
      <c r="C5111" s="22">
        <v>2024</v>
      </c>
      <c r="D5111" t="s">
        <v>84</v>
      </c>
      <c r="E5111" t="s">
        <v>78</v>
      </c>
      <c r="F5111" t="str">
        <f>VLOOKUP(G5111,PC!B:D,2,FALSE)</f>
        <v>CIGARRO</v>
      </c>
      <c r="G5111" s="4" t="s">
        <v>82</v>
      </c>
      <c r="H5111" s="1">
        <v>608.80999999999995</v>
      </c>
    </row>
    <row r="5112" spans="2:8" x14ac:dyDescent="0.2">
      <c r="B5112" t="str">
        <f>VLOOKUP(G5112,PC!B:D,3,FALSE)</f>
        <v>CPV</v>
      </c>
      <c r="C5112" s="22">
        <v>2024</v>
      </c>
      <c r="D5112" t="s">
        <v>84</v>
      </c>
      <c r="E5112" t="s">
        <v>234</v>
      </c>
      <c r="F5112" t="str">
        <f>VLOOKUP(G5112,PC!B:D,2,FALSE)</f>
        <v>LIMPEZA</v>
      </c>
      <c r="G5112" s="4" t="s">
        <v>43</v>
      </c>
      <c r="H5112" s="1">
        <v>1067.6600000000001</v>
      </c>
    </row>
    <row r="5113" spans="2:8" x14ac:dyDescent="0.2">
      <c r="B5113" t="str">
        <f>VLOOKUP(G5113,PC!B:D,3,FALSE)</f>
        <v>CPV</v>
      </c>
      <c r="C5113" s="22">
        <v>2024</v>
      </c>
      <c r="D5113" t="s">
        <v>84</v>
      </c>
      <c r="E5113" t="s">
        <v>100</v>
      </c>
      <c r="F5113" t="str">
        <f>VLOOKUP(G5113,PC!B:D,2,FALSE)</f>
        <v>COMIDA</v>
      </c>
      <c r="G5113" s="4" t="s">
        <v>18</v>
      </c>
      <c r="H5113" s="1">
        <v>198.65</v>
      </c>
    </row>
    <row r="5114" spans="2:8" x14ac:dyDescent="0.2">
      <c r="B5114" t="str">
        <f>VLOOKUP(G5114,PC!B:D,3,FALSE)</f>
        <v>CPV</v>
      </c>
      <c r="C5114" s="22">
        <v>2024</v>
      </c>
      <c r="D5114" t="s">
        <v>84</v>
      </c>
      <c r="E5114" t="s">
        <v>19</v>
      </c>
      <c r="F5114" t="str">
        <f>VLOOKUP(G5114,PC!B:D,2,FALSE)</f>
        <v>COMIDA</v>
      </c>
      <c r="G5114" s="4" t="s">
        <v>34</v>
      </c>
      <c r="H5114" s="1">
        <v>99.5</v>
      </c>
    </row>
    <row r="5115" spans="2:8" x14ac:dyDescent="0.2">
      <c r="B5115" t="str">
        <f>VLOOKUP(G5115,PC!B:D,3,FALSE)</f>
        <v>CPV</v>
      </c>
      <c r="C5115" s="22">
        <v>2024</v>
      </c>
      <c r="D5115" t="s">
        <v>84</v>
      </c>
      <c r="E5115" t="s">
        <v>30</v>
      </c>
      <c r="F5115" t="str">
        <f>VLOOKUP(G5115,PC!B:D,2,FALSE)</f>
        <v>SOBREMESA</v>
      </c>
      <c r="G5115" s="4" t="s">
        <v>23</v>
      </c>
      <c r="H5115" s="1">
        <v>205.24</v>
      </c>
    </row>
    <row r="5116" spans="2:8" x14ac:dyDescent="0.2">
      <c r="B5116" t="str">
        <f>VLOOKUP(G5116,PC!B:D,3,FALSE)</f>
        <v>CPV</v>
      </c>
      <c r="C5116" s="22">
        <v>2024</v>
      </c>
      <c r="D5116" t="s">
        <v>84</v>
      </c>
      <c r="E5116" t="s">
        <v>21</v>
      </c>
      <c r="F5116" t="str">
        <f>VLOOKUP(G5116,PC!B:D,2,FALSE)</f>
        <v>SOBREMESA</v>
      </c>
      <c r="G5116" s="4" t="s">
        <v>23</v>
      </c>
      <c r="H5116" s="1">
        <f>98.14</f>
        <v>98.14</v>
      </c>
    </row>
    <row r="5117" spans="2:8" x14ac:dyDescent="0.2">
      <c r="B5117" t="str">
        <f>VLOOKUP(G5117,PC!B:D,3,FALSE)</f>
        <v>CPV</v>
      </c>
      <c r="C5117" s="22">
        <v>2024</v>
      </c>
      <c r="D5117" t="s">
        <v>84</v>
      </c>
      <c r="E5117" t="s">
        <v>20</v>
      </c>
      <c r="F5117" t="str">
        <f>VLOOKUP(G5117,PC!B:D,2,FALSE)</f>
        <v>COMIDA</v>
      </c>
      <c r="G5117" s="4" t="s">
        <v>29</v>
      </c>
      <c r="H5117" s="1">
        <v>111.4</v>
      </c>
    </row>
    <row r="5118" spans="2:8" x14ac:dyDescent="0.2">
      <c r="B5118" t="str">
        <f>VLOOKUP(G5118,PC!B:D,3,FALSE)</f>
        <v>CPV</v>
      </c>
      <c r="C5118" s="22">
        <v>2024</v>
      </c>
      <c r="D5118" t="s">
        <v>84</v>
      </c>
      <c r="E5118" t="s">
        <v>241</v>
      </c>
      <c r="F5118" t="str">
        <f>VLOOKUP(G5118,PC!B:D,2,FALSE)</f>
        <v>COMIDA</v>
      </c>
      <c r="G5118" s="4" t="s">
        <v>12</v>
      </c>
      <c r="H5118" s="1">
        <v>184.62</v>
      </c>
    </row>
    <row r="5119" spans="2:8" x14ac:dyDescent="0.2">
      <c r="B5119" t="str">
        <f>VLOOKUP(G5119,PC!B:D,3,FALSE)</f>
        <v>CPV</v>
      </c>
      <c r="C5119" s="22">
        <v>2024</v>
      </c>
      <c r="D5119" t="s">
        <v>84</v>
      </c>
      <c r="E5119" t="s">
        <v>19</v>
      </c>
      <c r="F5119" t="str">
        <f>VLOOKUP(G5119,PC!B:D,2,FALSE)</f>
        <v>COMIDA</v>
      </c>
      <c r="G5119" s="4" t="s">
        <v>38</v>
      </c>
      <c r="H5119" s="1">
        <v>658.3</v>
      </c>
    </row>
    <row r="5120" spans="2:8" x14ac:dyDescent="0.2">
      <c r="B5120" t="str">
        <f>VLOOKUP(G5120,PC!B:D,3,FALSE)</f>
        <v>CPV</v>
      </c>
      <c r="C5120" s="22">
        <v>2024</v>
      </c>
      <c r="D5120" t="s">
        <v>84</v>
      </c>
      <c r="E5120" t="s">
        <v>227</v>
      </c>
      <c r="F5120" t="str">
        <f>VLOOKUP(G5120,PC!B:D,2,FALSE)</f>
        <v>HIGIENE</v>
      </c>
      <c r="G5120" s="4" t="s">
        <v>36</v>
      </c>
      <c r="H5120" s="1">
        <v>982.18</v>
      </c>
    </row>
    <row r="5121" spans="2:8" x14ac:dyDescent="0.2">
      <c r="B5121" t="str">
        <f>VLOOKUP(G5121,PC!B:D,3,FALSE)</f>
        <v>CPV</v>
      </c>
      <c r="C5121" s="22">
        <v>2024</v>
      </c>
      <c r="D5121" t="s">
        <v>84</v>
      </c>
      <c r="E5121" t="s">
        <v>6</v>
      </c>
      <c r="F5121" t="str">
        <f>VLOOKUP(G5121,PC!B:D,2,FALSE)</f>
        <v>COMIDA</v>
      </c>
      <c r="G5121" s="4" t="s">
        <v>18</v>
      </c>
      <c r="H5121" s="1">
        <v>224</v>
      </c>
    </row>
    <row r="5122" spans="2:8" x14ac:dyDescent="0.2">
      <c r="B5122" t="str">
        <f>VLOOKUP(G5122,PC!B:D,3,FALSE)</f>
        <v>CPV</v>
      </c>
      <c r="C5122" s="22">
        <v>2024</v>
      </c>
      <c r="D5122" t="s">
        <v>84</v>
      </c>
      <c r="E5122" t="s">
        <v>233</v>
      </c>
      <c r="F5122" t="str">
        <f>VLOOKUP(G5122,PC!B:D,2,FALSE)</f>
        <v>BEBIDAS</v>
      </c>
      <c r="G5122" s="4" t="s">
        <v>26</v>
      </c>
      <c r="H5122" s="1">
        <v>810.8</v>
      </c>
    </row>
    <row r="5123" spans="2:8" x14ac:dyDescent="0.2">
      <c r="B5123" t="str">
        <f>VLOOKUP(G5123,PC!B:D,3,FALSE)</f>
        <v>CPV</v>
      </c>
      <c r="C5123" s="22">
        <v>2024</v>
      </c>
      <c r="D5123" t="s">
        <v>84</v>
      </c>
      <c r="E5123" t="s">
        <v>95</v>
      </c>
      <c r="F5123" t="str">
        <f>VLOOKUP(G5123,PC!B:D,2,FALSE)</f>
        <v>BEBIDAS</v>
      </c>
      <c r="G5123" s="4" t="s">
        <v>144</v>
      </c>
      <c r="H5123" s="1">
        <v>290.2</v>
      </c>
    </row>
    <row r="5124" spans="2:8" x14ac:dyDescent="0.2">
      <c r="B5124" t="str">
        <f>VLOOKUP(G5124,PC!B:D,3,FALSE)</f>
        <v>CPV</v>
      </c>
      <c r="C5124" s="22">
        <v>2024</v>
      </c>
      <c r="D5124" t="s">
        <v>84</v>
      </c>
      <c r="E5124" t="s">
        <v>21</v>
      </c>
      <c r="F5124" t="str">
        <f>VLOOKUP(G5124,PC!B:D,2,FALSE)</f>
        <v>COMIDA</v>
      </c>
      <c r="G5124" s="4" t="s">
        <v>18</v>
      </c>
      <c r="H5124" s="1">
        <v>98.62</v>
      </c>
    </row>
    <row r="5125" spans="2:8" x14ac:dyDescent="0.2">
      <c r="B5125" t="str">
        <f>VLOOKUP(G5125,PC!B:D,3,FALSE)</f>
        <v>CPV</v>
      </c>
      <c r="C5125" s="22">
        <v>2024</v>
      </c>
      <c r="D5125" t="s">
        <v>84</v>
      </c>
      <c r="E5125" t="s">
        <v>21</v>
      </c>
      <c r="F5125" t="str">
        <f>VLOOKUP(G5125,PC!B:D,2,FALSE)</f>
        <v>SOBREMESA</v>
      </c>
      <c r="G5125" s="4" t="s">
        <v>23</v>
      </c>
      <c r="H5125" s="1">
        <v>387.29</v>
      </c>
    </row>
    <row r="5126" spans="2:8" x14ac:dyDescent="0.2">
      <c r="B5126" t="str">
        <f>VLOOKUP(G5126,PC!B:D,3,FALSE)</f>
        <v>CPV</v>
      </c>
      <c r="C5126" s="22">
        <v>2024</v>
      </c>
      <c r="D5126" t="s">
        <v>84</v>
      </c>
      <c r="E5126" t="s">
        <v>237</v>
      </c>
      <c r="F5126" t="str">
        <f>VLOOKUP(G5126,PC!B:D,2,FALSE)</f>
        <v>HIGIENE</v>
      </c>
      <c r="G5126" s="4" t="s">
        <v>36</v>
      </c>
      <c r="H5126" s="1">
        <v>1190.5899999999999</v>
      </c>
    </row>
    <row r="5127" spans="2:8" x14ac:dyDescent="0.2">
      <c r="B5127" t="str">
        <f>VLOOKUP(G5127,PC!B:D,3,FALSE)</f>
        <v>CPV</v>
      </c>
      <c r="C5127" s="22">
        <v>2024</v>
      </c>
      <c r="D5127" t="s">
        <v>84</v>
      </c>
      <c r="E5127" t="s">
        <v>5</v>
      </c>
      <c r="F5127" t="str">
        <f>VLOOKUP(G5127,PC!B:D,2,FALSE)</f>
        <v>COMIDA</v>
      </c>
      <c r="G5127" s="4" t="s">
        <v>18</v>
      </c>
      <c r="H5127" s="1">
        <v>310.75</v>
      </c>
    </row>
    <row r="5128" spans="2:8" x14ac:dyDescent="0.2">
      <c r="B5128" t="str">
        <f>VLOOKUP(G5128,PC!B:D,3,FALSE)</f>
        <v>CPV</v>
      </c>
      <c r="C5128" s="22">
        <v>2024</v>
      </c>
      <c r="D5128" t="s">
        <v>84</v>
      </c>
      <c r="E5128" t="s">
        <v>19</v>
      </c>
      <c r="F5128" t="str">
        <f>VLOOKUP(G5128,PC!B:D,2,FALSE)</f>
        <v>LIMPEZA</v>
      </c>
      <c r="G5128" s="4" t="s">
        <v>43</v>
      </c>
      <c r="H5128" s="1">
        <v>11.97</v>
      </c>
    </row>
    <row r="5129" spans="2:8" x14ac:dyDescent="0.2">
      <c r="B5129" t="str">
        <f>VLOOKUP(G5129,PC!B:D,3,FALSE)</f>
        <v>CPV</v>
      </c>
      <c r="C5129" s="22">
        <v>2024</v>
      </c>
      <c r="D5129" t="s">
        <v>84</v>
      </c>
      <c r="E5129" t="s">
        <v>228</v>
      </c>
      <c r="F5129" t="str">
        <f>VLOOKUP(G5129,PC!B:D,2,FALSE)</f>
        <v>COMIDA</v>
      </c>
      <c r="G5129" s="4" t="s">
        <v>12</v>
      </c>
      <c r="H5129" s="1">
        <v>247.25</v>
      </c>
    </row>
    <row r="5130" spans="2:8" x14ac:dyDescent="0.2">
      <c r="B5130" t="str">
        <f>VLOOKUP(G5130,PC!B:D,3,FALSE)</f>
        <v>CPV</v>
      </c>
      <c r="C5130" s="22">
        <v>2024</v>
      </c>
      <c r="D5130" t="s">
        <v>84</v>
      </c>
      <c r="E5130" t="s">
        <v>20</v>
      </c>
      <c r="F5130" t="str">
        <f>VLOOKUP(G5130,PC!B:D,2,FALSE)</f>
        <v>COMIDA</v>
      </c>
      <c r="G5130" s="4" t="s">
        <v>29</v>
      </c>
      <c r="H5130" s="1">
        <v>55.1</v>
      </c>
    </row>
    <row r="5131" spans="2:8" x14ac:dyDescent="0.2">
      <c r="B5131" t="str">
        <f>VLOOKUP(G5131,PC!B:D,3,FALSE)</f>
        <v>CPV</v>
      </c>
      <c r="C5131" s="22">
        <v>2024</v>
      </c>
      <c r="D5131" t="s">
        <v>84</v>
      </c>
      <c r="E5131" t="s">
        <v>228</v>
      </c>
      <c r="F5131" t="str">
        <f>VLOOKUP(G5131,PC!B:D,2,FALSE)</f>
        <v>COMIDA</v>
      </c>
      <c r="G5131" s="4" t="s">
        <v>12</v>
      </c>
      <c r="H5131" s="1">
        <v>225.7</v>
      </c>
    </row>
    <row r="5132" spans="2:8" x14ac:dyDescent="0.2">
      <c r="B5132" t="str">
        <f>VLOOKUP(G5132,PC!B:D,3,FALSE)</f>
        <v>CPV</v>
      </c>
      <c r="C5132" s="22">
        <v>2024</v>
      </c>
      <c r="D5132" t="s">
        <v>84</v>
      </c>
      <c r="E5132" t="s">
        <v>227</v>
      </c>
      <c r="F5132" t="str">
        <f>VLOOKUP(G5132,PC!B:D,2,FALSE)</f>
        <v>HIGIENE</v>
      </c>
      <c r="G5132" s="4" t="s">
        <v>36</v>
      </c>
      <c r="H5132" s="1">
        <v>1456.1</v>
      </c>
    </row>
    <row r="5133" spans="2:8" x14ac:dyDescent="0.2">
      <c r="B5133" t="str">
        <f>VLOOKUP(G5133,PC!B:D,3,FALSE)</f>
        <v>CPV</v>
      </c>
      <c r="C5133" s="22">
        <v>2024</v>
      </c>
      <c r="D5133" t="s">
        <v>84</v>
      </c>
      <c r="E5133" t="s">
        <v>208</v>
      </c>
      <c r="F5133" t="str">
        <f>VLOOKUP(G5133,PC!B:D,2,FALSE)</f>
        <v>SOBREMESA</v>
      </c>
      <c r="G5133" s="4" t="s">
        <v>8</v>
      </c>
      <c r="H5133" s="1">
        <v>518.91999999999996</v>
      </c>
    </row>
    <row r="5134" spans="2:8" x14ac:dyDescent="0.2">
      <c r="B5134" t="str">
        <f>VLOOKUP(G5134,PC!B:D,3,FALSE)</f>
        <v>CPV</v>
      </c>
      <c r="C5134" s="22">
        <v>2024</v>
      </c>
      <c r="D5134" t="s">
        <v>84</v>
      </c>
      <c r="E5134" t="s">
        <v>242</v>
      </c>
      <c r="F5134" t="str">
        <f>VLOOKUP(G5134,PC!B:D,2,FALSE)</f>
        <v>COMIDA</v>
      </c>
      <c r="G5134" s="4" t="s">
        <v>38</v>
      </c>
      <c r="H5134" s="1">
        <v>149.28</v>
      </c>
    </row>
    <row r="5135" spans="2:8" x14ac:dyDescent="0.2">
      <c r="B5135" t="str">
        <f>VLOOKUP(G5135,PC!B:D,3,FALSE)</f>
        <v>CPV</v>
      </c>
      <c r="C5135" s="22">
        <v>2024</v>
      </c>
      <c r="D5135" t="s">
        <v>84</v>
      </c>
      <c r="E5135" t="s">
        <v>156</v>
      </c>
      <c r="F5135" t="str">
        <f>VLOOKUP(G5135,PC!B:D,2,FALSE)</f>
        <v>BEBIDAS</v>
      </c>
      <c r="G5135" s="4" t="s">
        <v>26</v>
      </c>
      <c r="H5135" s="1">
        <f>451.8+769.96</f>
        <v>1221.76</v>
      </c>
    </row>
    <row r="5136" spans="2:8" x14ac:dyDescent="0.2">
      <c r="B5136" t="str">
        <f>VLOOKUP(G5136,PC!B:D,3,FALSE)</f>
        <v>CPV</v>
      </c>
      <c r="C5136" s="22">
        <v>2024</v>
      </c>
      <c r="D5136" t="s">
        <v>84</v>
      </c>
      <c r="E5136" t="s">
        <v>211</v>
      </c>
      <c r="F5136" t="str">
        <f>VLOOKUP(G5136,PC!B:D,2,FALSE)</f>
        <v>BEBIDAS</v>
      </c>
      <c r="G5136" s="4" t="s">
        <v>26</v>
      </c>
      <c r="H5136" s="1">
        <f>1052.1+543.55+1329.94+572.5</f>
        <v>3498.09</v>
      </c>
    </row>
    <row r="5137" spans="2:8" x14ac:dyDescent="0.2">
      <c r="B5137" t="str">
        <f>VLOOKUP(G5137,PC!B:D,3,FALSE)</f>
        <v>CPV</v>
      </c>
      <c r="C5137" s="22">
        <v>2024</v>
      </c>
      <c r="D5137" t="s">
        <v>84</v>
      </c>
      <c r="E5137" t="s">
        <v>239</v>
      </c>
      <c r="F5137" t="str">
        <f>VLOOKUP(G5137,PC!B:D,2,FALSE)</f>
        <v>BEBIDAS</v>
      </c>
      <c r="G5137" s="4" t="s">
        <v>26</v>
      </c>
      <c r="H5137" s="1">
        <f>508.59+364.4+728.8</f>
        <v>1601.79</v>
      </c>
    </row>
    <row r="5138" spans="2:8" x14ac:dyDescent="0.2">
      <c r="B5138" t="str">
        <f>VLOOKUP(G5138,PC!B:D,3,FALSE)</f>
        <v>CPV</v>
      </c>
      <c r="C5138" s="22">
        <v>2024</v>
      </c>
      <c r="D5138" t="s">
        <v>84</v>
      </c>
      <c r="E5138" t="s">
        <v>226</v>
      </c>
      <c r="F5138" t="str">
        <f>VLOOKUP(G5138,PC!B:D,2,FALSE)</f>
        <v>BEBIDAS</v>
      </c>
      <c r="G5138" s="4" t="s">
        <v>25</v>
      </c>
      <c r="H5138" s="1">
        <f>142.28+1777.86+444.97+853.61+309.85+261.13+152.56+624.04+557.1+656.26+974.66+2314.02+30.07+222.01+879.34+512.69+29.69</f>
        <v>10742.140000000001</v>
      </c>
    </row>
    <row r="5139" spans="2:8" x14ac:dyDescent="0.2">
      <c r="B5139" t="str">
        <f>VLOOKUP(G5139,PC!B:D,3,FALSE)</f>
        <v>CPV</v>
      </c>
      <c r="C5139" s="22">
        <v>2024</v>
      </c>
      <c r="D5139" t="s">
        <v>84</v>
      </c>
      <c r="E5139" t="s">
        <v>28</v>
      </c>
      <c r="F5139" t="str">
        <f>VLOOKUP(G5139,PC!B:D,2,FALSE)</f>
        <v>BEBIDAS</v>
      </c>
      <c r="G5139" s="4" t="s">
        <v>26</v>
      </c>
      <c r="H5139" s="1">
        <f>5420.19+4750.6+3215.1+2760.82+175.4+30+3052.2+3188.36+3823.5</f>
        <v>26416.170000000002</v>
      </c>
    </row>
    <row r="5140" spans="2:8" x14ac:dyDescent="0.2">
      <c r="B5140" t="str">
        <f>VLOOKUP(G5140,PC!B:D,3,FALSE)</f>
        <v>CPV</v>
      </c>
      <c r="C5140" s="22">
        <v>2024</v>
      </c>
      <c r="D5140" t="s">
        <v>84</v>
      </c>
      <c r="E5140" t="s">
        <v>49</v>
      </c>
      <c r="F5140" t="str">
        <f>VLOOKUP(G5140,PC!B:D,2,FALSE)</f>
        <v>CIGARRO</v>
      </c>
      <c r="G5140" s="4" t="s">
        <v>52</v>
      </c>
      <c r="H5140" s="1">
        <f>7111.99+7057.23+7057.23+6575.27+8080.3</f>
        <v>35882.019999999997</v>
      </c>
    </row>
    <row r="5141" spans="2:8" x14ac:dyDescent="0.2">
      <c r="B5141" t="str">
        <f>VLOOKUP(G5141,PC!B:D,3,FALSE)</f>
        <v>CPV</v>
      </c>
      <c r="C5141" s="22">
        <v>2024</v>
      </c>
      <c r="D5141" t="s">
        <v>84</v>
      </c>
      <c r="E5141" t="s">
        <v>27</v>
      </c>
      <c r="F5141" t="str">
        <f>VLOOKUP(G5141,PC!B:D,2,FALSE)</f>
        <v>COMIDA</v>
      </c>
      <c r="G5141" s="4" t="s">
        <v>12</v>
      </c>
      <c r="H5141" s="1">
        <f>213.08+208.78</f>
        <v>421.86</v>
      </c>
    </row>
    <row r="5142" spans="2:8" x14ac:dyDescent="0.2">
      <c r="B5142" t="str">
        <f>VLOOKUP(G5142,PC!B:D,3,FALSE)</f>
        <v>CPV</v>
      </c>
      <c r="C5142" s="22">
        <v>2024</v>
      </c>
      <c r="D5142" t="s">
        <v>84</v>
      </c>
      <c r="E5142" t="s">
        <v>10</v>
      </c>
      <c r="F5142" t="str">
        <f>VLOOKUP(G5142,PC!B:D,2,FALSE)</f>
        <v>COMIDA</v>
      </c>
      <c r="G5142" s="4" t="s">
        <v>12</v>
      </c>
      <c r="H5142" s="1">
        <v>567.30999999999995</v>
      </c>
    </row>
    <row r="5143" spans="2:8" x14ac:dyDescent="0.2">
      <c r="B5143" t="str">
        <f>VLOOKUP(G5143,PC!B:D,3,FALSE)</f>
        <v>CPV</v>
      </c>
      <c r="C5143" s="22">
        <v>2024</v>
      </c>
      <c r="D5143" t="s">
        <v>84</v>
      </c>
      <c r="E5143" t="s">
        <v>212</v>
      </c>
      <c r="F5143" t="str">
        <f>VLOOKUP(G5143,PC!B:D,2,FALSE)</f>
        <v>COMIDA</v>
      </c>
      <c r="G5143" s="4" t="s">
        <v>33</v>
      </c>
      <c r="H5143" s="1">
        <f>207.96+168.31+212.4+266.07</f>
        <v>854.74</v>
      </c>
    </row>
    <row r="5144" spans="2:8" x14ac:dyDescent="0.2">
      <c r="B5144" t="str">
        <f>VLOOKUP(G5144,PC!B:D,3,FALSE)</f>
        <v>CPV</v>
      </c>
      <c r="C5144" s="22">
        <v>2024</v>
      </c>
      <c r="D5144" t="s">
        <v>84</v>
      </c>
      <c r="E5144" t="s">
        <v>24</v>
      </c>
      <c r="F5144" t="str">
        <f>VLOOKUP(G5144,PC!B:D,2,FALSE)</f>
        <v>COMIDA</v>
      </c>
      <c r="G5144" s="4" t="s">
        <v>33</v>
      </c>
      <c r="H5144" s="1">
        <v>620.62</v>
      </c>
    </row>
    <row r="5145" spans="2:8" x14ac:dyDescent="0.2">
      <c r="B5145" t="str">
        <f>VLOOKUP(G5145,PC!B:D,3,FALSE)</f>
        <v>CPV</v>
      </c>
      <c r="C5145" s="22">
        <v>2024</v>
      </c>
      <c r="D5145" t="s">
        <v>84</v>
      </c>
      <c r="E5145" t="s">
        <v>16</v>
      </c>
      <c r="F5145" t="str">
        <f>VLOOKUP(G5145,PC!B:D,2,FALSE)</f>
        <v>COMIDA</v>
      </c>
      <c r="G5145" s="4" t="s">
        <v>33</v>
      </c>
      <c r="H5145" s="1">
        <f>147.43+433.02+425.18+737.31+233.6</f>
        <v>1976.54</v>
      </c>
    </row>
    <row r="5146" spans="2:8" x14ac:dyDescent="0.2">
      <c r="B5146" t="str">
        <f>VLOOKUP(G5146,PC!B:D,3,FALSE)</f>
        <v>CPV</v>
      </c>
      <c r="C5146" s="22">
        <v>2024</v>
      </c>
      <c r="D5146" t="s">
        <v>84</v>
      </c>
      <c r="E5146" t="s">
        <v>129</v>
      </c>
      <c r="F5146" t="str">
        <f>VLOOKUP(G5146,PC!B:D,2,FALSE)</f>
        <v>COMIDA</v>
      </c>
      <c r="G5146" s="4" t="s">
        <v>146</v>
      </c>
      <c r="H5146" s="1">
        <v>63.98</v>
      </c>
    </row>
    <row r="5147" spans="2:8" x14ac:dyDescent="0.2">
      <c r="B5147" t="str">
        <f>VLOOKUP(G5147,PC!B:D,3,FALSE)</f>
        <v>CPV</v>
      </c>
      <c r="C5147" s="22">
        <v>2024</v>
      </c>
      <c r="D5147" t="s">
        <v>84</v>
      </c>
      <c r="E5147" t="s">
        <v>129</v>
      </c>
      <c r="F5147" t="str">
        <f>VLOOKUP(G5147,PC!B:D,2,FALSE)</f>
        <v>SOBREMESA</v>
      </c>
      <c r="G5147" s="4" t="s">
        <v>7</v>
      </c>
      <c r="H5147" s="1">
        <v>117</v>
      </c>
    </row>
    <row r="5148" spans="2:8" x14ac:dyDescent="0.2">
      <c r="B5148" t="str">
        <f>VLOOKUP(G5148,PC!B:D,3,FALSE)</f>
        <v>CPV</v>
      </c>
      <c r="C5148" s="22">
        <v>2024</v>
      </c>
      <c r="D5148" t="s">
        <v>84</v>
      </c>
      <c r="E5148" t="s">
        <v>129</v>
      </c>
      <c r="F5148" t="str">
        <f>VLOOKUP(G5148,PC!B:D,2,FALSE)</f>
        <v>COMIDA</v>
      </c>
      <c r="G5148" s="4" t="s">
        <v>12</v>
      </c>
      <c r="H5148" s="1">
        <v>67</v>
      </c>
    </row>
    <row r="5149" spans="2:8" x14ac:dyDescent="0.2">
      <c r="B5149" t="str">
        <f>VLOOKUP(G5149,PC!B:D,3,FALSE)</f>
        <v>CPV</v>
      </c>
      <c r="C5149" s="22">
        <v>2024</v>
      </c>
      <c r="D5149" t="s">
        <v>84</v>
      </c>
      <c r="E5149" t="s">
        <v>129</v>
      </c>
      <c r="F5149" t="str">
        <f>VLOOKUP(G5149,PC!B:D,2,FALSE)</f>
        <v>COMIDA</v>
      </c>
      <c r="G5149" s="4" t="s">
        <v>12</v>
      </c>
      <c r="H5149" s="1">
        <v>124.8</v>
      </c>
    </row>
    <row r="5150" spans="2:8" x14ac:dyDescent="0.2">
      <c r="B5150" t="str">
        <f>VLOOKUP(G5150,PC!B:D,3,FALSE)</f>
        <v>CPV</v>
      </c>
      <c r="C5150" s="22">
        <v>2024</v>
      </c>
      <c r="D5150" t="s">
        <v>84</v>
      </c>
      <c r="E5150" t="s">
        <v>129</v>
      </c>
      <c r="F5150" t="str">
        <f>VLOOKUP(G5150,PC!B:D,2,FALSE)</f>
        <v>COMIDA</v>
      </c>
      <c r="G5150" s="4" t="s">
        <v>12</v>
      </c>
      <c r="H5150" s="1">
        <v>87.5</v>
      </c>
    </row>
    <row r="5151" spans="2:8" x14ac:dyDescent="0.2">
      <c r="B5151" t="str">
        <f>VLOOKUP(G5151,PC!B:D,3,FALSE)</f>
        <v>DESPESA OPERACIONAL</v>
      </c>
      <c r="C5151" s="22">
        <v>2024</v>
      </c>
      <c r="D5151" t="s">
        <v>84</v>
      </c>
      <c r="F5151" t="str">
        <f>VLOOKUP(G5151,PC!B:D,2,FALSE)</f>
        <v>DESPESA OPERACIONAL</v>
      </c>
      <c r="G5151" s="4" t="s">
        <v>73</v>
      </c>
      <c r="H5151" s="1">
        <f>331.42+468.48+775.89+286.39+527.22+500.2</f>
        <v>2889.5999999999995</v>
      </c>
    </row>
    <row r="5152" spans="2:8" x14ac:dyDescent="0.2">
      <c r="B5152" t="str">
        <f>VLOOKUP(G5152,PC!B:D,3,FALSE)</f>
        <v>RECEITA</v>
      </c>
      <c r="C5152" s="22">
        <v>2024</v>
      </c>
      <c r="D5152" t="s">
        <v>84</v>
      </c>
      <c r="F5152" t="str">
        <f>VLOOKUP(G5152,PC!B:D,2,FALSE)</f>
        <v>RECEITA</v>
      </c>
      <c r="G5152" s="4" t="s">
        <v>64</v>
      </c>
      <c r="H5152" s="1">
        <f>9.2+11.23+6.11+16.61+10.02+7.08</f>
        <v>60.25</v>
      </c>
    </row>
    <row r="5153" spans="2:8" x14ac:dyDescent="0.2">
      <c r="B5153" t="str">
        <f>VLOOKUP(G5153,PC!B:D,3,FALSE)</f>
        <v>DESPESA OPERACIONAL</v>
      </c>
      <c r="C5153" s="22">
        <v>2024</v>
      </c>
      <c r="D5153" t="s">
        <v>84</v>
      </c>
      <c r="F5153" t="str">
        <f>VLOOKUP(G5153,PC!B:D,2,FALSE)</f>
        <v>DESPESA OPERACIONAL</v>
      </c>
      <c r="G5153" s="4" t="s">
        <v>65</v>
      </c>
      <c r="H5153" s="1">
        <f>69+(6+1.5)</f>
        <v>76.5</v>
      </c>
    </row>
    <row r="5154" spans="2:8" x14ac:dyDescent="0.2">
      <c r="B5154" t="str">
        <f>VLOOKUP(G5154,PC!B:D,3,FALSE)</f>
        <v>CPV</v>
      </c>
      <c r="C5154" s="22">
        <v>2024</v>
      </c>
      <c r="D5154" t="s">
        <v>84</v>
      </c>
      <c r="E5154" t="s">
        <v>129</v>
      </c>
      <c r="F5154" t="str">
        <f>VLOOKUP(G5154,PC!B:D,2,FALSE)</f>
        <v>BEBIDAS</v>
      </c>
      <c r="G5154" s="4" t="s">
        <v>46</v>
      </c>
      <c r="H5154" s="1">
        <v>325.2</v>
      </c>
    </row>
    <row r="5155" spans="2:8" x14ac:dyDescent="0.2">
      <c r="B5155" t="str">
        <f>VLOOKUP(G5155,PC!B:D,3,FALSE)</f>
        <v>CPV</v>
      </c>
      <c r="C5155" s="22">
        <v>2024</v>
      </c>
      <c r="D5155" t="s">
        <v>84</v>
      </c>
      <c r="E5155" t="s">
        <v>129</v>
      </c>
      <c r="F5155" t="str">
        <f>VLOOKUP(G5155,PC!B:D,2,FALSE)</f>
        <v>SOBREMESA</v>
      </c>
      <c r="G5155" s="4" t="s">
        <v>7</v>
      </c>
      <c r="H5155" s="1">
        <v>105</v>
      </c>
    </row>
    <row r="5156" spans="2:8" x14ac:dyDescent="0.2">
      <c r="B5156" t="str">
        <f>VLOOKUP(G5156,PC!B:D,3,FALSE)</f>
        <v>CPV</v>
      </c>
      <c r="C5156" s="22">
        <v>2024</v>
      </c>
      <c r="D5156" t="s">
        <v>84</v>
      </c>
      <c r="E5156" t="s">
        <v>129</v>
      </c>
      <c r="F5156" t="str">
        <f>VLOOKUP(G5156,PC!B:D,2,FALSE)</f>
        <v>COMIDA</v>
      </c>
      <c r="G5156" s="4" t="s">
        <v>155</v>
      </c>
      <c r="H5156" s="1">
        <v>220</v>
      </c>
    </row>
    <row r="5157" spans="2:8" x14ac:dyDescent="0.2">
      <c r="B5157" t="str">
        <f>VLOOKUP(G5157,PC!B:D,3,FALSE)</f>
        <v>CPV</v>
      </c>
      <c r="C5157" s="22">
        <v>2024</v>
      </c>
      <c r="D5157" t="s">
        <v>84</v>
      </c>
      <c r="E5157" t="s">
        <v>129</v>
      </c>
      <c r="F5157" t="str">
        <f>VLOOKUP(G5157,PC!B:D,2,FALSE)</f>
        <v>CIGARRO</v>
      </c>
      <c r="G5157" s="4" t="s">
        <v>57</v>
      </c>
      <c r="H5157" s="1">
        <v>1295</v>
      </c>
    </row>
    <row r="5158" spans="2:8" x14ac:dyDescent="0.2">
      <c r="B5158" t="str">
        <f>VLOOKUP(G5158,PC!B:D,3,FALSE)</f>
        <v>CPV</v>
      </c>
      <c r="C5158" s="22">
        <v>2024</v>
      </c>
      <c r="D5158" t="s">
        <v>84</v>
      </c>
      <c r="E5158" t="s">
        <v>129</v>
      </c>
      <c r="F5158" t="str">
        <f>VLOOKUP(G5158,PC!B:D,2,FALSE)</f>
        <v>COMIDA</v>
      </c>
      <c r="G5158" s="4" t="s">
        <v>146</v>
      </c>
      <c r="H5158" s="1">
        <v>114.34</v>
      </c>
    </row>
    <row r="5159" spans="2:8" x14ac:dyDescent="0.2">
      <c r="B5159" t="str">
        <f>VLOOKUP(G5159,PC!B:D,3,FALSE)</f>
        <v>SERV. PUBLICOS</v>
      </c>
      <c r="C5159" s="22">
        <v>2024</v>
      </c>
      <c r="D5159" t="s">
        <v>74</v>
      </c>
      <c r="F5159" t="str">
        <f>VLOOKUP(G5159,PC!B:D,2,FALSE)</f>
        <v>SERV. PUBLICOS</v>
      </c>
      <c r="G5159" s="4" t="s">
        <v>104</v>
      </c>
      <c r="H5159" s="1">
        <v>250</v>
      </c>
    </row>
    <row r="5160" spans="2:8" x14ac:dyDescent="0.2">
      <c r="B5160" t="str">
        <f>VLOOKUP(G5160,PC!B:D,3,FALSE)</f>
        <v>CPV</v>
      </c>
      <c r="C5160" s="22">
        <v>2024</v>
      </c>
      <c r="D5160" t="s">
        <v>84</v>
      </c>
      <c r="E5160" t="s">
        <v>129</v>
      </c>
      <c r="F5160" t="str">
        <f>VLOOKUP(G5160,PC!B:D,2,FALSE)</f>
        <v>COMIDA</v>
      </c>
      <c r="G5160" s="4" t="s">
        <v>33</v>
      </c>
      <c r="H5160" s="1">
        <v>60</v>
      </c>
    </row>
    <row r="5161" spans="2:8" x14ac:dyDescent="0.2">
      <c r="B5161" t="str">
        <f>VLOOKUP(G5161,PC!B:D,3,FALSE)</f>
        <v>CPV</v>
      </c>
      <c r="C5161" s="22">
        <v>2024</v>
      </c>
      <c r="D5161" t="s">
        <v>84</v>
      </c>
      <c r="E5161" t="s">
        <v>129</v>
      </c>
      <c r="F5161" t="str">
        <f>VLOOKUP(G5161,PC!B:D,2,FALSE)</f>
        <v>BEBIDAS</v>
      </c>
      <c r="G5161" s="4" t="s">
        <v>48</v>
      </c>
      <c r="H5161" s="1">
        <v>479</v>
      </c>
    </row>
    <row r="5162" spans="2:8" x14ac:dyDescent="0.2">
      <c r="B5162" t="str">
        <f>VLOOKUP(G5162,PC!B:D,3,FALSE)</f>
        <v>CPV</v>
      </c>
      <c r="C5162" s="22">
        <v>2024</v>
      </c>
      <c r="D5162" t="s">
        <v>84</v>
      </c>
      <c r="E5162" t="s">
        <v>129</v>
      </c>
      <c r="F5162" t="str">
        <f>VLOOKUP(G5162,PC!B:D,2,FALSE)</f>
        <v>BEBIDAS</v>
      </c>
      <c r="G5162" s="4" t="s">
        <v>48</v>
      </c>
      <c r="H5162" s="1">
        <v>561.52</v>
      </c>
    </row>
    <row r="5163" spans="2:8" x14ac:dyDescent="0.2">
      <c r="B5163" t="str">
        <f>VLOOKUP(G5163,PC!B:D,3,FALSE)</f>
        <v>CPV</v>
      </c>
      <c r="C5163" s="22">
        <v>2024</v>
      </c>
      <c r="D5163" t="s">
        <v>84</v>
      </c>
      <c r="E5163" t="s">
        <v>129</v>
      </c>
      <c r="F5163" t="str">
        <f>VLOOKUP(G5163,PC!B:D,2,FALSE)</f>
        <v>BEBIDAS</v>
      </c>
      <c r="G5163" s="4" t="s">
        <v>48</v>
      </c>
      <c r="H5163" s="1">
        <v>466.05</v>
      </c>
    </row>
    <row r="5164" spans="2:8" x14ac:dyDescent="0.2">
      <c r="B5164" t="str">
        <f>VLOOKUP(G5164,PC!B:D,3,FALSE)</f>
        <v>CPV</v>
      </c>
      <c r="C5164" s="22">
        <v>2024</v>
      </c>
      <c r="D5164" t="s">
        <v>84</v>
      </c>
      <c r="E5164" t="s">
        <v>129</v>
      </c>
      <c r="F5164" t="str">
        <f>VLOOKUP(G5164,PC!B:D,2,FALSE)</f>
        <v>OUTROS</v>
      </c>
      <c r="G5164" s="4" t="s">
        <v>37</v>
      </c>
      <c r="H5164" s="1">
        <v>490.33</v>
      </c>
    </row>
    <row r="5165" spans="2:8" x14ac:dyDescent="0.2">
      <c r="B5165" t="str">
        <f>VLOOKUP(G5165,PC!B:D,3,FALSE)</f>
        <v>CPV</v>
      </c>
      <c r="C5165" s="22">
        <v>2024</v>
      </c>
      <c r="D5165" t="s">
        <v>84</v>
      </c>
      <c r="E5165" t="s">
        <v>129</v>
      </c>
      <c r="F5165" t="str">
        <f>VLOOKUP(G5165,PC!B:D,2,FALSE)</f>
        <v>SOBREMESA</v>
      </c>
      <c r="G5165" s="4" t="s">
        <v>7</v>
      </c>
      <c r="H5165" s="1">
        <v>147</v>
      </c>
    </row>
    <row r="5166" spans="2:8" x14ac:dyDescent="0.2">
      <c r="B5166" t="str">
        <f>VLOOKUP(G5166,PC!B:D,3,FALSE)</f>
        <v>CPV</v>
      </c>
      <c r="C5166" s="22">
        <v>2024</v>
      </c>
      <c r="D5166" t="s">
        <v>84</v>
      </c>
      <c r="E5166" t="s">
        <v>129</v>
      </c>
      <c r="F5166" t="str">
        <f>VLOOKUP(G5166,PC!B:D,2,FALSE)</f>
        <v>COMIDA</v>
      </c>
      <c r="G5166" s="4" t="s">
        <v>12</v>
      </c>
      <c r="H5166" s="1">
        <v>500</v>
      </c>
    </row>
    <row r="5167" spans="2:8" x14ac:dyDescent="0.2">
      <c r="B5167" t="str">
        <f>VLOOKUP(G5167,PC!B:D,3,FALSE)</f>
        <v>CPV</v>
      </c>
      <c r="C5167" s="22">
        <v>2024</v>
      </c>
      <c r="D5167" t="s">
        <v>84</v>
      </c>
      <c r="E5167" t="s">
        <v>129</v>
      </c>
      <c r="F5167" t="str">
        <f>VLOOKUP(G5167,PC!B:D,2,FALSE)</f>
        <v>COMIDA</v>
      </c>
      <c r="G5167" s="4" t="s">
        <v>12</v>
      </c>
      <c r="H5167" s="1">
        <v>41</v>
      </c>
    </row>
    <row r="5168" spans="2:8" x14ac:dyDescent="0.2">
      <c r="B5168" t="str">
        <f>VLOOKUP(G5168,PC!B:D,3,FALSE)</f>
        <v>CPV</v>
      </c>
      <c r="C5168" s="22">
        <v>2024</v>
      </c>
      <c r="D5168" t="s">
        <v>84</v>
      </c>
      <c r="E5168" t="s">
        <v>129</v>
      </c>
      <c r="F5168" t="str">
        <f>VLOOKUP(G5168,PC!B:D,2,FALSE)</f>
        <v>SOBREMESA</v>
      </c>
      <c r="G5168" s="4" t="s">
        <v>7</v>
      </c>
      <c r="H5168" s="1">
        <v>38</v>
      </c>
    </row>
    <row r="5169" spans="2:8" x14ac:dyDescent="0.2">
      <c r="B5169" t="str">
        <f>VLOOKUP(G5169,PC!B:D,3,FALSE)</f>
        <v>CPV</v>
      </c>
      <c r="C5169" s="22">
        <v>2024</v>
      </c>
      <c r="D5169" t="s">
        <v>84</v>
      </c>
      <c r="E5169" t="s">
        <v>129</v>
      </c>
      <c r="F5169" t="str">
        <f>VLOOKUP(G5169,PC!B:D,2,FALSE)</f>
        <v>BEBIDAS</v>
      </c>
      <c r="G5169" s="4" t="s">
        <v>46</v>
      </c>
      <c r="H5169" s="1">
        <v>303</v>
      </c>
    </row>
    <row r="5170" spans="2:8" x14ac:dyDescent="0.2">
      <c r="B5170" t="str">
        <f>VLOOKUP(G5170,PC!B:D,3,FALSE)</f>
        <v>CPV</v>
      </c>
      <c r="C5170" s="22">
        <v>2024</v>
      </c>
      <c r="D5170" t="s">
        <v>84</v>
      </c>
      <c r="E5170" t="s">
        <v>129</v>
      </c>
      <c r="F5170" t="str">
        <f>VLOOKUP(G5170,PC!B:D,2,FALSE)</f>
        <v>COMIDA</v>
      </c>
      <c r="G5170" s="4" t="s">
        <v>33</v>
      </c>
      <c r="H5170" s="1">
        <v>60</v>
      </c>
    </row>
    <row r="5171" spans="2:8" x14ac:dyDescent="0.2">
      <c r="B5171" t="str">
        <f>VLOOKUP(G5171,PC!B:D,3,FALSE)</f>
        <v>SERV. PUBLICOS</v>
      </c>
      <c r="C5171" s="22">
        <v>2024</v>
      </c>
      <c r="D5171" t="s">
        <v>84</v>
      </c>
      <c r="F5171" t="str">
        <f>VLOOKUP(G5171,PC!B:D,2,FALSE)</f>
        <v>SERV. PUBLICOS</v>
      </c>
      <c r="G5171" s="4" t="s">
        <v>91</v>
      </c>
      <c r="H5171" s="1">
        <v>45.72</v>
      </c>
    </row>
    <row r="5172" spans="2:8" x14ac:dyDescent="0.2">
      <c r="B5172" t="str">
        <f>VLOOKUP(G5172,PC!B:D,3,FALSE)</f>
        <v>DESPESA PESSOAL</v>
      </c>
      <c r="C5172" s="22">
        <v>2024</v>
      </c>
      <c r="D5172" t="s">
        <v>84</v>
      </c>
      <c r="F5172" t="str">
        <f>VLOOKUP(G5172,PC!B:D,2,FALSE)</f>
        <v>DESPESA PESSOAL</v>
      </c>
      <c r="G5172" s="4" t="s">
        <v>68</v>
      </c>
      <c r="H5172" s="1">
        <v>193.15</v>
      </c>
    </row>
    <row r="5173" spans="2:8" x14ac:dyDescent="0.2">
      <c r="B5173" t="str">
        <f>VLOOKUP(G5173,PC!B:D,3,FALSE)</f>
        <v>CPV</v>
      </c>
      <c r="C5173" s="22">
        <v>2024</v>
      </c>
      <c r="D5173" t="s">
        <v>84</v>
      </c>
      <c r="E5173" t="s">
        <v>129</v>
      </c>
      <c r="F5173" t="str">
        <f>VLOOKUP(G5173,PC!B:D,2,FALSE)</f>
        <v>SOBREMESA</v>
      </c>
      <c r="G5173" s="4" t="s">
        <v>7</v>
      </c>
      <c r="H5173" s="1">
        <v>113.2</v>
      </c>
    </row>
    <row r="5174" spans="2:8" x14ac:dyDescent="0.2">
      <c r="B5174" t="str">
        <f>VLOOKUP(G5174,PC!B:D,3,FALSE)</f>
        <v>CPV</v>
      </c>
      <c r="C5174" s="22">
        <v>2024</v>
      </c>
      <c r="D5174" t="s">
        <v>84</v>
      </c>
      <c r="E5174" t="s">
        <v>129</v>
      </c>
      <c r="F5174" t="str">
        <f>VLOOKUP(G5174,PC!B:D,2,FALSE)</f>
        <v>COMIDA</v>
      </c>
      <c r="G5174" s="4" t="s">
        <v>155</v>
      </c>
      <c r="H5174" s="1">
        <v>480</v>
      </c>
    </row>
    <row r="5175" spans="2:8" x14ac:dyDescent="0.2">
      <c r="B5175" t="str">
        <f>VLOOKUP(G5175,PC!B:D,3,FALSE)</f>
        <v>CPV</v>
      </c>
      <c r="C5175" s="22">
        <v>2024</v>
      </c>
      <c r="D5175" t="s">
        <v>84</v>
      </c>
      <c r="E5175" t="s">
        <v>129</v>
      </c>
      <c r="F5175" t="str">
        <f>VLOOKUP(G5175,PC!B:D,2,FALSE)</f>
        <v>COMIDA</v>
      </c>
      <c r="G5175" s="4" t="s">
        <v>155</v>
      </c>
      <c r="H5175" s="1">
        <v>345</v>
      </c>
    </row>
    <row r="5176" spans="2:8" x14ac:dyDescent="0.2">
      <c r="B5176" t="str">
        <f>VLOOKUP(G5176,PC!B:D,3,FALSE)</f>
        <v>CPV</v>
      </c>
      <c r="C5176" s="22">
        <v>2024</v>
      </c>
      <c r="D5176" t="s">
        <v>84</v>
      </c>
      <c r="E5176" t="s">
        <v>129</v>
      </c>
      <c r="F5176" t="str">
        <f>VLOOKUP(G5176,PC!B:D,2,FALSE)</f>
        <v>OUTROS</v>
      </c>
      <c r="G5176" s="4" t="s">
        <v>58</v>
      </c>
      <c r="H5176" s="1">
        <v>192</v>
      </c>
    </row>
    <row r="5177" spans="2:8" x14ac:dyDescent="0.2">
      <c r="B5177" t="str">
        <f>VLOOKUP(G5177,PC!B:D,3,FALSE)</f>
        <v>CPV</v>
      </c>
      <c r="C5177" s="22">
        <v>2024</v>
      </c>
      <c r="D5177" t="s">
        <v>84</v>
      </c>
      <c r="E5177" t="s">
        <v>129</v>
      </c>
      <c r="F5177" t="str">
        <f>VLOOKUP(G5177,PC!B:D,2,FALSE)</f>
        <v>COMIDA</v>
      </c>
      <c r="G5177" s="4" t="s">
        <v>146</v>
      </c>
      <c r="H5177" s="1">
        <v>110</v>
      </c>
    </row>
    <row r="5178" spans="2:8" x14ac:dyDescent="0.2">
      <c r="B5178" t="str">
        <f>VLOOKUP(G5178,PC!B:D,3,FALSE)</f>
        <v>CPV</v>
      </c>
      <c r="C5178" s="22">
        <v>2024</v>
      </c>
      <c r="D5178" t="s">
        <v>84</v>
      </c>
      <c r="E5178" t="s">
        <v>129</v>
      </c>
      <c r="F5178" t="str">
        <f>VLOOKUP(G5178,PC!B:D,2,FALSE)</f>
        <v>CIGARRO</v>
      </c>
      <c r="G5178" s="4" t="s">
        <v>57</v>
      </c>
      <c r="H5178" s="1">
        <f>406-H5177</f>
        <v>296</v>
      </c>
    </row>
    <row r="5179" spans="2:8" x14ac:dyDescent="0.2">
      <c r="B5179" t="str">
        <f>VLOOKUP(G5179,PC!B:D,3,FALSE)</f>
        <v>CPV</v>
      </c>
      <c r="C5179" s="22">
        <v>2024</v>
      </c>
      <c r="D5179" t="s">
        <v>84</v>
      </c>
      <c r="E5179" t="s">
        <v>129</v>
      </c>
      <c r="F5179" t="str">
        <f>VLOOKUP(G5179,PC!B:D,2,FALSE)</f>
        <v>COMIDA</v>
      </c>
      <c r="G5179" s="4" t="s">
        <v>33</v>
      </c>
      <c r="H5179" s="1">
        <v>60</v>
      </c>
    </row>
    <row r="5180" spans="2:8" x14ac:dyDescent="0.2">
      <c r="B5180" t="str">
        <f>VLOOKUP(G5180,PC!B:D,3,FALSE)</f>
        <v>CPV</v>
      </c>
      <c r="C5180" s="22">
        <v>2024</v>
      </c>
      <c r="D5180" t="s">
        <v>84</v>
      </c>
      <c r="E5180" t="s">
        <v>129</v>
      </c>
      <c r="F5180" t="str">
        <f>VLOOKUP(G5180,PC!B:D,2,FALSE)</f>
        <v>BEBIDAS</v>
      </c>
      <c r="G5180" s="4" t="s">
        <v>48</v>
      </c>
      <c r="H5180" s="1">
        <v>83.7</v>
      </c>
    </row>
    <row r="5181" spans="2:8" x14ac:dyDescent="0.2">
      <c r="B5181" t="str">
        <f>VLOOKUP(G5181,PC!B:D,3,FALSE)</f>
        <v>CPV</v>
      </c>
      <c r="C5181" s="22">
        <v>2024</v>
      </c>
      <c r="D5181" t="s">
        <v>84</v>
      </c>
      <c r="E5181" t="s">
        <v>129</v>
      </c>
      <c r="F5181" t="str">
        <f>VLOOKUP(G5181,PC!B:D,2,FALSE)</f>
        <v>OUTROS</v>
      </c>
      <c r="G5181" s="4" t="s">
        <v>37</v>
      </c>
      <c r="H5181" s="1">
        <v>549.59</v>
      </c>
    </row>
    <row r="5182" spans="2:8" x14ac:dyDescent="0.2">
      <c r="B5182" t="str">
        <f>VLOOKUP(G5182,PC!B:D,3,FALSE)</f>
        <v>CPV</v>
      </c>
      <c r="C5182" s="22">
        <v>2024</v>
      </c>
      <c r="D5182" t="s">
        <v>84</v>
      </c>
      <c r="E5182" t="s">
        <v>129</v>
      </c>
      <c r="F5182" t="str">
        <f>VLOOKUP(G5182,PC!B:D,2,FALSE)</f>
        <v>CIGARRO</v>
      </c>
      <c r="G5182" s="4" t="s">
        <v>57</v>
      </c>
      <c r="H5182" s="1">
        <v>1115</v>
      </c>
    </row>
    <row r="5183" spans="2:8" x14ac:dyDescent="0.2">
      <c r="B5183" t="str">
        <f>VLOOKUP(G5183,PC!B:D,3,FALSE)</f>
        <v>CPV</v>
      </c>
      <c r="C5183" s="22">
        <v>2024</v>
      </c>
      <c r="D5183" t="s">
        <v>84</v>
      </c>
      <c r="E5183" t="s">
        <v>129</v>
      </c>
      <c r="F5183" t="str">
        <f>VLOOKUP(G5183,PC!B:D,2,FALSE)</f>
        <v>SOBREMESA</v>
      </c>
      <c r="G5183" s="4" t="s">
        <v>7</v>
      </c>
      <c r="H5183" s="1">
        <v>246</v>
      </c>
    </row>
    <row r="5184" spans="2:8" x14ac:dyDescent="0.2">
      <c r="B5184" t="str">
        <f>VLOOKUP(G5184,PC!B:D,3,FALSE)</f>
        <v>CPV</v>
      </c>
      <c r="C5184" s="22">
        <v>2024</v>
      </c>
      <c r="D5184" t="s">
        <v>84</v>
      </c>
      <c r="E5184" t="s">
        <v>129</v>
      </c>
      <c r="F5184" t="str">
        <f>VLOOKUP(G5184,PC!B:D,2,FALSE)</f>
        <v>COMIDA</v>
      </c>
      <c r="G5184" s="4" t="s">
        <v>12</v>
      </c>
      <c r="H5184" s="1">
        <v>400</v>
      </c>
    </row>
    <row r="5185" spans="2:8" x14ac:dyDescent="0.2">
      <c r="B5185" t="str">
        <f>VLOOKUP(G5185,PC!B:D,3,FALSE)</f>
        <v>CPV</v>
      </c>
      <c r="C5185" s="22">
        <v>2024</v>
      </c>
      <c r="D5185" t="s">
        <v>84</v>
      </c>
      <c r="E5185" t="s">
        <v>129</v>
      </c>
      <c r="F5185" t="str">
        <f>VLOOKUP(G5185,PC!B:D,2,FALSE)</f>
        <v>COMIDA</v>
      </c>
      <c r="G5185" s="4" t="s">
        <v>12</v>
      </c>
      <c r="H5185" s="1">
        <v>41</v>
      </c>
    </row>
    <row r="5186" spans="2:8" x14ac:dyDescent="0.2">
      <c r="B5186" t="str">
        <f>VLOOKUP(G5186,PC!B:D,3,FALSE)</f>
        <v>CPV</v>
      </c>
      <c r="C5186" s="22">
        <v>2024</v>
      </c>
      <c r="D5186" t="s">
        <v>84</v>
      </c>
      <c r="E5186" t="s">
        <v>129</v>
      </c>
      <c r="F5186" t="str">
        <f>VLOOKUP(G5186,PC!B:D,2,FALSE)</f>
        <v>SOBREMESA</v>
      </c>
      <c r="G5186" s="4" t="s">
        <v>7</v>
      </c>
      <c r="H5186" s="1">
        <f>33+33</f>
        <v>66</v>
      </c>
    </row>
    <row r="5187" spans="2:8" x14ac:dyDescent="0.2">
      <c r="B5187" t="str">
        <f>VLOOKUP(G5187,PC!B:D,3,FALSE)</f>
        <v>CPV</v>
      </c>
      <c r="C5187" s="22">
        <v>2024</v>
      </c>
      <c r="D5187" t="s">
        <v>84</v>
      </c>
      <c r="E5187" t="s">
        <v>5</v>
      </c>
      <c r="F5187" t="str">
        <f>VLOOKUP(G5187,PC!B:D,2,FALSE)</f>
        <v>COMIDA</v>
      </c>
      <c r="G5187" s="4" t="s">
        <v>18</v>
      </c>
      <c r="H5187" s="1">
        <v>371.04</v>
      </c>
    </row>
    <row r="5188" spans="2:8" x14ac:dyDescent="0.2">
      <c r="B5188" t="str">
        <f>VLOOKUP(G5188,PC!B:D,3,FALSE)</f>
        <v>CPV</v>
      </c>
      <c r="C5188" s="22">
        <v>2024</v>
      </c>
      <c r="D5188" t="s">
        <v>84</v>
      </c>
      <c r="E5188" t="s">
        <v>129</v>
      </c>
      <c r="F5188" t="str">
        <f>VLOOKUP(G5188,PC!B:D,2,FALSE)</f>
        <v>COMIDA</v>
      </c>
      <c r="G5188" s="4" t="s">
        <v>12</v>
      </c>
      <c r="H5188" s="1">
        <v>140</v>
      </c>
    </row>
    <row r="5189" spans="2:8" x14ac:dyDescent="0.2">
      <c r="B5189" t="str">
        <f>VLOOKUP(G5189,PC!B:D,3,FALSE)</f>
        <v>CPV</v>
      </c>
      <c r="C5189" s="22">
        <v>2024</v>
      </c>
      <c r="D5189" t="s">
        <v>84</v>
      </c>
      <c r="E5189" t="s">
        <v>129</v>
      </c>
      <c r="F5189" t="str">
        <f>VLOOKUP(G5189,PC!B:D,2,FALSE)</f>
        <v>SOBREMESA</v>
      </c>
      <c r="G5189" s="4" t="s">
        <v>7</v>
      </c>
      <c r="H5189" s="1">
        <v>87</v>
      </c>
    </row>
    <row r="5190" spans="2:8" x14ac:dyDescent="0.2">
      <c r="B5190" t="str">
        <f>VLOOKUP(G5190,PC!B:D,3,FALSE)</f>
        <v>CPV</v>
      </c>
      <c r="C5190" s="22">
        <v>2024</v>
      </c>
      <c r="D5190" t="s">
        <v>84</v>
      </c>
      <c r="E5190" t="s">
        <v>129</v>
      </c>
      <c r="F5190" t="str">
        <f>VLOOKUP(G5190,PC!B:D,2,FALSE)</f>
        <v>BEBIDAS</v>
      </c>
      <c r="G5190" s="4" t="s">
        <v>46</v>
      </c>
      <c r="H5190" s="1">
        <v>168.8</v>
      </c>
    </row>
    <row r="5191" spans="2:8" x14ac:dyDescent="0.2">
      <c r="B5191" t="str">
        <f>VLOOKUP(G5191,PC!B:D,3,FALSE)</f>
        <v>CPV</v>
      </c>
      <c r="C5191" s="22">
        <v>2024</v>
      </c>
      <c r="D5191" t="s">
        <v>84</v>
      </c>
      <c r="E5191" t="s">
        <v>129</v>
      </c>
      <c r="F5191" t="str">
        <f>VLOOKUP(G5191,PC!B:D,2,FALSE)</f>
        <v>CIGARRO</v>
      </c>
      <c r="G5191" s="4" t="s">
        <v>57</v>
      </c>
      <c r="H5191" s="1">
        <v>713.4</v>
      </c>
    </row>
    <row r="5192" spans="2:8" x14ac:dyDescent="0.2">
      <c r="B5192" t="str">
        <f>VLOOKUP(G5192,PC!B:D,3,FALSE)</f>
        <v>CPV</v>
      </c>
      <c r="C5192" s="22">
        <v>2024</v>
      </c>
      <c r="D5192" t="s">
        <v>84</v>
      </c>
      <c r="E5192" t="s">
        <v>129</v>
      </c>
      <c r="F5192" t="str">
        <f>VLOOKUP(G5192,PC!B:D,2,FALSE)</f>
        <v>OUTROS</v>
      </c>
      <c r="G5192" s="4" t="s">
        <v>37</v>
      </c>
      <c r="H5192" s="1">
        <v>662.52</v>
      </c>
    </row>
    <row r="5193" spans="2:8" x14ac:dyDescent="0.2">
      <c r="B5193" t="str">
        <f>VLOOKUP(G5193,PC!B:D,3,FALSE)</f>
        <v>CPV</v>
      </c>
      <c r="C5193" s="22">
        <v>2024</v>
      </c>
      <c r="D5193" t="s">
        <v>84</v>
      </c>
      <c r="F5193" t="str">
        <f>VLOOKUP(G5193,PC!B:D,2,FALSE)</f>
        <v>SOBREMESA</v>
      </c>
      <c r="G5193" s="4" t="s">
        <v>75</v>
      </c>
      <c r="H5193" s="1">
        <v>1768</v>
      </c>
    </row>
    <row r="5194" spans="2:8" x14ac:dyDescent="0.2">
      <c r="B5194" t="str">
        <f>VLOOKUP(G5194,PC!B:D,3,FALSE)</f>
        <v>SERV.TERCEIROS</v>
      </c>
      <c r="C5194" s="22">
        <v>2024</v>
      </c>
      <c r="D5194" t="s">
        <v>84</v>
      </c>
      <c r="F5194" t="str">
        <f>VLOOKUP(G5194,PC!B:D,2,FALSE)</f>
        <v>SERV.TERCEIROS</v>
      </c>
      <c r="G5194" s="4" t="s">
        <v>60</v>
      </c>
      <c r="H5194" s="1">
        <v>450</v>
      </c>
    </row>
    <row r="5195" spans="2:8" x14ac:dyDescent="0.2">
      <c r="B5195" t="str">
        <f>VLOOKUP(G5195,PC!B:D,3,FALSE)</f>
        <v>DESCONTO DE FATURAMENTO</v>
      </c>
      <c r="C5195" s="22">
        <v>2024</v>
      </c>
      <c r="D5195" t="s">
        <v>74</v>
      </c>
      <c r="F5195" t="str">
        <f>VLOOKUP(G5195,PC!B:D,2,FALSE)</f>
        <v>IMPOSTO</v>
      </c>
      <c r="G5195" s="4" t="s">
        <v>88</v>
      </c>
      <c r="H5195" s="1">
        <v>4549.68</v>
      </c>
    </row>
    <row r="5196" spans="2:8" x14ac:dyDescent="0.2">
      <c r="B5196" t="str">
        <f>VLOOKUP(G5196,PC!B:D,3,FALSE)</f>
        <v>DESPESA FINANCEIRA</v>
      </c>
      <c r="C5196" s="22">
        <v>2024</v>
      </c>
      <c r="D5196" t="s">
        <v>74</v>
      </c>
      <c r="F5196" t="str">
        <f>VLOOKUP(G5196,PC!B:D,2,FALSE)</f>
        <v>DESPESA FINANCEIRA</v>
      </c>
      <c r="G5196" s="4" t="s">
        <v>90</v>
      </c>
      <c r="H5196" s="1">
        <v>757.81</v>
      </c>
    </row>
    <row r="5197" spans="2:8" x14ac:dyDescent="0.2">
      <c r="B5197" t="str">
        <f>VLOOKUP(G5197,PC!B:D,3,FALSE)</f>
        <v>DESPESA PESSOAL</v>
      </c>
      <c r="C5197" s="22">
        <v>2024</v>
      </c>
      <c r="D5197" t="s">
        <v>84</v>
      </c>
      <c r="F5197" t="str">
        <f>VLOOKUP(G5197,PC!B:D,2,FALSE)</f>
        <v>DESPESA PESSOAL</v>
      </c>
      <c r="G5197" s="4" t="s">
        <v>115</v>
      </c>
      <c r="H5197" s="1">
        <v>135.15</v>
      </c>
    </row>
    <row r="5198" spans="2:8" x14ac:dyDescent="0.2">
      <c r="B5198" t="e">
        <f>VLOOKUP(G5198,PC!B:D,3,FALSE)</f>
        <v>#N/A</v>
      </c>
      <c r="C5198" s="22">
        <v>2024</v>
      </c>
      <c r="D5198" t="s">
        <v>84</v>
      </c>
      <c r="F5198" t="e">
        <f>VLOOKUP(G5198,PC!B:D,2,FALSE)</f>
        <v>#N/A</v>
      </c>
      <c r="G5198" s="4" t="s">
        <v>157</v>
      </c>
      <c r="H5198" s="1">
        <v>160.52000000000001</v>
      </c>
    </row>
    <row r="5199" spans="2:8" x14ac:dyDescent="0.2">
      <c r="B5199" t="str">
        <f>VLOOKUP(G5199,PC!B:D,3,FALSE)</f>
        <v>CPV</v>
      </c>
      <c r="C5199" s="22">
        <v>2024</v>
      </c>
      <c r="D5199" t="s">
        <v>84</v>
      </c>
      <c r="E5199" t="s">
        <v>129</v>
      </c>
      <c r="F5199" t="str">
        <f>VLOOKUP(G5199,PC!B:D,2,FALSE)</f>
        <v>OUTROS</v>
      </c>
      <c r="G5199" s="4" t="s">
        <v>149</v>
      </c>
      <c r="H5199" s="1">
        <v>480</v>
      </c>
    </row>
    <row r="5200" spans="2:8" x14ac:dyDescent="0.2">
      <c r="B5200" t="str">
        <f>VLOOKUP(G5200,PC!B:D,3,FALSE)</f>
        <v>CPV</v>
      </c>
      <c r="C5200" s="22">
        <v>2024</v>
      </c>
      <c r="D5200" t="s">
        <v>84</v>
      </c>
      <c r="E5200" t="s">
        <v>129</v>
      </c>
      <c r="F5200" t="str">
        <f>VLOOKUP(G5200,PC!B:D,2,FALSE)</f>
        <v>BEBIDAS</v>
      </c>
      <c r="G5200" s="4" t="s">
        <v>48</v>
      </c>
      <c r="H5200" s="1">
        <v>456</v>
      </c>
    </row>
    <row r="5201" spans="2:8" x14ac:dyDescent="0.2">
      <c r="B5201" t="str">
        <f>VLOOKUP(G5201,PC!B:D,3,FALSE)</f>
        <v>DESPESA PESSOAL</v>
      </c>
      <c r="C5201" s="22">
        <v>2024</v>
      </c>
      <c r="D5201" t="s">
        <v>74</v>
      </c>
      <c r="E5201" t="s">
        <v>129</v>
      </c>
      <c r="F5201" t="str">
        <f>VLOOKUP(G5201,PC!B:D,2,FALSE)</f>
        <v>DESPESA PESSOAL</v>
      </c>
      <c r="G5201" s="4" t="s">
        <v>56</v>
      </c>
      <c r="H5201" s="1">
        <v>1233.5999999999999</v>
      </c>
    </row>
    <row r="5202" spans="2:8" x14ac:dyDescent="0.2">
      <c r="B5202" t="str">
        <f>VLOOKUP(G5202,PC!B:D,3,FALSE)</f>
        <v>CPV</v>
      </c>
      <c r="C5202" s="22">
        <v>2024</v>
      </c>
      <c r="D5202" t="s">
        <v>84</v>
      </c>
      <c r="E5202" t="s">
        <v>129</v>
      </c>
      <c r="F5202" t="str">
        <f>VLOOKUP(G5202,PC!B:D,2,FALSE)</f>
        <v>COMIDA</v>
      </c>
      <c r="G5202" s="4" t="s">
        <v>22</v>
      </c>
      <c r="H5202" s="1">
        <v>102.4</v>
      </c>
    </row>
    <row r="5203" spans="2:8" x14ac:dyDescent="0.2">
      <c r="B5203" t="str">
        <f>VLOOKUP(G5203,PC!B:D,3,FALSE)</f>
        <v>CPV</v>
      </c>
      <c r="C5203" s="22">
        <v>2024</v>
      </c>
      <c r="D5203" t="s">
        <v>84</v>
      </c>
      <c r="E5203" t="s">
        <v>129</v>
      </c>
      <c r="F5203" t="str">
        <f>VLOOKUP(G5203,PC!B:D,2,FALSE)</f>
        <v>SOBREMESA</v>
      </c>
      <c r="G5203" s="4" t="s">
        <v>7</v>
      </c>
      <c r="H5203" s="1">
        <v>264</v>
      </c>
    </row>
    <row r="5204" spans="2:8" x14ac:dyDescent="0.2">
      <c r="B5204" t="str">
        <f>VLOOKUP(G5204,PC!B:D,3,FALSE)</f>
        <v>CPV</v>
      </c>
      <c r="C5204" s="22">
        <v>2024</v>
      </c>
      <c r="D5204" t="s">
        <v>84</v>
      </c>
      <c r="E5204" t="s">
        <v>129</v>
      </c>
      <c r="F5204" t="str">
        <f>VLOOKUP(G5204,PC!B:D,2,FALSE)</f>
        <v>COMIDA</v>
      </c>
      <c r="G5204" s="4" t="s">
        <v>155</v>
      </c>
      <c r="H5204" s="1">
        <v>430</v>
      </c>
    </row>
    <row r="5205" spans="2:8" x14ac:dyDescent="0.2">
      <c r="B5205" t="str">
        <f>VLOOKUP(G5205,PC!B:D,3,FALSE)</f>
        <v>CPV</v>
      </c>
      <c r="C5205" s="22">
        <v>2024</v>
      </c>
      <c r="D5205" t="s">
        <v>84</v>
      </c>
      <c r="E5205" t="s">
        <v>129</v>
      </c>
      <c r="F5205" t="str">
        <f>VLOOKUP(G5205,PC!B:D,2,FALSE)</f>
        <v>BEBIDAS</v>
      </c>
      <c r="G5205" s="4" t="s">
        <v>51</v>
      </c>
      <c r="H5205" s="1">
        <v>304.5</v>
      </c>
    </row>
    <row r="5206" spans="2:8" x14ac:dyDescent="0.2">
      <c r="B5206" t="str">
        <f>VLOOKUP(G5206,PC!B:D,3,FALSE)</f>
        <v>CPV</v>
      </c>
      <c r="C5206" s="22">
        <v>2024</v>
      </c>
      <c r="D5206" t="s">
        <v>84</v>
      </c>
      <c r="E5206" t="s">
        <v>129</v>
      </c>
      <c r="F5206" t="str">
        <f>VLOOKUP(G5206,PC!B:D,2,FALSE)</f>
        <v>SOBREMESA</v>
      </c>
      <c r="G5206" s="4" t="s">
        <v>7</v>
      </c>
      <c r="H5206" s="1">
        <v>70</v>
      </c>
    </row>
    <row r="5207" spans="2:8" x14ac:dyDescent="0.2">
      <c r="B5207" t="str">
        <f>VLOOKUP(G5207,PC!B:D,3,FALSE)</f>
        <v>CPV</v>
      </c>
      <c r="C5207" s="22">
        <v>2024</v>
      </c>
      <c r="D5207" t="s">
        <v>84</v>
      </c>
      <c r="E5207" t="s">
        <v>129</v>
      </c>
      <c r="F5207" t="str">
        <f>VLOOKUP(G5207,PC!B:D,2,FALSE)</f>
        <v>CIGARRO</v>
      </c>
      <c r="G5207" s="4" t="s">
        <v>57</v>
      </c>
      <c r="H5207" s="1">
        <v>990</v>
      </c>
    </row>
    <row r="5208" spans="2:8" x14ac:dyDescent="0.2">
      <c r="B5208" t="str">
        <f>VLOOKUP(G5208,PC!B:D,3,FALSE)</f>
        <v>CPV</v>
      </c>
      <c r="C5208" s="22">
        <v>2024</v>
      </c>
      <c r="D5208" t="s">
        <v>84</v>
      </c>
      <c r="E5208" t="s">
        <v>129</v>
      </c>
      <c r="F5208" t="str">
        <f>VLOOKUP(G5208,PC!B:D,2,FALSE)</f>
        <v>COMIDA</v>
      </c>
      <c r="G5208" s="4" t="s">
        <v>146</v>
      </c>
      <c r="H5208" s="1">
        <v>73.260000000000005</v>
      </c>
    </row>
    <row r="5209" spans="2:8" x14ac:dyDescent="0.2">
      <c r="B5209" t="str">
        <f>VLOOKUP(G5209,PC!B:D,3,FALSE)</f>
        <v>CPV</v>
      </c>
      <c r="C5209" s="22">
        <v>2024</v>
      </c>
      <c r="D5209" t="s">
        <v>84</v>
      </c>
      <c r="E5209" t="s">
        <v>129</v>
      </c>
      <c r="F5209" t="str">
        <f>VLOOKUP(G5209,PC!B:D,2,FALSE)</f>
        <v>OUTROS</v>
      </c>
      <c r="G5209" s="4" t="s">
        <v>37</v>
      </c>
      <c r="H5209" s="1">
        <v>690.57</v>
      </c>
    </row>
    <row r="5210" spans="2:8" x14ac:dyDescent="0.2">
      <c r="B5210" t="str">
        <f>VLOOKUP(G5210,PC!B:D,3,FALSE)</f>
        <v>CPV</v>
      </c>
      <c r="C5210" s="22">
        <v>2024</v>
      </c>
      <c r="D5210" t="s">
        <v>84</v>
      </c>
      <c r="E5210" t="s">
        <v>129</v>
      </c>
      <c r="F5210" t="str">
        <f>VLOOKUP(G5210,PC!B:D,2,FALSE)</f>
        <v>OUTROS</v>
      </c>
      <c r="G5210" s="4" t="s">
        <v>58</v>
      </c>
      <c r="H5210" s="1">
        <v>192</v>
      </c>
    </row>
    <row r="5211" spans="2:8" x14ac:dyDescent="0.2">
      <c r="B5211" t="str">
        <f>VLOOKUP(G5211,PC!B:D,3,FALSE)</f>
        <v>CPV</v>
      </c>
      <c r="C5211" s="22">
        <v>2024</v>
      </c>
      <c r="D5211" t="s">
        <v>84</v>
      </c>
      <c r="E5211" t="s">
        <v>129</v>
      </c>
      <c r="F5211" t="str">
        <f>VLOOKUP(G5211,PC!B:D,2,FALSE)</f>
        <v>COMIDA</v>
      </c>
      <c r="G5211" s="4" t="s">
        <v>12</v>
      </c>
      <c r="H5211" s="1">
        <v>175</v>
      </c>
    </row>
    <row r="5212" spans="2:8" x14ac:dyDescent="0.2">
      <c r="B5212" t="str">
        <f>VLOOKUP(G5212,PC!B:D,3,FALSE)</f>
        <v>CPV</v>
      </c>
      <c r="C5212" s="22">
        <v>2024</v>
      </c>
      <c r="D5212" t="s">
        <v>84</v>
      </c>
      <c r="E5212" t="s">
        <v>129</v>
      </c>
      <c r="F5212" t="str">
        <f>VLOOKUP(G5212,PC!B:D,2,FALSE)</f>
        <v>SOBREMESA</v>
      </c>
      <c r="G5212" s="4" t="s">
        <v>7</v>
      </c>
      <c r="H5212" s="1">
        <v>90</v>
      </c>
    </row>
    <row r="5213" spans="2:8" x14ac:dyDescent="0.2">
      <c r="B5213" t="str">
        <f>VLOOKUP(G5213,PC!B:D,3,FALSE)</f>
        <v>CPV</v>
      </c>
      <c r="C5213" s="22">
        <v>2024</v>
      </c>
      <c r="D5213" t="s">
        <v>84</v>
      </c>
      <c r="E5213" t="s">
        <v>129</v>
      </c>
      <c r="F5213" t="str">
        <f>VLOOKUP(G5213,PC!B:D,2,FALSE)</f>
        <v>CIGARRO</v>
      </c>
      <c r="G5213" s="4" t="s">
        <v>57</v>
      </c>
      <c r="H5213" s="1">
        <v>1080</v>
      </c>
    </row>
    <row r="5214" spans="2:8" x14ac:dyDescent="0.2">
      <c r="B5214" t="str">
        <f>VLOOKUP(G5214,PC!B:D,3,FALSE)</f>
        <v>CPV</v>
      </c>
      <c r="C5214" s="22">
        <v>2024</v>
      </c>
      <c r="D5214" t="s">
        <v>84</v>
      </c>
      <c r="E5214" t="s">
        <v>129</v>
      </c>
      <c r="F5214" t="str">
        <f>VLOOKUP(G5214,PC!B:D,2,FALSE)</f>
        <v>BEBIDAS</v>
      </c>
      <c r="G5214" s="4" t="s">
        <v>46</v>
      </c>
      <c r="H5214" s="1">
        <v>28.7</v>
      </c>
    </row>
    <row r="5215" spans="2:8" x14ac:dyDescent="0.2">
      <c r="B5215" t="str">
        <f>VLOOKUP(G5215,PC!B:D,3,FALSE)</f>
        <v>CPV</v>
      </c>
      <c r="C5215" s="22">
        <v>2024</v>
      </c>
      <c r="D5215" t="s">
        <v>84</v>
      </c>
      <c r="E5215" t="s">
        <v>129</v>
      </c>
      <c r="F5215" t="str">
        <f>VLOOKUP(G5215,PC!B:D,2,FALSE)</f>
        <v>OUTROS</v>
      </c>
      <c r="G5215" s="4" t="s">
        <v>37</v>
      </c>
      <c r="H5215" s="1">
        <v>535</v>
      </c>
    </row>
    <row r="5216" spans="2:8" x14ac:dyDescent="0.2">
      <c r="B5216" t="str">
        <f>VLOOKUP(G5216,PC!B:D,3,FALSE)</f>
        <v>CPV</v>
      </c>
      <c r="C5216" s="22">
        <v>2024</v>
      </c>
      <c r="D5216" t="s">
        <v>84</v>
      </c>
      <c r="E5216" t="s">
        <v>129</v>
      </c>
      <c r="F5216" t="str">
        <f>VLOOKUP(G5216,PC!B:D,2,FALSE)</f>
        <v>SOBREMESA</v>
      </c>
      <c r="G5216" s="4" t="s">
        <v>7</v>
      </c>
      <c r="H5216" s="1">
        <v>161</v>
      </c>
    </row>
    <row r="5217" spans="2:8" x14ac:dyDescent="0.2">
      <c r="B5217" t="str">
        <f>VLOOKUP(G5217,PC!B:D,3,FALSE)</f>
        <v>SERV. PUBLICOS</v>
      </c>
      <c r="C5217" s="22">
        <v>2024</v>
      </c>
      <c r="D5217" t="s">
        <v>84</v>
      </c>
      <c r="F5217" t="str">
        <f>VLOOKUP(G5217,PC!B:D,2,FALSE)</f>
        <v>SERV. PUBLICOS</v>
      </c>
      <c r="G5217" s="4" t="s">
        <v>104</v>
      </c>
      <c r="H5217" s="1">
        <v>250</v>
      </c>
    </row>
    <row r="5218" spans="2:8" x14ac:dyDescent="0.2">
      <c r="B5218" t="str">
        <f>VLOOKUP(G5218,PC!B:D,3,FALSE)</f>
        <v>CPV</v>
      </c>
      <c r="C5218" s="22">
        <v>2024</v>
      </c>
      <c r="D5218" t="s">
        <v>84</v>
      </c>
      <c r="F5218" t="str">
        <f>VLOOKUP(G5218,PC!B:D,2,FALSE)</f>
        <v>BEBIDAS</v>
      </c>
      <c r="G5218" s="4" t="s">
        <v>48</v>
      </c>
      <c r="H5218" s="1">
        <v>456</v>
      </c>
    </row>
    <row r="5219" spans="2:8" x14ac:dyDescent="0.2">
      <c r="B5219" t="str">
        <f>VLOOKUP(G5219,PC!B:D,3,FALSE)</f>
        <v>SERV. PUBLICOS</v>
      </c>
      <c r="C5219" s="22">
        <v>2024</v>
      </c>
      <c r="D5219" t="s">
        <v>84</v>
      </c>
      <c r="F5219" t="str">
        <f>VLOOKUP(G5219,PC!B:D,2,FALSE)</f>
        <v>SERV. PUBLICOS</v>
      </c>
      <c r="G5219" s="4" t="s">
        <v>91</v>
      </c>
      <c r="H5219" s="1">
        <v>145.16999999999999</v>
      </c>
    </row>
    <row r="5220" spans="2:8" x14ac:dyDescent="0.2">
      <c r="B5220" t="str">
        <f>VLOOKUP(G5220,PC!B:D,3,FALSE)</f>
        <v>RECEITA</v>
      </c>
      <c r="C5220" s="22">
        <v>2024</v>
      </c>
      <c r="D5220" t="s">
        <v>84</v>
      </c>
      <c r="F5220" t="str">
        <f>VLOOKUP(G5220,PC!B:D,2,FALSE)</f>
        <v>RECEITA</v>
      </c>
      <c r="G5220" s="4" t="s">
        <v>54</v>
      </c>
      <c r="H5220" s="1">
        <f>45+160+200+148+1300+82+63+206+175+87.5+105+400+800+60+65+35+20+950+400+88+1300+466+60+59+550+210+1350+3090+1450+350+2400+1050+3000+1100+950+45+1200+220+300+1200+41+96+200+38+1300+144+36+1000+60+45+42+415+250+188+1150+45+318+59+67+350+60+1300+192+1050+140+60+900+60+350+1200+1000+54.5+3000</f>
        <v>40950</v>
      </c>
    </row>
    <row r="5221" spans="2:8" x14ac:dyDescent="0.2">
      <c r="B5221" t="str">
        <f>VLOOKUP(G5221,PC!B:D,3,FALSE)</f>
        <v>RECEITA</v>
      </c>
      <c r="C5221" s="22">
        <v>2024</v>
      </c>
      <c r="D5221" t="s">
        <v>84</v>
      </c>
      <c r="F5221" t="str">
        <f>VLOOKUP(G5221,PC!B:D,2,FALSE)</f>
        <v>RECEITA</v>
      </c>
      <c r="G5221" s="4" t="s">
        <v>54</v>
      </c>
      <c r="H5221" s="1">
        <f>450+100+52+45+350+8+30+950+45+400+40+1150+65+68+41+58+300+87+120+23+1150+79+30+22+168+371+20+1350+125+59+100+61.4+180+80+210+56+800+1550+30+16+900+350+1950+2200+50+500+500+45+1050+45+850+40+102.4+120+1000+170+100+70.6+290+700+700+73+80+30+500+1400+35.4+700+700+111.4+356+36+1100+60+800+90+350+500+500</f>
        <v>29994.200000000004</v>
      </c>
    </row>
    <row r="5222" spans="2:8" x14ac:dyDescent="0.2">
      <c r="B5222" t="str">
        <f>VLOOKUP(G5222,PC!B:D,3,FALSE)</f>
        <v>RECEITA</v>
      </c>
      <c r="C5222" s="22">
        <v>2024</v>
      </c>
      <c r="D5222" t="s">
        <v>84</v>
      </c>
      <c r="F5222" t="str">
        <f>VLOOKUP(G5222,PC!B:D,2,FALSE)</f>
        <v>RECEITA</v>
      </c>
      <c r="G5222" s="4" t="s">
        <v>54</v>
      </c>
      <c r="H5222" s="1">
        <f>18+2500+400+45+40+950+35+113.2+250+1500+58+90+175+650+600+45+30+40+50+211+15+192+38+1700</f>
        <v>9745.2000000000007</v>
      </c>
    </row>
    <row r="5223" spans="2:8" x14ac:dyDescent="0.2">
      <c r="B5223" t="str">
        <f>VLOOKUP(G5223,PC!B:D,3,FALSE)</f>
        <v>RECEITA</v>
      </c>
      <c r="C5223" s="22">
        <v>2024</v>
      </c>
      <c r="D5223" t="s">
        <v>84</v>
      </c>
      <c r="F5223" t="str">
        <f>VLOOKUP(G5223,PC!B:D,2,FALSE)</f>
        <v>RECEITA</v>
      </c>
      <c r="G5223" s="4" t="s">
        <v>137</v>
      </c>
      <c r="H5223" s="1">
        <v>53509.78</v>
      </c>
    </row>
    <row r="5224" spans="2:8" x14ac:dyDescent="0.2">
      <c r="B5224" t="str">
        <f>VLOOKUP(G5224,PC!B:D,3,FALSE)</f>
        <v>RECEITAS NÃO OPERACIONAIS</v>
      </c>
      <c r="C5224" s="22">
        <v>2024</v>
      </c>
      <c r="D5224" t="s">
        <v>84</v>
      </c>
      <c r="F5224" t="str">
        <f>VLOOKUP(G5224,PC!B:D,2,FALSE)</f>
        <v>EMPRESTIMO</v>
      </c>
      <c r="G5224" s="4" t="s">
        <v>71</v>
      </c>
      <c r="H5224" s="1">
        <v>50</v>
      </c>
    </row>
    <row r="5225" spans="2:8" x14ac:dyDescent="0.2">
      <c r="B5225" t="str">
        <f>VLOOKUP(G5225,PC!B:D,3,FALSE)</f>
        <v>DESPESA PESSOAL</v>
      </c>
      <c r="C5225" s="22">
        <v>2024</v>
      </c>
      <c r="D5225" t="s">
        <v>84</v>
      </c>
      <c r="F5225" t="str">
        <f>VLOOKUP(G5225,PC!B:D,2,FALSE)</f>
        <v>DESPESA PESSOAL</v>
      </c>
      <c r="G5225" s="4" t="s">
        <v>68</v>
      </c>
      <c r="H5225" s="1">
        <v>40</v>
      </c>
    </row>
    <row r="5226" spans="2:8" x14ac:dyDescent="0.2">
      <c r="B5226" t="e">
        <f>VLOOKUP(G5226,PC!B:D,3,FALSE)</f>
        <v>#N/A</v>
      </c>
      <c r="C5226" s="22">
        <v>2024</v>
      </c>
      <c r="D5226" t="s">
        <v>84</v>
      </c>
      <c r="F5226" t="e">
        <f>VLOOKUP(G5226,PC!B:D,2,FALSE)</f>
        <v>#N/A</v>
      </c>
      <c r="G5226" s="4" t="s">
        <v>231</v>
      </c>
      <c r="H5226" s="1">
        <v>45</v>
      </c>
    </row>
    <row r="5227" spans="2:8" x14ac:dyDescent="0.2">
      <c r="B5227" t="str">
        <f>VLOOKUP(G5227,PC!B:D,3,FALSE)</f>
        <v>DESPESA OPERACIONAL</v>
      </c>
      <c r="C5227" s="22">
        <v>2024</v>
      </c>
      <c r="D5227" t="s">
        <v>84</v>
      </c>
      <c r="F5227" t="str">
        <f>VLOOKUP(G5227,PC!B:D,2,FALSE)</f>
        <v>DESPESA OPERACIONAL</v>
      </c>
      <c r="G5227" s="4" t="s">
        <v>70</v>
      </c>
      <c r="H5227" s="1">
        <v>58</v>
      </c>
    </row>
    <row r="5228" spans="2:8" x14ac:dyDescent="0.2">
      <c r="B5228" t="str">
        <f>VLOOKUP(G5228,PC!B:D,3,FALSE)</f>
        <v>DESPESA PESSOAL</v>
      </c>
      <c r="C5228" s="22">
        <v>2024</v>
      </c>
      <c r="D5228" t="s">
        <v>84</v>
      </c>
      <c r="F5228" t="str">
        <f>VLOOKUP(G5228,PC!B:D,2,FALSE)</f>
        <v>DESPESA PESSOAL</v>
      </c>
      <c r="G5228" s="4" t="s">
        <v>56</v>
      </c>
      <c r="H5228" s="1">
        <v>350</v>
      </c>
    </row>
    <row r="5229" spans="2:8" x14ac:dyDescent="0.2">
      <c r="B5229" t="str">
        <f>VLOOKUP(G5229,PC!B:D,3,FALSE)</f>
        <v>DESPESA PESSOAL</v>
      </c>
      <c r="C5229" s="22">
        <v>2024</v>
      </c>
      <c r="D5229" t="s">
        <v>84</v>
      </c>
      <c r="F5229" t="str">
        <f>VLOOKUP(G5229,PC!B:D,2,FALSE)</f>
        <v>DESPESA PESSOAL</v>
      </c>
      <c r="G5229" s="4" t="s">
        <v>68</v>
      </c>
      <c r="H5229" s="1">
        <v>90</v>
      </c>
    </row>
    <row r="5230" spans="2:8" x14ac:dyDescent="0.2">
      <c r="B5230" t="str">
        <f>VLOOKUP(G5230,PC!B:D,3,FALSE)</f>
        <v>CPV</v>
      </c>
      <c r="C5230" s="22">
        <v>2024</v>
      </c>
      <c r="D5230" t="s">
        <v>84</v>
      </c>
      <c r="E5230" t="s">
        <v>129</v>
      </c>
      <c r="F5230" t="str">
        <f>VLOOKUP(G5230,PC!B:D,2,FALSE)</f>
        <v>COMIDA</v>
      </c>
      <c r="G5230" s="4" t="s">
        <v>12</v>
      </c>
      <c r="H5230" s="1">
        <v>36</v>
      </c>
    </row>
    <row r="5231" spans="2:8" x14ac:dyDescent="0.2">
      <c r="B5231" t="str">
        <f>VLOOKUP(G5231,PC!B:D,3,FALSE)</f>
        <v>CPV</v>
      </c>
      <c r="C5231" s="22">
        <v>2024</v>
      </c>
      <c r="D5231" t="s">
        <v>84</v>
      </c>
      <c r="E5231" t="s">
        <v>129</v>
      </c>
      <c r="F5231" t="str">
        <f>VLOOKUP(G5231,PC!B:D,2,FALSE)</f>
        <v>COMIDA</v>
      </c>
      <c r="G5231" s="4" t="s">
        <v>146</v>
      </c>
      <c r="H5231" s="1">
        <v>30</v>
      </c>
    </row>
    <row r="5232" spans="2:8" x14ac:dyDescent="0.2">
      <c r="B5232" t="str">
        <f>VLOOKUP(G5232,PC!B:D,3,FALSE)</f>
        <v>CPV</v>
      </c>
      <c r="C5232" s="22">
        <v>2024</v>
      </c>
      <c r="D5232" t="s">
        <v>84</v>
      </c>
      <c r="E5232" t="s">
        <v>129</v>
      </c>
      <c r="F5232" t="str">
        <f>VLOOKUP(G5232,PC!B:D,2,FALSE)</f>
        <v>COMIDA</v>
      </c>
      <c r="G5232" s="4" t="s">
        <v>18</v>
      </c>
      <c r="H5232" s="1">
        <v>36</v>
      </c>
    </row>
    <row r="5233" spans="2:8" x14ac:dyDescent="0.2">
      <c r="B5233" t="str">
        <f>VLOOKUP(G5233,PC!B:D,3,FALSE)</f>
        <v>CPV</v>
      </c>
      <c r="C5233" s="22">
        <v>2024</v>
      </c>
      <c r="D5233" t="s">
        <v>84</v>
      </c>
      <c r="E5233" t="s">
        <v>129</v>
      </c>
      <c r="F5233" t="str">
        <f>VLOOKUP(G5233,PC!B:D,2,FALSE)</f>
        <v>COMIDA</v>
      </c>
      <c r="G5233" s="4" t="s">
        <v>33</v>
      </c>
      <c r="H5233" s="1">
        <v>290</v>
      </c>
    </row>
    <row r="5234" spans="2:8" x14ac:dyDescent="0.2">
      <c r="B5234" t="str">
        <f>VLOOKUP(G5234,PC!B:D,3,FALSE)</f>
        <v>DESPESA OPERACIONAL</v>
      </c>
      <c r="C5234" s="22">
        <v>2024</v>
      </c>
      <c r="D5234" t="s">
        <v>84</v>
      </c>
      <c r="F5234" t="str">
        <f>VLOOKUP(G5234,PC!B:D,2,FALSE)</f>
        <v>DESPESA OPERACIONAL</v>
      </c>
      <c r="G5234" s="4" t="s">
        <v>70</v>
      </c>
      <c r="H5234" s="1">
        <v>170</v>
      </c>
    </row>
    <row r="5235" spans="2:8" x14ac:dyDescent="0.2">
      <c r="B5235" t="e">
        <f>VLOOKUP(G5235,PC!B:D,3,FALSE)</f>
        <v>#N/A</v>
      </c>
      <c r="C5235" s="22">
        <v>2024</v>
      </c>
      <c r="D5235" t="s">
        <v>84</v>
      </c>
      <c r="F5235" t="e">
        <f>VLOOKUP(G5235,PC!B:D,2,FALSE)</f>
        <v>#N/A</v>
      </c>
      <c r="G5235" s="4" t="s">
        <v>231</v>
      </c>
      <c r="H5235" s="1">
        <v>45</v>
      </c>
    </row>
    <row r="5236" spans="2:8" x14ac:dyDescent="0.2">
      <c r="B5236" t="str">
        <f>VLOOKUP(G5236,PC!B:D,3,FALSE)</f>
        <v>DESPESA PESSOAL</v>
      </c>
      <c r="C5236" s="22">
        <v>2024</v>
      </c>
      <c r="D5236" t="s">
        <v>84</v>
      </c>
      <c r="F5236" t="str">
        <f>VLOOKUP(G5236,PC!B:D,2,FALSE)</f>
        <v>DESPESA PESSOAL</v>
      </c>
      <c r="G5236" s="4" t="s">
        <v>56</v>
      </c>
      <c r="H5236" s="1">
        <v>350</v>
      </c>
    </row>
    <row r="5237" spans="2:8" x14ac:dyDescent="0.2">
      <c r="B5237" t="str">
        <f>VLOOKUP(G5237,PC!B:D,3,FALSE)</f>
        <v>DESPESA OPERACIONAL</v>
      </c>
      <c r="C5237" s="22">
        <v>2024</v>
      </c>
      <c r="D5237" t="s">
        <v>84</v>
      </c>
      <c r="F5237" t="str">
        <f>VLOOKUP(G5237,PC!B:D,2,FALSE)</f>
        <v>DESPESA OPERACIONAL</v>
      </c>
      <c r="G5237" s="4" t="s">
        <v>79</v>
      </c>
      <c r="H5237" s="1">
        <v>16</v>
      </c>
    </row>
    <row r="5238" spans="2:8" x14ac:dyDescent="0.2">
      <c r="B5238" t="str">
        <f>VLOOKUP(G5238,PC!B:D,3,FALSE)</f>
        <v>DESPESA PESSOAL</v>
      </c>
      <c r="C5238" s="22">
        <v>2024</v>
      </c>
      <c r="D5238" t="s">
        <v>84</v>
      </c>
      <c r="F5238" t="str">
        <f>VLOOKUP(G5238,PC!B:D,2,FALSE)</f>
        <v>DESPESA PESSOAL</v>
      </c>
      <c r="G5238" s="4" t="s">
        <v>68</v>
      </c>
      <c r="H5238" s="1">
        <v>30</v>
      </c>
    </row>
    <row r="5239" spans="2:8" x14ac:dyDescent="0.2">
      <c r="B5239" t="str">
        <f>VLOOKUP(G5239,PC!B:D,3,FALSE)</f>
        <v>CPV</v>
      </c>
      <c r="C5239" s="22">
        <v>2024</v>
      </c>
      <c r="D5239" t="s">
        <v>84</v>
      </c>
      <c r="F5239" t="str">
        <f>VLOOKUP(G5239,PC!B:D,2,FALSE)</f>
        <v>COMIDA</v>
      </c>
      <c r="G5239" s="4" t="s">
        <v>146</v>
      </c>
      <c r="H5239" s="1">
        <v>20</v>
      </c>
    </row>
    <row r="5240" spans="2:8" x14ac:dyDescent="0.2">
      <c r="B5240" t="str">
        <f>VLOOKUP(G5240,PC!B:D,3,FALSE)</f>
        <v>DESPESA PESSOAL</v>
      </c>
      <c r="C5240" s="22">
        <v>2024</v>
      </c>
      <c r="D5240" t="s">
        <v>84</v>
      </c>
      <c r="F5240" t="str">
        <f>VLOOKUP(G5240,PC!B:D,2,FALSE)</f>
        <v>DESPESA PESSOAL</v>
      </c>
      <c r="G5240" s="4" t="s">
        <v>68</v>
      </c>
      <c r="H5240" s="1">
        <v>30</v>
      </c>
    </row>
    <row r="5241" spans="2:8" x14ac:dyDescent="0.2">
      <c r="B5241" t="str">
        <f>VLOOKUP(G5241,PC!B:D,3,FALSE)</f>
        <v>DESPESA OPERACIONAL</v>
      </c>
      <c r="C5241" s="22">
        <v>2024</v>
      </c>
      <c r="D5241" t="s">
        <v>84</v>
      </c>
      <c r="F5241" t="str">
        <f>VLOOKUP(G5241,PC!B:D,2,FALSE)</f>
        <v>DESPESA OPERACIONAL</v>
      </c>
      <c r="G5241" s="4" t="s">
        <v>70</v>
      </c>
      <c r="H5241" s="1">
        <v>58</v>
      </c>
    </row>
    <row r="5242" spans="2:8" x14ac:dyDescent="0.2">
      <c r="B5242" t="str">
        <f>VLOOKUP(G5242,PC!B:D,3,FALSE)</f>
        <v>CPV</v>
      </c>
      <c r="C5242" s="22">
        <v>2024</v>
      </c>
      <c r="D5242" t="s">
        <v>84</v>
      </c>
      <c r="F5242" t="str">
        <f>VLOOKUP(G5242,PC!B:D,2,FALSE)</f>
        <v>OUTROS</v>
      </c>
      <c r="G5242" s="4" t="s">
        <v>37</v>
      </c>
      <c r="H5242" s="1">
        <v>68</v>
      </c>
    </row>
    <row r="5243" spans="2:8" x14ac:dyDescent="0.2">
      <c r="B5243" t="str">
        <f>VLOOKUP(G5243,PC!B:D,3,FALSE)</f>
        <v>CPV</v>
      </c>
      <c r="C5243" s="22">
        <v>2024</v>
      </c>
      <c r="D5243" t="s">
        <v>84</v>
      </c>
      <c r="E5243" t="s">
        <v>129</v>
      </c>
      <c r="F5243" t="str">
        <f>VLOOKUP(G5243,PC!B:D,2,FALSE)</f>
        <v>COMIDA</v>
      </c>
      <c r="G5243" s="4" t="s">
        <v>33</v>
      </c>
      <c r="H5243" s="1">
        <v>52</v>
      </c>
    </row>
    <row r="5244" spans="2:8" x14ac:dyDescent="0.2">
      <c r="B5244" t="str">
        <f>VLOOKUP(G5244,PC!B:D,3,FALSE)</f>
        <v>RECEITAS NÃO OPERACIONAIS</v>
      </c>
      <c r="C5244" s="22">
        <v>2024</v>
      </c>
      <c r="D5244" t="s">
        <v>84</v>
      </c>
      <c r="F5244" t="str">
        <f>VLOOKUP(G5244,PC!B:D,2,FALSE)</f>
        <v>EMPRESTIMO</v>
      </c>
      <c r="G5244" s="4" t="s">
        <v>71</v>
      </c>
      <c r="H5244" s="1">
        <v>30</v>
      </c>
    </row>
    <row r="5245" spans="2:8" x14ac:dyDescent="0.2">
      <c r="B5245" t="str">
        <f>VLOOKUP(G5245,PC!B:D,3,FALSE)</f>
        <v>RECEITAS NÃO OPERACIONAIS</v>
      </c>
      <c r="C5245" s="22">
        <v>2024</v>
      </c>
      <c r="D5245" t="s">
        <v>84</v>
      </c>
      <c r="F5245" t="str">
        <f>VLOOKUP(G5245,PC!B:D,2,FALSE)</f>
        <v>EMPRESTIMO</v>
      </c>
      <c r="G5245" s="4" t="s">
        <v>71</v>
      </c>
      <c r="H5245" s="1">
        <v>54</v>
      </c>
    </row>
    <row r="5246" spans="2:8" x14ac:dyDescent="0.2">
      <c r="B5246" t="str">
        <f>VLOOKUP(G5246,PC!B:D,3,FALSE)</f>
        <v>DESPESA PESSOAL</v>
      </c>
      <c r="C5246" s="22">
        <v>2024</v>
      </c>
      <c r="D5246" t="s">
        <v>84</v>
      </c>
      <c r="F5246" t="str">
        <f>VLOOKUP(G5246,PC!B:D,2,FALSE)</f>
        <v>DESPESA PESSOAL</v>
      </c>
      <c r="G5246" s="4" t="s">
        <v>56</v>
      </c>
      <c r="H5246" s="1">
        <v>350</v>
      </c>
    </row>
    <row r="5247" spans="2:8" x14ac:dyDescent="0.2">
      <c r="B5247" t="str">
        <f>VLOOKUP(G5247,PC!B:D,3,FALSE)</f>
        <v>CPV</v>
      </c>
      <c r="C5247" s="22">
        <v>2024</v>
      </c>
      <c r="D5247" t="s">
        <v>84</v>
      </c>
      <c r="F5247" t="str">
        <f>VLOOKUP(G5247,PC!B:D,2,FALSE)</f>
        <v>COMIDA</v>
      </c>
      <c r="G5247" s="4" t="s">
        <v>146</v>
      </c>
      <c r="H5247" s="1">
        <v>60</v>
      </c>
    </row>
    <row r="5248" spans="2:8" x14ac:dyDescent="0.2">
      <c r="B5248" t="str">
        <f>VLOOKUP(G5248,PC!B:D,3,FALSE)</f>
        <v>CPV</v>
      </c>
      <c r="C5248" s="22">
        <v>2024</v>
      </c>
      <c r="D5248" t="s">
        <v>84</v>
      </c>
      <c r="F5248" t="str">
        <f>VLOOKUP(G5248,PC!B:D,2,FALSE)</f>
        <v>COMIDA</v>
      </c>
      <c r="G5248" s="4" t="s">
        <v>146</v>
      </c>
      <c r="H5248" s="1">
        <v>42</v>
      </c>
    </row>
    <row r="5249" spans="2:8" x14ac:dyDescent="0.2">
      <c r="B5249" t="str">
        <f>VLOOKUP(G5249,PC!B:D,3,FALSE)</f>
        <v>DESPESA PESSOAL</v>
      </c>
      <c r="C5249" s="22">
        <v>2024</v>
      </c>
      <c r="D5249" t="s">
        <v>84</v>
      </c>
      <c r="F5249" t="str">
        <f>VLOOKUP(G5249,PC!B:D,2,FALSE)</f>
        <v>DESPESA PESSOAL</v>
      </c>
      <c r="G5249" s="4" t="s">
        <v>68</v>
      </c>
      <c r="H5249" s="1">
        <v>60</v>
      </c>
    </row>
    <row r="5250" spans="2:8" x14ac:dyDescent="0.2">
      <c r="B5250" t="str">
        <f>VLOOKUP(G5250,PC!B:D,3,FALSE)</f>
        <v>RECEITAS NÃO OPERACIONAIS</v>
      </c>
      <c r="C5250" s="22">
        <v>2024</v>
      </c>
      <c r="D5250" t="s">
        <v>84</v>
      </c>
      <c r="F5250" t="str">
        <f>VLOOKUP(G5250,PC!B:D,2,FALSE)</f>
        <v>EMPRESTIMO</v>
      </c>
      <c r="G5250" s="4" t="s">
        <v>71</v>
      </c>
      <c r="H5250" s="1">
        <v>36</v>
      </c>
    </row>
    <row r="5251" spans="2:8" x14ac:dyDescent="0.2">
      <c r="B5251" t="str">
        <f>VLOOKUP(G5251,PC!B:D,3,FALSE)</f>
        <v>DESPESA OPERACIONAL</v>
      </c>
      <c r="C5251" s="22">
        <v>2024</v>
      </c>
      <c r="D5251" t="s">
        <v>84</v>
      </c>
      <c r="F5251" t="str">
        <f>VLOOKUP(G5251,PC!B:D,2,FALSE)</f>
        <v>DESPESA OPERACIONAL</v>
      </c>
      <c r="G5251" s="4" t="s">
        <v>70</v>
      </c>
      <c r="H5251" s="1">
        <v>96</v>
      </c>
    </row>
    <row r="5252" spans="2:8" x14ac:dyDescent="0.2">
      <c r="B5252" t="str">
        <f>VLOOKUP(G5252,PC!B:D,3,FALSE)</f>
        <v>DESPESA PESSOAL</v>
      </c>
      <c r="C5252" s="22">
        <v>2024</v>
      </c>
      <c r="D5252" t="s">
        <v>84</v>
      </c>
      <c r="F5252" t="str">
        <f>VLOOKUP(G5252,PC!B:D,2,FALSE)</f>
        <v>DESPESA PESSOAL</v>
      </c>
      <c r="G5252" s="4" t="s">
        <v>56</v>
      </c>
      <c r="H5252" s="1">
        <v>350</v>
      </c>
    </row>
    <row r="5253" spans="2:8" x14ac:dyDescent="0.2">
      <c r="B5253" t="str">
        <f>VLOOKUP(G5253,PC!B:D,3,FALSE)</f>
        <v>DESPESA PESSOAL</v>
      </c>
      <c r="C5253" s="22">
        <v>2024</v>
      </c>
      <c r="D5253" t="s">
        <v>84</v>
      </c>
      <c r="F5253" t="str">
        <f>VLOOKUP(G5253,PC!B:D,2,FALSE)</f>
        <v>DESPESA PESSOAL</v>
      </c>
      <c r="G5253" s="4" t="s">
        <v>68</v>
      </c>
      <c r="H5253" s="1">
        <v>60</v>
      </c>
    </row>
    <row r="5254" spans="2:8" x14ac:dyDescent="0.2">
      <c r="B5254" t="str">
        <f>VLOOKUP(G5254,PC!B:D,3,FALSE)</f>
        <v>DESPESA PESSOAL</v>
      </c>
      <c r="C5254" s="22">
        <v>2024</v>
      </c>
      <c r="D5254" t="s">
        <v>84</v>
      </c>
      <c r="F5254" t="str">
        <f>VLOOKUP(G5254,PC!B:D,2,FALSE)</f>
        <v>DESPESA PESSOAL</v>
      </c>
      <c r="G5254" s="4" t="s">
        <v>56</v>
      </c>
      <c r="H5254" s="1">
        <f>4*450</f>
        <v>1800</v>
      </c>
    </row>
    <row r="5255" spans="2:8" x14ac:dyDescent="0.2">
      <c r="B5255" t="str">
        <f>VLOOKUP(G5255,PC!B:D,3,FALSE)</f>
        <v>DESPESA PESSOAL</v>
      </c>
      <c r="C5255" s="22">
        <v>2024</v>
      </c>
      <c r="D5255" t="s">
        <v>84</v>
      </c>
      <c r="F5255" t="str">
        <f>VLOOKUP(G5255,PC!B:D,2,FALSE)</f>
        <v>DESPESA PESSOAL</v>
      </c>
      <c r="G5255" s="4" t="s">
        <v>124</v>
      </c>
      <c r="H5255" s="1">
        <v>2400</v>
      </c>
    </row>
    <row r="5256" spans="2:8" x14ac:dyDescent="0.2">
      <c r="B5256" t="str">
        <f>VLOOKUP(G5256,PC!B:D,3,FALSE)</f>
        <v>RECEITA</v>
      </c>
      <c r="C5256" s="22">
        <v>2024</v>
      </c>
      <c r="D5256" t="s">
        <v>94</v>
      </c>
      <c r="F5256" t="str">
        <f>VLOOKUP(G5256,PC!B:D,2,FALSE)</f>
        <v>RECEITA</v>
      </c>
      <c r="G5256" s="4" t="s">
        <v>54</v>
      </c>
      <c r="H5256" s="1">
        <f>99.5+700+153+55.1+30+42+1500+75+1300+31+40+950+350+1000+1000</f>
        <v>7325.6</v>
      </c>
    </row>
    <row r="5257" spans="2:8" x14ac:dyDescent="0.2">
      <c r="B5257" t="str">
        <f>VLOOKUP(G5257,PC!B:D,3,FALSE)</f>
        <v>DESPESA PESSOAL</v>
      </c>
      <c r="C5257" s="22">
        <v>2024</v>
      </c>
      <c r="D5257" t="s">
        <v>94</v>
      </c>
      <c r="F5257" t="str">
        <f>VLOOKUP(G5257,PC!B:D,2,FALSE)</f>
        <v>DESPESA PESSOAL</v>
      </c>
      <c r="G5257" s="4" t="s">
        <v>56</v>
      </c>
      <c r="H5257" s="1">
        <v>350</v>
      </c>
    </row>
    <row r="5258" spans="2:8" x14ac:dyDescent="0.2">
      <c r="B5258" t="str">
        <f>VLOOKUP(G5258,PC!B:D,3,FALSE)</f>
        <v>DESPESA OPERACIONAL</v>
      </c>
      <c r="C5258" s="22">
        <v>2024</v>
      </c>
      <c r="D5258" t="s">
        <v>94</v>
      </c>
      <c r="F5258" t="str">
        <f>VLOOKUP(G5258,PC!B:D,2,FALSE)</f>
        <v>DESPESA OPERACIONAL</v>
      </c>
      <c r="G5258" s="4" t="s">
        <v>79</v>
      </c>
      <c r="H5258" s="1">
        <v>31</v>
      </c>
    </row>
    <row r="5259" spans="2:8" x14ac:dyDescent="0.2">
      <c r="B5259" t="str">
        <f>VLOOKUP(G5259,PC!B:D,3,FALSE)</f>
        <v>CPV</v>
      </c>
      <c r="C5259" s="22">
        <v>2024</v>
      </c>
      <c r="D5259" t="s">
        <v>94</v>
      </c>
      <c r="F5259" t="str">
        <f>VLOOKUP(G5259,PC!B:D,2,FALSE)</f>
        <v>COMIDA</v>
      </c>
      <c r="G5259" s="4" t="s">
        <v>12</v>
      </c>
      <c r="H5259" s="1">
        <v>30</v>
      </c>
    </row>
    <row r="5260" spans="2:8" x14ac:dyDescent="0.2">
      <c r="B5260" t="str">
        <f>VLOOKUP(G5260,PC!B:D,3,FALSE)</f>
        <v>RECEITA</v>
      </c>
      <c r="C5260" s="22">
        <v>2024</v>
      </c>
      <c r="D5260" t="s">
        <v>94</v>
      </c>
      <c r="F5260" t="str">
        <f>VLOOKUP(G5260,PC!B:D,2,FALSE)</f>
        <v>RECEITA</v>
      </c>
      <c r="G5260" s="4" t="s">
        <v>54</v>
      </c>
      <c r="H5260" s="1">
        <f>11+2000+80+500+832+45+1150+3090+100+300+50+900+300+100+1750+128+105+45+25+1600+200+80+600+1150+50+20</f>
        <v>15211</v>
      </c>
    </row>
    <row r="5261" spans="2:8" x14ac:dyDescent="0.2">
      <c r="B5261" t="str">
        <f>VLOOKUP(G5261,PC!B:D,3,FALSE)</f>
        <v>DESPESA PESSOAL</v>
      </c>
      <c r="C5261" s="22">
        <v>2024</v>
      </c>
      <c r="D5261" t="s">
        <v>94</v>
      </c>
      <c r="F5261" t="str">
        <f>VLOOKUP(G5261,PC!B:D,2,FALSE)</f>
        <v>DESPESA PESSOAL</v>
      </c>
      <c r="G5261" s="4" t="s">
        <v>68</v>
      </c>
      <c r="H5261" s="1">
        <v>50</v>
      </c>
    </row>
    <row r="5262" spans="2:8" x14ac:dyDescent="0.2">
      <c r="B5262" t="str">
        <f>VLOOKUP(G5262,PC!B:D,3,FALSE)</f>
        <v>RECEITAS NÃO OPERACIONAIS</v>
      </c>
      <c r="C5262" s="22">
        <v>2024</v>
      </c>
      <c r="D5262" t="s">
        <v>94</v>
      </c>
      <c r="F5262" t="str">
        <f>VLOOKUP(G5262,PC!B:D,2,FALSE)</f>
        <v>EMPRESTIMO</v>
      </c>
      <c r="G5262" s="4" t="s">
        <v>71</v>
      </c>
      <c r="H5262" s="1">
        <v>20</v>
      </c>
    </row>
    <row r="5263" spans="2:8" x14ac:dyDescent="0.2">
      <c r="B5263" t="str">
        <f>VLOOKUP(G5263,PC!B:D,3,FALSE)</f>
        <v>DESPESA OPERACIONAL</v>
      </c>
      <c r="C5263" s="22">
        <v>2024</v>
      </c>
      <c r="D5263" t="s">
        <v>94</v>
      </c>
      <c r="F5263" t="str">
        <f>VLOOKUP(G5263,PC!B:D,2,FALSE)</f>
        <v>DESPESA OPERACIONAL</v>
      </c>
      <c r="G5263" s="4" t="s">
        <v>70</v>
      </c>
      <c r="H5263" s="1">
        <v>128</v>
      </c>
    </row>
    <row r="5264" spans="2:8" x14ac:dyDescent="0.2">
      <c r="B5264" t="str">
        <f>VLOOKUP(G5264,PC!B:D,3,FALSE)</f>
        <v>RECEITAS NÃO OPERACIONAIS</v>
      </c>
      <c r="C5264" s="22">
        <v>2024</v>
      </c>
      <c r="D5264" t="s">
        <v>94</v>
      </c>
      <c r="F5264" t="str">
        <f>VLOOKUP(G5264,PC!B:D,2,FALSE)</f>
        <v>EMPRESTIMO</v>
      </c>
      <c r="G5264" s="4" t="s">
        <v>71</v>
      </c>
      <c r="H5264" s="1">
        <v>50</v>
      </c>
    </row>
    <row r="5265" spans="2:8" x14ac:dyDescent="0.2">
      <c r="B5265" t="str">
        <f>VLOOKUP(G5265,PC!B:D,3,FALSE)</f>
        <v>CPV</v>
      </c>
      <c r="C5265" s="22">
        <v>2024</v>
      </c>
      <c r="D5265" t="s">
        <v>94</v>
      </c>
      <c r="F5265" t="str">
        <f>VLOOKUP(G5265,PC!B:D,2,FALSE)</f>
        <v>OUTROS</v>
      </c>
      <c r="G5265" s="4" t="s">
        <v>37</v>
      </c>
      <c r="H5265" s="1">
        <v>100</v>
      </c>
    </row>
    <row r="5266" spans="2:8" x14ac:dyDescent="0.2">
      <c r="B5266" t="str">
        <f>VLOOKUP(G5266,PC!B:D,3,FALSE)</f>
        <v>DESPESA PESSOAL</v>
      </c>
      <c r="C5266" s="22">
        <v>2024</v>
      </c>
      <c r="D5266" t="s">
        <v>94</v>
      </c>
      <c r="F5266" t="str">
        <f>VLOOKUP(G5266,PC!B:D,2,FALSE)</f>
        <v>DESPESA PESSOAL</v>
      </c>
      <c r="G5266" s="4" t="s">
        <v>56</v>
      </c>
      <c r="H5266" s="1">
        <v>832.6</v>
      </c>
    </row>
    <row r="5267" spans="2:8" x14ac:dyDescent="0.2">
      <c r="B5267" t="str">
        <f>VLOOKUP(G5267,PC!B:D,3,FALSE)</f>
        <v>RECEITA</v>
      </c>
      <c r="C5267" s="22">
        <v>2024</v>
      </c>
      <c r="D5267" t="s">
        <v>94</v>
      </c>
      <c r="F5267" t="str">
        <f>VLOOKUP(G5267,PC!B:D,2,FALSE)</f>
        <v>RECEITA</v>
      </c>
      <c r="G5267" s="4" t="s">
        <v>54</v>
      </c>
      <c r="H5267" s="1">
        <f>1250+1050+700+40+59+72+400+55.9+1100+1400+600+226+350+1600+1000+2150+65+200+67+1000+550+45+700</f>
        <v>14679.9</v>
      </c>
    </row>
    <row r="5268" spans="2:8" x14ac:dyDescent="0.2">
      <c r="B5268" t="str">
        <f>VLOOKUP(G5268,PC!B:D,3,FALSE)</f>
        <v>DESPESA PESSOAL</v>
      </c>
      <c r="C5268" s="22">
        <v>2024</v>
      </c>
      <c r="D5268" t="s">
        <v>94</v>
      </c>
      <c r="F5268" t="str">
        <f>VLOOKUP(G5268,PC!B:D,2,FALSE)</f>
        <v>DESPESA PESSOAL</v>
      </c>
      <c r="G5268" s="4" t="s">
        <v>68</v>
      </c>
      <c r="H5268" s="1">
        <v>200</v>
      </c>
    </row>
    <row r="5269" spans="2:8" x14ac:dyDescent="0.2">
      <c r="B5269" t="str">
        <f>VLOOKUP(G5269,PC!B:D,3,FALSE)</f>
        <v>DESPESA PESSOAL</v>
      </c>
      <c r="C5269" s="22">
        <v>2024</v>
      </c>
      <c r="D5269" t="s">
        <v>94</v>
      </c>
      <c r="F5269" t="str">
        <f>VLOOKUP(G5269,PC!B:D,2,FALSE)</f>
        <v>DESPESA PESSOAL</v>
      </c>
      <c r="G5269" s="4" t="s">
        <v>56</v>
      </c>
      <c r="H5269" s="1">
        <v>350</v>
      </c>
    </row>
    <row r="5270" spans="2:8" x14ac:dyDescent="0.2">
      <c r="B5270" t="str">
        <f>VLOOKUP(G5270,PC!B:D,3,FALSE)</f>
        <v>RECEITAS NÃO OPERACIONAIS</v>
      </c>
      <c r="C5270" s="22">
        <v>2024</v>
      </c>
      <c r="D5270" t="s">
        <v>94</v>
      </c>
      <c r="F5270" t="str">
        <f>VLOOKUP(G5270,PC!B:D,2,FALSE)</f>
        <v>EMPRESTIMO</v>
      </c>
      <c r="G5270" s="4" t="s">
        <v>71</v>
      </c>
      <c r="H5270" s="1">
        <v>40</v>
      </c>
    </row>
    <row r="5271" spans="2:8" x14ac:dyDescent="0.2">
      <c r="B5271" t="str">
        <f>VLOOKUP(G5271,PC!B:D,3,FALSE)</f>
        <v>RECEITA</v>
      </c>
      <c r="C5271" s="22">
        <v>2024</v>
      </c>
      <c r="D5271" t="s">
        <v>94</v>
      </c>
      <c r="F5271" t="str">
        <f>VLOOKUP(G5271,PC!B:D,2,FALSE)</f>
        <v>RECEITA</v>
      </c>
      <c r="G5271" s="4" t="s">
        <v>54</v>
      </c>
      <c r="H5271" s="1">
        <f>100+800+308+500+950+114+175+100+56+1450+22+79+200+68.4+54+37+350+56+100+1000+95+144+700+52+59+48+166+1000+700+800</f>
        <v>10283.4</v>
      </c>
    </row>
    <row r="5272" spans="2:8" x14ac:dyDescent="0.2">
      <c r="B5272" t="str">
        <f>VLOOKUP(G5272,PC!B:D,3,FALSE)</f>
        <v>CPV</v>
      </c>
      <c r="C5272" s="22">
        <v>2024</v>
      </c>
      <c r="D5272" t="s">
        <v>94</v>
      </c>
      <c r="F5272" t="str">
        <f>VLOOKUP(G5272,PC!B:D,2,FALSE)</f>
        <v>COMIDA</v>
      </c>
      <c r="G5272" s="4" t="s">
        <v>12</v>
      </c>
      <c r="H5272" s="1">
        <v>48</v>
      </c>
    </row>
    <row r="5273" spans="2:8" x14ac:dyDescent="0.2">
      <c r="B5273" t="str">
        <f>VLOOKUP(G5273,PC!B:D,3,FALSE)</f>
        <v>RECEITAS NÃO OPERACIONAIS</v>
      </c>
      <c r="C5273" s="22">
        <v>2024</v>
      </c>
      <c r="D5273" t="s">
        <v>94</v>
      </c>
      <c r="F5273" t="str">
        <f>VLOOKUP(G5273,PC!B:D,2,FALSE)</f>
        <v>EMPRESTIMO</v>
      </c>
      <c r="G5273" s="4" t="s">
        <v>71</v>
      </c>
      <c r="H5273" s="1">
        <v>95</v>
      </c>
    </row>
    <row r="5274" spans="2:8" x14ac:dyDescent="0.2">
      <c r="B5274" t="str">
        <f>VLOOKUP(G5274,PC!B:D,3,FALSE)</f>
        <v>DESPESA PESSOAL</v>
      </c>
      <c r="C5274" s="22">
        <v>2024</v>
      </c>
      <c r="D5274" t="s">
        <v>94</v>
      </c>
      <c r="F5274" t="str">
        <f>VLOOKUP(G5274,PC!B:D,2,FALSE)</f>
        <v>DESPESA PESSOAL</v>
      </c>
      <c r="G5274" s="4" t="s">
        <v>56</v>
      </c>
      <c r="H5274" s="1">
        <v>100</v>
      </c>
    </row>
    <row r="5275" spans="2:8" x14ac:dyDescent="0.2">
      <c r="B5275" t="str">
        <f>VLOOKUP(G5275,PC!B:D,3,FALSE)</f>
        <v>DESPESA PESSOAL</v>
      </c>
      <c r="C5275" s="22">
        <v>2024</v>
      </c>
      <c r="D5275" t="s">
        <v>94</v>
      </c>
      <c r="F5275" t="str">
        <f>VLOOKUP(G5275,PC!B:D,2,FALSE)</f>
        <v>DESPESA PESSOAL</v>
      </c>
      <c r="G5275" s="4" t="s">
        <v>68</v>
      </c>
      <c r="H5275" s="1">
        <v>54</v>
      </c>
    </row>
    <row r="5276" spans="2:8" x14ac:dyDescent="0.2">
      <c r="B5276" t="str">
        <f>VLOOKUP(G5276,PC!B:D,3,FALSE)</f>
        <v>CPV</v>
      </c>
      <c r="C5276" s="22">
        <v>2024</v>
      </c>
      <c r="D5276" t="s">
        <v>94</v>
      </c>
      <c r="F5276" t="str">
        <f>VLOOKUP(G5276,PC!B:D,2,FALSE)</f>
        <v>COMIDA</v>
      </c>
      <c r="G5276" s="4" t="s">
        <v>18</v>
      </c>
      <c r="H5276" s="1">
        <v>22</v>
      </c>
    </row>
    <row r="5277" spans="2:8" x14ac:dyDescent="0.2">
      <c r="B5277" t="str">
        <f>VLOOKUP(G5277,PC!B:D,3,FALSE)</f>
        <v>DESPESA OPERACIONAL</v>
      </c>
      <c r="C5277" s="22">
        <v>2024</v>
      </c>
      <c r="D5277" t="s">
        <v>94</v>
      </c>
      <c r="F5277" t="str">
        <f>VLOOKUP(G5277,PC!B:D,2,FALSE)</f>
        <v>DESPESA OPERACIONAL</v>
      </c>
      <c r="G5277" s="4" t="s">
        <v>70</v>
      </c>
      <c r="H5277" s="1">
        <v>114</v>
      </c>
    </row>
    <row r="5278" spans="2:8" x14ac:dyDescent="0.2">
      <c r="B5278" t="str">
        <f>VLOOKUP(G5278,PC!B:D,3,FALSE)</f>
        <v>RECEITA</v>
      </c>
      <c r="C5278" s="22">
        <v>2024</v>
      </c>
      <c r="D5278" t="s">
        <v>94</v>
      </c>
      <c r="F5278" t="str">
        <f>VLOOKUP(G5278,PC!B:D,2,FALSE)</f>
        <v>RECEITA</v>
      </c>
      <c r="G5278" s="4" t="s">
        <v>54</v>
      </c>
      <c r="H5278" s="1">
        <f>1500+900+350+1000+1100+2200+100+100+50+600+270+406+1100+45+194+290+1200+58+290+1200+58+2000+105+1300+40+550+22+20+59</f>
        <v>17107</v>
      </c>
    </row>
    <row r="5279" spans="2:8" x14ac:dyDescent="0.2">
      <c r="B5279" t="str">
        <f>VLOOKUP(G5279,PC!B:D,3,FALSE)</f>
        <v>DESPESA PESSOAL</v>
      </c>
      <c r="C5279" s="22">
        <v>2024</v>
      </c>
      <c r="D5279" t="s">
        <v>94</v>
      </c>
      <c r="F5279" t="str">
        <f>VLOOKUP(G5279,PC!B:D,2,FALSE)</f>
        <v>DESPESA PESSOAL</v>
      </c>
      <c r="G5279" s="4" t="s">
        <v>68</v>
      </c>
      <c r="H5279" s="1">
        <v>20</v>
      </c>
    </row>
    <row r="5280" spans="2:8" x14ac:dyDescent="0.2">
      <c r="B5280" t="str">
        <f>VLOOKUP(G5280,PC!B:D,3,FALSE)</f>
        <v>CPV</v>
      </c>
      <c r="C5280" s="22">
        <v>2024</v>
      </c>
      <c r="D5280" t="s">
        <v>94</v>
      </c>
      <c r="F5280" t="str">
        <f>VLOOKUP(G5280,PC!B:D,2,FALSE)</f>
        <v>OUTROS</v>
      </c>
      <c r="G5280" s="4" t="s">
        <v>37</v>
      </c>
      <c r="H5280" s="1">
        <v>40</v>
      </c>
    </row>
    <row r="5281" spans="2:8" x14ac:dyDescent="0.2">
      <c r="B5281" t="str">
        <f>VLOOKUP(G5281,PC!B:D,3,FALSE)</f>
        <v>DESPESA OPERACIONAL</v>
      </c>
      <c r="C5281" s="22">
        <v>2024</v>
      </c>
      <c r="D5281" t="s">
        <v>94</v>
      </c>
      <c r="F5281" t="str">
        <f>VLOOKUP(G5281,PC!B:D,2,FALSE)</f>
        <v>DESPESA OPERACIONAL</v>
      </c>
      <c r="G5281" s="4" t="s">
        <v>70</v>
      </c>
      <c r="H5281" s="1">
        <v>58</v>
      </c>
    </row>
    <row r="5282" spans="2:8" x14ac:dyDescent="0.2">
      <c r="B5282" t="str">
        <f>VLOOKUP(G5282,PC!B:D,3,FALSE)</f>
        <v>CPV</v>
      </c>
      <c r="C5282" s="22">
        <v>2024</v>
      </c>
      <c r="D5282" t="s">
        <v>94</v>
      </c>
      <c r="F5282" t="str">
        <f>VLOOKUP(G5282,PC!B:D,2,FALSE)</f>
        <v>COMIDA</v>
      </c>
      <c r="G5282" s="4" t="s">
        <v>33</v>
      </c>
      <c r="H5282" s="1">
        <v>290</v>
      </c>
    </row>
    <row r="5283" spans="2:8" x14ac:dyDescent="0.2">
      <c r="B5283" t="e">
        <f>VLOOKUP(G5283,PC!B:D,3,FALSE)</f>
        <v>#N/A</v>
      </c>
      <c r="C5283" s="22">
        <v>2024</v>
      </c>
      <c r="D5283" t="s">
        <v>94</v>
      </c>
      <c r="F5283" t="e">
        <f>VLOOKUP(G5283,PC!B:D,2,FALSE)</f>
        <v>#N/A</v>
      </c>
      <c r="G5283" s="4" t="s">
        <v>231</v>
      </c>
      <c r="H5283" s="1">
        <v>450</v>
      </c>
    </row>
    <row r="5284" spans="2:8" x14ac:dyDescent="0.2">
      <c r="B5284" t="str">
        <f>VLOOKUP(G5284,PC!B:D,3,FALSE)</f>
        <v>DESCONTO DE FATURAMENTO</v>
      </c>
      <c r="C5284" s="22">
        <v>2024</v>
      </c>
      <c r="D5284" t="s">
        <v>94</v>
      </c>
      <c r="F5284" t="str">
        <f>VLOOKUP(G5284,PC!B:D,2,FALSE)</f>
        <v>IMPOSTO</v>
      </c>
      <c r="G5284" s="4" t="s">
        <v>88</v>
      </c>
      <c r="H5284" s="1">
        <v>406</v>
      </c>
    </row>
    <row r="5285" spans="2:8" x14ac:dyDescent="0.2">
      <c r="B5285" t="str">
        <f>VLOOKUP(G5285,PC!B:D,3,FALSE)</f>
        <v>DESPESA PESSOAL</v>
      </c>
      <c r="C5285" s="22">
        <v>2024</v>
      </c>
      <c r="D5285" t="s">
        <v>94</v>
      </c>
      <c r="F5285" t="str">
        <f>VLOOKUP(G5285,PC!B:D,2,FALSE)</f>
        <v>DESPESA PESSOAL</v>
      </c>
      <c r="G5285" s="4" t="s">
        <v>56</v>
      </c>
      <c r="H5285" s="1">
        <v>350</v>
      </c>
    </row>
    <row r="5286" spans="2:8" x14ac:dyDescent="0.2">
      <c r="B5286" t="str">
        <f>VLOOKUP(G5286,PC!B:D,3,FALSE)</f>
        <v>RECEITA</v>
      </c>
      <c r="C5286" s="22">
        <v>2024</v>
      </c>
      <c r="D5286" t="s">
        <v>94</v>
      </c>
      <c r="F5286" t="str">
        <f>VLOOKUP(G5286,PC!B:D,2,FALSE)</f>
        <v>RECEITA</v>
      </c>
      <c r="G5286" s="4" t="s">
        <v>54</v>
      </c>
      <c r="H5286" s="1">
        <f>192+1100+200+72+28+59+20+153+72.9+60+1500+900+144+308+450+350+108+750+600+2600+750+25+1550+100+45+48</f>
        <v>12184.9</v>
      </c>
    </row>
    <row r="5287" spans="2:8" x14ac:dyDescent="0.2">
      <c r="B5287" t="str">
        <f>VLOOKUP(G5287,PC!B:D,3,FALSE)</f>
        <v>DESPESA PESSOAL</v>
      </c>
      <c r="C5287" s="22">
        <v>2024</v>
      </c>
      <c r="D5287" t="s">
        <v>94</v>
      </c>
      <c r="F5287" t="str">
        <f>VLOOKUP(G5287,PC!B:D,2,FALSE)</f>
        <v>DESPESA PESSOAL</v>
      </c>
      <c r="G5287" s="4" t="s">
        <v>56</v>
      </c>
      <c r="H5287" s="1">
        <v>350</v>
      </c>
    </row>
    <row r="5288" spans="2:8" x14ac:dyDescent="0.2">
      <c r="B5288" t="str">
        <f>VLOOKUP(G5288,PC!B:D,3,FALSE)</f>
        <v>CPV</v>
      </c>
      <c r="C5288" s="22">
        <v>2024</v>
      </c>
      <c r="D5288" t="s">
        <v>94</v>
      </c>
      <c r="F5288" t="str">
        <f>VLOOKUP(G5288,PC!B:D,2,FALSE)</f>
        <v>COMIDA</v>
      </c>
      <c r="G5288" s="4" t="s">
        <v>12</v>
      </c>
      <c r="H5288" s="1">
        <v>60</v>
      </c>
    </row>
    <row r="5289" spans="2:8" x14ac:dyDescent="0.2">
      <c r="B5289" t="str">
        <f>VLOOKUP(G5289,PC!B:D,3,FALSE)</f>
        <v>RECEITA</v>
      </c>
      <c r="C5289" s="22">
        <v>2024</v>
      </c>
      <c r="D5289" t="s">
        <v>94</v>
      </c>
      <c r="F5289" t="str">
        <f>VLOOKUP(G5289,PC!B:D,2,FALSE)</f>
        <v>RECEITA</v>
      </c>
      <c r="G5289" s="4" t="s">
        <v>54</v>
      </c>
      <c r="H5289" s="1">
        <f>60+260+1600+61+44+2000+34+31+900+700+62+28+20+50+350+100+1250+150+228+300+51+60+175+1300+1100+600+60+36+650</f>
        <v>12260</v>
      </c>
    </row>
    <row r="5290" spans="2:8" x14ac:dyDescent="0.2">
      <c r="B5290" t="str">
        <f>VLOOKUP(G5290,PC!B:D,3,FALSE)</f>
        <v>CPV</v>
      </c>
      <c r="C5290" s="22">
        <v>2024</v>
      </c>
      <c r="D5290" t="s">
        <v>94</v>
      </c>
      <c r="F5290" t="str">
        <f>VLOOKUP(G5290,PC!B:D,2,FALSE)</f>
        <v>COMIDA</v>
      </c>
      <c r="G5290" s="4" t="s">
        <v>12</v>
      </c>
      <c r="H5290" s="1">
        <v>60</v>
      </c>
    </row>
    <row r="5291" spans="2:8" x14ac:dyDescent="0.2">
      <c r="B5291" t="str">
        <f>VLOOKUP(G5291,PC!B:D,3,FALSE)</f>
        <v>DESPESA PESSOAL</v>
      </c>
      <c r="C5291" s="22">
        <v>2024</v>
      </c>
      <c r="D5291" t="s">
        <v>94</v>
      </c>
      <c r="F5291" t="str">
        <f>VLOOKUP(G5291,PC!B:D,2,FALSE)</f>
        <v>DESPESA PESSOAL</v>
      </c>
      <c r="G5291" s="4" t="s">
        <v>68</v>
      </c>
      <c r="H5291" s="1">
        <v>50</v>
      </c>
    </row>
    <row r="5292" spans="2:8" x14ac:dyDescent="0.2">
      <c r="B5292" t="str">
        <f>VLOOKUP(G5292,PC!B:D,3,FALSE)</f>
        <v>CPV</v>
      </c>
      <c r="C5292" s="22">
        <v>2024</v>
      </c>
      <c r="D5292" t="s">
        <v>94</v>
      </c>
      <c r="F5292" t="str">
        <f>VLOOKUP(G5292,PC!B:D,2,FALSE)</f>
        <v>COMIDA</v>
      </c>
      <c r="G5292" s="4" t="s">
        <v>146</v>
      </c>
      <c r="H5292" s="1">
        <v>20</v>
      </c>
    </row>
    <row r="5293" spans="2:8" x14ac:dyDescent="0.2">
      <c r="B5293" t="str">
        <f>VLOOKUP(G5293,PC!B:D,3,FALSE)</f>
        <v>DESPESA OPERACIONAL</v>
      </c>
      <c r="C5293" s="22">
        <v>2024</v>
      </c>
      <c r="D5293" t="s">
        <v>94</v>
      </c>
      <c r="F5293" t="str">
        <f>VLOOKUP(G5293,PC!B:D,2,FALSE)</f>
        <v>DESPESA OPERACIONAL</v>
      </c>
      <c r="G5293" s="4" t="s">
        <v>79</v>
      </c>
      <c r="H5293" s="1">
        <v>340</v>
      </c>
    </row>
    <row r="5294" spans="2:8" x14ac:dyDescent="0.2">
      <c r="B5294" t="str">
        <f>VLOOKUP(G5294,PC!B:D,3,FALSE)</f>
        <v>DESPESA PESSOAL</v>
      </c>
      <c r="C5294" s="22">
        <v>2024</v>
      </c>
      <c r="D5294" t="s">
        <v>94</v>
      </c>
      <c r="F5294" t="str">
        <f>VLOOKUP(G5294,PC!B:D,2,FALSE)</f>
        <v>DESPESA PESSOAL</v>
      </c>
      <c r="G5294" s="4" t="s">
        <v>56</v>
      </c>
      <c r="H5294" s="1">
        <v>350</v>
      </c>
    </row>
    <row r="5295" spans="2:8" x14ac:dyDescent="0.2">
      <c r="B5295" t="str">
        <f>VLOOKUP(G5295,PC!B:D,3,FALSE)</f>
        <v>RECEITA</v>
      </c>
      <c r="C5295" s="22">
        <v>2024</v>
      </c>
      <c r="D5295" t="s">
        <v>94</v>
      </c>
      <c r="F5295" t="str">
        <f>VLOOKUP(G5295,PC!B:D,2,FALSE)</f>
        <v>RECEITA</v>
      </c>
      <c r="G5295" s="4" t="s">
        <v>54</v>
      </c>
      <c r="H5295" s="1">
        <f>350+800+900</f>
        <v>2050</v>
      </c>
    </row>
    <row r="5296" spans="2:8" x14ac:dyDescent="0.2">
      <c r="B5296" t="str">
        <f>VLOOKUP(G5296,PC!B:D,3,FALSE)</f>
        <v>RECEITA</v>
      </c>
      <c r="C5296" s="22">
        <v>2024</v>
      </c>
      <c r="D5296" t="s">
        <v>94</v>
      </c>
      <c r="F5296" t="str">
        <f>VLOOKUP(G5296,PC!B:D,2,FALSE)</f>
        <v>RECEITA</v>
      </c>
      <c r="G5296" s="4" t="s">
        <v>137</v>
      </c>
      <c r="H5296" s="1">
        <v>56695.23</v>
      </c>
    </row>
    <row r="5297" spans="2:8" x14ac:dyDescent="0.2">
      <c r="B5297" t="str">
        <f>VLOOKUP(G5297,PC!B:D,3,FALSE)</f>
        <v>DESCONTO DE FATURAMENTO</v>
      </c>
      <c r="C5297" s="22">
        <v>2024</v>
      </c>
      <c r="D5297" t="s">
        <v>94</v>
      </c>
      <c r="F5297" t="str">
        <f>VLOOKUP(G5297,PC!B:D,2,FALSE)</f>
        <v>OUTROS DESCONTOS</v>
      </c>
      <c r="G5297" s="4" t="s">
        <v>63</v>
      </c>
      <c r="H5297" s="1">
        <f>0.017896*H5296</f>
        <v>1014.61783608</v>
      </c>
    </row>
    <row r="5298" spans="2:8" x14ac:dyDescent="0.2">
      <c r="B5298" t="str">
        <f>VLOOKUP(G5298,PC!B:D,3,FALSE)</f>
        <v>CPV</v>
      </c>
      <c r="C5298" s="22">
        <v>2024</v>
      </c>
      <c r="D5298" t="s">
        <v>94</v>
      </c>
      <c r="E5298" t="s">
        <v>239</v>
      </c>
      <c r="F5298" t="str">
        <f>VLOOKUP(G5298,PC!B:D,2,FALSE)</f>
        <v>BEBIDAS</v>
      </c>
      <c r="G5298" s="4" t="s">
        <v>26</v>
      </c>
      <c r="H5298" s="1">
        <f>1474.74+364.4+322.45+267.75</f>
        <v>2429.3399999999997</v>
      </c>
    </row>
    <row r="5299" spans="2:8" x14ac:dyDescent="0.2">
      <c r="B5299" t="str">
        <f>VLOOKUP(G5299,PC!B:D,3,FALSE)</f>
        <v>CPV</v>
      </c>
      <c r="C5299" s="22">
        <v>2024</v>
      </c>
      <c r="D5299" t="s">
        <v>94</v>
      </c>
      <c r="E5299" t="s">
        <v>28</v>
      </c>
      <c r="F5299" t="str">
        <f>VLOOKUP(G5299,PC!B:D,2,FALSE)</f>
        <v>BEBIDAS</v>
      </c>
      <c r="G5299" s="4" t="s">
        <v>26</v>
      </c>
      <c r="H5299" s="1">
        <f>1527.84</f>
        <v>1527.84</v>
      </c>
    </row>
    <row r="5300" spans="2:8" x14ac:dyDescent="0.2">
      <c r="B5300" t="str">
        <f>VLOOKUP(G5300,PC!B:D,3,FALSE)</f>
        <v>CPV</v>
      </c>
      <c r="C5300" s="22">
        <v>2024</v>
      </c>
      <c r="D5300" t="s">
        <v>94</v>
      </c>
      <c r="E5300" t="s">
        <v>226</v>
      </c>
      <c r="F5300" t="str">
        <f>VLOOKUP(G5300,PC!B:D,2,FALSE)</f>
        <v>BEBIDAS</v>
      </c>
      <c r="G5300" s="4" t="s">
        <v>25</v>
      </c>
      <c r="H5300" s="1">
        <f>171.93+305.12</f>
        <v>477.05</v>
      </c>
    </row>
    <row r="5301" spans="2:8" x14ac:dyDescent="0.2">
      <c r="B5301" t="str">
        <f>VLOOKUP(G5301,PC!B:D,3,FALSE)</f>
        <v>CPV</v>
      </c>
      <c r="C5301" s="22">
        <v>2024</v>
      </c>
      <c r="D5301" t="s">
        <v>94</v>
      </c>
      <c r="E5301" t="s">
        <v>28</v>
      </c>
      <c r="F5301" t="str">
        <f>VLOOKUP(G5301,PC!B:D,2,FALSE)</f>
        <v>BEBIDAS</v>
      </c>
      <c r="G5301" s="4" t="s">
        <v>26</v>
      </c>
      <c r="H5301" s="1">
        <f>879.78+3799.3+1553.36+183.82+3398.92+159.92+1310.4+150.34+171.8+1297.5</f>
        <v>12905.14</v>
      </c>
    </row>
    <row r="5302" spans="2:8" x14ac:dyDescent="0.2">
      <c r="B5302" t="str">
        <f>VLOOKUP(G5302,PC!B:D,3,FALSE)</f>
        <v>CPV</v>
      </c>
      <c r="C5302" s="22">
        <v>2024</v>
      </c>
      <c r="D5302" t="s">
        <v>94</v>
      </c>
      <c r="E5302" t="s">
        <v>226</v>
      </c>
      <c r="F5302" t="str">
        <f>VLOOKUP(G5302,PC!B:D,2,FALSE)</f>
        <v>BEBIDAS</v>
      </c>
      <c r="G5302" s="4" t="s">
        <v>25</v>
      </c>
      <c r="H5302" s="1">
        <f>659.75+1068.69+57.21</f>
        <v>1785.65</v>
      </c>
    </row>
    <row r="5303" spans="2:8" x14ac:dyDescent="0.2">
      <c r="B5303" t="str">
        <f>VLOOKUP(G5303,PC!B:D,3,FALSE)</f>
        <v>RECEITA</v>
      </c>
      <c r="C5303" s="22">
        <v>2024</v>
      </c>
      <c r="D5303" t="s">
        <v>94</v>
      </c>
      <c r="F5303" t="str">
        <f>VLOOKUP(G5303,PC!B:D,2,FALSE)</f>
        <v>RECEITA</v>
      </c>
      <c r="G5303" s="4" t="s">
        <v>83</v>
      </c>
      <c r="H5303" s="1">
        <v>2042.47</v>
      </c>
    </row>
    <row r="5304" spans="2:8" x14ac:dyDescent="0.2">
      <c r="B5304" t="str">
        <f>VLOOKUP(G5304,PC!B:D,3,FALSE)</f>
        <v>CPV</v>
      </c>
      <c r="C5304" s="22">
        <v>2024</v>
      </c>
      <c r="D5304" t="s">
        <v>94</v>
      </c>
      <c r="E5304" t="s">
        <v>226</v>
      </c>
      <c r="F5304" t="str">
        <f>VLOOKUP(G5304,PC!B:D,2,FALSE)</f>
        <v>BEBIDAS</v>
      </c>
      <c r="G5304" s="4" t="s">
        <v>25</v>
      </c>
      <c r="H5304" s="1">
        <f>38.14+1032.9+818.1+254.27+213.34</f>
        <v>2356.7500000000005</v>
      </c>
    </row>
    <row r="5305" spans="2:8" x14ac:dyDescent="0.2">
      <c r="B5305" t="str">
        <f>VLOOKUP(G5305,PC!B:D,3,FALSE)</f>
        <v>CPV</v>
      </c>
      <c r="C5305" s="22">
        <v>2024</v>
      </c>
      <c r="D5305" t="s">
        <v>94</v>
      </c>
      <c r="E5305" t="s">
        <v>49</v>
      </c>
      <c r="F5305" t="str">
        <f>VLOOKUP(G5305,PC!B:D,2,FALSE)</f>
        <v>CIGARRO</v>
      </c>
      <c r="G5305" s="4" t="s">
        <v>52</v>
      </c>
      <c r="H5305" s="1">
        <f>5617.62+6583.53+15299.78</f>
        <v>27500.93</v>
      </c>
    </row>
    <row r="5306" spans="2:8" x14ac:dyDescent="0.2">
      <c r="B5306" t="str">
        <f>VLOOKUP(G5306,PC!B:D,3,FALSE)</f>
        <v>CPV</v>
      </c>
      <c r="C5306" s="22">
        <v>2024</v>
      </c>
      <c r="D5306" t="s">
        <v>94</v>
      </c>
      <c r="E5306" t="s">
        <v>78</v>
      </c>
      <c r="F5306" t="str">
        <f>VLOOKUP(G5306,PC!B:D,2,FALSE)</f>
        <v>CIGARRO</v>
      </c>
      <c r="G5306" s="4" t="s">
        <v>82</v>
      </c>
      <c r="H5306" s="1">
        <f>1475.1</f>
        <v>1475.1</v>
      </c>
    </row>
    <row r="5307" spans="2:8" x14ac:dyDescent="0.2">
      <c r="B5307" t="str">
        <f>VLOOKUP(G5307,PC!B:D,3,FALSE)</f>
        <v>CPV</v>
      </c>
      <c r="C5307" s="22">
        <v>2024</v>
      </c>
      <c r="D5307" t="s">
        <v>94</v>
      </c>
      <c r="E5307" t="s">
        <v>212</v>
      </c>
      <c r="F5307" t="str">
        <f>VLOOKUP(G5307,PC!B:D,2,FALSE)</f>
        <v>COMIDA</v>
      </c>
      <c r="G5307" s="4" t="s">
        <v>33</v>
      </c>
      <c r="H5307" s="1">
        <v>268.18</v>
      </c>
    </row>
    <row r="5308" spans="2:8" x14ac:dyDescent="0.2">
      <c r="B5308" t="str">
        <f>VLOOKUP(G5308,PC!B:D,3,FALSE)</f>
        <v>CPV</v>
      </c>
      <c r="C5308" s="22">
        <v>2024</v>
      </c>
      <c r="D5308" t="s">
        <v>94</v>
      </c>
      <c r="E5308" t="s">
        <v>24</v>
      </c>
      <c r="F5308" t="str">
        <f>VLOOKUP(G5308,PC!B:D,2,FALSE)</f>
        <v>COMIDA</v>
      </c>
      <c r="G5308" s="4" t="s">
        <v>33</v>
      </c>
      <c r="H5308" s="1">
        <f>443.72+113.01+740.25</f>
        <v>1296.98</v>
      </c>
    </row>
    <row r="5309" spans="2:8" x14ac:dyDescent="0.2">
      <c r="B5309" t="str">
        <f>VLOOKUP(G5309,PC!B:D,3,FALSE)</f>
        <v>CPV</v>
      </c>
      <c r="C5309" s="22">
        <v>2024</v>
      </c>
      <c r="D5309" t="s">
        <v>94</v>
      </c>
      <c r="E5309" t="s">
        <v>21</v>
      </c>
      <c r="F5309" t="str">
        <f>VLOOKUP(G5309,PC!B:D,2,FALSE)</f>
        <v>SOBREMESA</v>
      </c>
      <c r="G5309" s="4" t="s">
        <v>23</v>
      </c>
      <c r="H5309" s="1">
        <f>157.04+218.15</f>
        <v>375.19</v>
      </c>
    </row>
    <row r="5310" spans="2:8" x14ac:dyDescent="0.2">
      <c r="B5310" t="str">
        <f>VLOOKUP(G5310,PC!B:D,3,FALSE)</f>
        <v>CPV</v>
      </c>
      <c r="C5310" s="22">
        <v>2024</v>
      </c>
      <c r="D5310" t="s">
        <v>94</v>
      </c>
      <c r="E5310" t="s">
        <v>27</v>
      </c>
      <c r="F5310" t="str">
        <f>VLOOKUP(G5310,PC!B:D,2,FALSE)</f>
        <v>COMIDA</v>
      </c>
      <c r="G5310" s="4" t="s">
        <v>12</v>
      </c>
      <c r="H5310" s="1">
        <v>367.89</v>
      </c>
    </row>
    <row r="5311" spans="2:8" x14ac:dyDescent="0.2">
      <c r="B5311" t="str">
        <f>VLOOKUP(G5311,PC!B:D,3,FALSE)</f>
        <v>CPV</v>
      </c>
      <c r="C5311" s="22">
        <v>2024</v>
      </c>
      <c r="D5311" t="s">
        <v>94</v>
      </c>
      <c r="E5311" t="s">
        <v>228</v>
      </c>
      <c r="F5311" t="str">
        <f>VLOOKUP(G5311,PC!B:D,2,FALSE)</f>
        <v>COMIDA</v>
      </c>
      <c r="G5311" s="4" t="s">
        <v>12</v>
      </c>
      <c r="H5311" s="1">
        <v>583.36</v>
      </c>
    </row>
    <row r="5312" spans="2:8" x14ac:dyDescent="0.2">
      <c r="B5312" t="str">
        <f>VLOOKUP(G5312,PC!B:D,3,FALSE)</f>
        <v>CPV</v>
      </c>
      <c r="C5312" s="22">
        <v>2024</v>
      </c>
      <c r="D5312" t="s">
        <v>94</v>
      </c>
      <c r="E5312" t="s">
        <v>156</v>
      </c>
      <c r="F5312" t="str">
        <f>VLOOKUP(G5312,PC!B:D,2,FALSE)</f>
        <v>BEBIDAS</v>
      </c>
      <c r="G5312" s="4" t="s">
        <v>26</v>
      </c>
      <c r="H5312" s="1">
        <f>295.48+550+522.78+594+748.42</f>
        <v>2710.68</v>
      </c>
    </row>
    <row r="5313" spans="2:8" x14ac:dyDescent="0.2">
      <c r="B5313" t="str">
        <f>VLOOKUP(G5313,PC!B:D,3,FALSE)</f>
        <v>CPV</v>
      </c>
      <c r="C5313" s="22">
        <v>2024</v>
      </c>
      <c r="D5313" t="s">
        <v>94</v>
      </c>
      <c r="E5313" t="s">
        <v>16</v>
      </c>
      <c r="F5313" t="str">
        <f>VLOOKUP(G5313,PC!B:D,2,FALSE)</f>
        <v>COMIDA</v>
      </c>
      <c r="G5313" s="4" t="s">
        <v>12</v>
      </c>
      <c r="H5313" s="1">
        <v>517.94000000000005</v>
      </c>
    </row>
    <row r="5314" spans="2:8" x14ac:dyDescent="0.2">
      <c r="B5314" t="str">
        <f>VLOOKUP(G5314,PC!B:D,3,FALSE)</f>
        <v>CPV</v>
      </c>
      <c r="C5314" s="22">
        <v>2024</v>
      </c>
      <c r="D5314" t="s">
        <v>94</v>
      </c>
      <c r="E5314" t="s">
        <v>19</v>
      </c>
      <c r="F5314" t="str">
        <f>VLOOKUP(G5314,PC!B:D,2,FALSE)</f>
        <v>COMIDA</v>
      </c>
      <c r="G5314" s="4" t="s">
        <v>145</v>
      </c>
      <c r="H5314" s="1">
        <v>404.9</v>
      </c>
    </row>
    <row r="5315" spans="2:8" x14ac:dyDescent="0.2">
      <c r="B5315" t="str">
        <f>VLOOKUP(G5315,PC!B:D,3,FALSE)</f>
        <v>CPV</v>
      </c>
      <c r="C5315" s="22">
        <v>2024</v>
      </c>
      <c r="D5315" t="s">
        <v>94</v>
      </c>
      <c r="E5315" t="s">
        <v>129</v>
      </c>
      <c r="F5315" t="str">
        <f>VLOOKUP(G5315,PC!B:D,2,FALSE)</f>
        <v>BEBIDAS</v>
      </c>
      <c r="G5315" s="4" t="s">
        <v>48</v>
      </c>
      <c r="H5315" s="1">
        <v>100</v>
      </c>
    </row>
    <row r="5316" spans="2:8" x14ac:dyDescent="0.2">
      <c r="B5316" t="str">
        <f>VLOOKUP(G5316,PC!B:D,3,FALSE)</f>
        <v>CPV</v>
      </c>
      <c r="C5316" s="22">
        <v>2024</v>
      </c>
      <c r="D5316" t="s">
        <v>94</v>
      </c>
      <c r="E5316" t="s">
        <v>227</v>
      </c>
      <c r="F5316" t="str">
        <f>VLOOKUP(G5316,PC!B:D,2,FALSE)</f>
        <v>OUTROS</v>
      </c>
      <c r="G5316" s="4" t="s">
        <v>37</v>
      </c>
      <c r="H5316" s="1">
        <v>833.91</v>
      </c>
    </row>
    <row r="5317" spans="2:8" x14ac:dyDescent="0.2">
      <c r="B5317" t="str">
        <f>VLOOKUP(G5317,PC!B:D,3,FALSE)</f>
        <v>CPV</v>
      </c>
      <c r="C5317" s="22">
        <v>2024</v>
      </c>
      <c r="D5317" t="s">
        <v>94</v>
      </c>
      <c r="E5317" t="s">
        <v>45</v>
      </c>
      <c r="F5317" t="str">
        <f>VLOOKUP(G5317,PC!B:D,2,FALSE)</f>
        <v>OUTROS</v>
      </c>
      <c r="G5317" s="4" t="s">
        <v>37</v>
      </c>
      <c r="H5317" s="1">
        <v>1912.92</v>
      </c>
    </row>
    <row r="5318" spans="2:8" x14ac:dyDescent="0.2">
      <c r="B5318" t="str">
        <f>VLOOKUP(G5318,PC!B:D,3,FALSE)</f>
        <v>CPV</v>
      </c>
      <c r="C5318" s="22">
        <v>2024</v>
      </c>
      <c r="D5318" t="s">
        <v>94</v>
      </c>
      <c r="E5318" t="s">
        <v>227</v>
      </c>
      <c r="F5318" t="str">
        <f>VLOOKUP(G5318,PC!B:D,2,FALSE)</f>
        <v>OUTROS</v>
      </c>
      <c r="G5318" s="4" t="s">
        <v>37</v>
      </c>
      <c r="H5318" s="1">
        <v>779.93</v>
      </c>
    </row>
    <row r="5319" spans="2:8" x14ac:dyDescent="0.2">
      <c r="B5319" t="str">
        <f>VLOOKUP(G5319,PC!B:D,3,FALSE)</f>
        <v>CPV</v>
      </c>
      <c r="C5319" s="22">
        <v>2024</v>
      </c>
      <c r="D5319" t="s">
        <v>94</v>
      </c>
      <c r="E5319" t="s">
        <v>20</v>
      </c>
      <c r="F5319" t="str">
        <f>VLOOKUP(G5319,PC!B:D,2,FALSE)</f>
        <v>COMIDA</v>
      </c>
      <c r="G5319" s="4" t="s">
        <v>29</v>
      </c>
      <c r="H5319" s="1">
        <v>52.1</v>
      </c>
    </row>
    <row r="5320" spans="2:8" x14ac:dyDescent="0.2">
      <c r="B5320" t="str">
        <f>VLOOKUP(G5320,PC!B:D,3,FALSE)</f>
        <v>CPV</v>
      </c>
      <c r="C5320" s="22">
        <v>2024</v>
      </c>
      <c r="D5320" t="s">
        <v>94</v>
      </c>
      <c r="E5320" t="s">
        <v>5</v>
      </c>
      <c r="F5320" t="str">
        <f>VLOOKUP(G5320,PC!B:D,2,FALSE)</f>
        <v>COMIDA</v>
      </c>
      <c r="G5320" s="4" t="s">
        <v>18</v>
      </c>
      <c r="H5320" s="1">
        <v>408</v>
      </c>
    </row>
    <row r="5321" spans="2:8" x14ac:dyDescent="0.2">
      <c r="B5321" t="str">
        <f>VLOOKUP(G5321,PC!B:D,3,FALSE)</f>
        <v>CPV</v>
      </c>
      <c r="C5321" s="22">
        <v>2024</v>
      </c>
      <c r="D5321" t="s">
        <v>94</v>
      </c>
      <c r="E5321" t="s">
        <v>5</v>
      </c>
      <c r="F5321" t="str">
        <f>VLOOKUP(G5321,PC!B:D,2,FALSE)</f>
        <v>COMIDA</v>
      </c>
      <c r="G5321" s="4" t="s">
        <v>18</v>
      </c>
      <c r="H5321" s="1">
        <v>187.28</v>
      </c>
    </row>
    <row r="5322" spans="2:8" x14ac:dyDescent="0.2">
      <c r="B5322" t="str">
        <f>VLOOKUP(G5322,PC!B:D,3,FALSE)</f>
        <v>CPV</v>
      </c>
      <c r="C5322" s="22">
        <v>2024</v>
      </c>
      <c r="D5322" t="s">
        <v>94</v>
      </c>
      <c r="E5322" t="s">
        <v>237</v>
      </c>
      <c r="F5322" t="str">
        <f>VLOOKUP(G5322,PC!B:D,2,FALSE)</f>
        <v>LIMPEZA</v>
      </c>
      <c r="G5322" s="4" t="s">
        <v>43</v>
      </c>
      <c r="H5322" s="1">
        <v>193.99</v>
      </c>
    </row>
    <row r="5323" spans="2:8" x14ac:dyDescent="0.2">
      <c r="B5323" t="str">
        <f>VLOOKUP(G5323,PC!B:D,3,FALSE)</f>
        <v>CPV</v>
      </c>
      <c r="C5323" s="22">
        <v>2024</v>
      </c>
      <c r="D5323" t="s">
        <v>94</v>
      </c>
      <c r="E5323" t="s">
        <v>241</v>
      </c>
      <c r="F5323" t="str">
        <f>VLOOKUP(G5323,PC!B:D,2,FALSE)</f>
        <v>COMIDA</v>
      </c>
      <c r="G5323" s="4" t="s">
        <v>12</v>
      </c>
      <c r="H5323" s="1">
        <v>94.48</v>
      </c>
    </row>
    <row r="5324" spans="2:8" x14ac:dyDescent="0.2">
      <c r="B5324" t="str">
        <f>VLOOKUP(G5324,PC!B:D,3,FALSE)</f>
        <v>CPV</v>
      </c>
      <c r="C5324" s="22">
        <v>2024</v>
      </c>
      <c r="D5324" t="s">
        <v>94</v>
      </c>
      <c r="E5324" t="s">
        <v>20</v>
      </c>
      <c r="F5324" t="str">
        <f>VLOOKUP(G5324,PC!B:D,2,FALSE)</f>
        <v>COMIDA</v>
      </c>
      <c r="G5324" s="4" t="s">
        <v>29</v>
      </c>
      <c r="H5324" s="1">
        <v>72.900000000000006</v>
      </c>
    </row>
    <row r="5325" spans="2:8" x14ac:dyDescent="0.2">
      <c r="B5325" t="str">
        <f>VLOOKUP(G5325,PC!B:D,3,FALSE)</f>
        <v>CPV</v>
      </c>
      <c r="C5325" s="22">
        <v>2024</v>
      </c>
      <c r="D5325" t="s">
        <v>94</v>
      </c>
      <c r="E5325" t="s">
        <v>16</v>
      </c>
      <c r="F5325" t="str">
        <f>VLOOKUP(G5325,PC!B:D,2,FALSE)</f>
        <v>COMIDA</v>
      </c>
      <c r="G5325" s="4" t="s">
        <v>33</v>
      </c>
      <c r="H5325" s="1">
        <v>262.44</v>
      </c>
    </row>
    <row r="5326" spans="2:8" x14ac:dyDescent="0.2">
      <c r="B5326" t="str">
        <f>VLOOKUP(G5326,PC!B:D,3,FALSE)</f>
        <v>CPV</v>
      </c>
      <c r="C5326" s="22">
        <v>2024</v>
      </c>
      <c r="D5326" t="s">
        <v>94</v>
      </c>
      <c r="E5326" t="s">
        <v>19</v>
      </c>
      <c r="F5326" t="str">
        <f>VLOOKUP(G5326,PC!B:D,2,FALSE)</f>
        <v>SOBREMESA</v>
      </c>
      <c r="G5326" s="4" t="s">
        <v>8</v>
      </c>
      <c r="H5326" s="1">
        <v>157.53</v>
      </c>
    </row>
    <row r="5327" spans="2:8" x14ac:dyDescent="0.2">
      <c r="B5327" t="str">
        <f>VLOOKUP(G5327,PC!B:D,3,FALSE)</f>
        <v>CPV</v>
      </c>
      <c r="C5327" s="22">
        <v>2024</v>
      </c>
      <c r="D5327" t="s">
        <v>94</v>
      </c>
      <c r="E5327" t="s">
        <v>227</v>
      </c>
      <c r="F5327" t="str">
        <f>VLOOKUP(G5327,PC!B:D,2,FALSE)</f>
        <v>LIMPEZA</v>
      </c>
      <c r="G5327" s="4" t="s">
        <v>43</v>
      </c>
      <c r="H5327" s="1">
        <v>795.59</v>
      </c>
    </row>
    <row r="5328" spans="2:8" x14ac:dyDescent="0.2">
      <c r="B5328" t="str">
        <f>VLOOKUP(G5328,PC!B:D,3,FALSE)</f>
        <v>DESPESA PESSOAL</v>
      </c>
      <c r="C5328" s="22">
        <v>2024</v>
      </c>
      <c r="D5328" t="s">
        <v>94</v>
      </c>
      <c r="F5328" t="str">
        <f>VLOOKUP(G5328,PC!B:D,2,FALSE)</f>
        <v>DESPESA PESSOAL</v>
      </c>
      <c r="G5328" s="4" t="s">
        <v>68</v>
      </c>
      <c r="H5328" s="1">
        <v>1505.1</v>
      </c>
    </row>
    <row r="5329" spans="2:8" x14ac:dyDescent="0.2">
      <c r="B5329" t="str">
        <f>VLOOKUP(G5329,PC!B:D,3,FALSE)</f>
        <v>DESPESA PESSOAL</v>
      </c>
      <c r="C5329" s="22">
        <v>2024</v>
      </c>
      <c r="D5329" t="s">
        <v>94</v>
      </c>
      <c r="F5329" t="str">
        <f>VLOOKUP(G5329,PC!B:D,2,FALSE)</f>
        <v>DESPESA PESSOAL</v>
      </c>
      <c r="G5329" s="4" t="s">
        <v>68</v>
      </c>
      <c r="H5329" s="1">
        <v>285.99</v>
      </c>
    </row>
    <row r="5330" spans="2:8" x14ac:dyDescent="0.2">
      <c r="B5330" t="str">
        <f>VLOOKUP(G5330,PC!B:D,3,FALSE)</f>
        <v>CPV</v>
      </c>
      <c r="C5330" s="22">
        <v>2024</v>
      </c>
      <c r="D5330" t="s">
        <v>94</v>
      </c>
      <c r="E5330" t="s">
        <v>19</v>
      </c>
      <c r="F5330" t="str">
        <f>VLOOKUP(G5330,PC!B:D,2,FALSE)</f>
        <v>HIGIENE</v>
      </c>
      <c r="G5330" s="4" t="s">
        <v>36</v>
      </c>
      <c r="H5330" s="1">
        <v>426</v>
      </c>
    </row>
    <row r="5331" spans="2:8" x14ac:dyDescent="0.2">
      <c r="B5331" t="str">
        <f>VLOOKUP(G5331,PC!B:D,3,FALSE)</f>
        <v>CPV</v>
      </c>
      <c r="C5331" s="22">
        <v>2024</v>
      </c>
      <c r="D5331" t="s">
        <v>94</v>
      </c>
      <c r="E5331" t="s">
        <v>95</v>
      </c>
      <c r="F5331" t="str">
        <f>VLOOKUP(G5331,PC!B:D,2,FALSE)</f>
        <v>BEBIDAS</v>
      </c>
      <c r="G5331" s="4" t="s">
        <v>144</v>
      </c>
      <c r="H5331" s="1">
        <v>274</v>
      </c>
    </row>
    <row r="5332" spans="2:8" x14ac:dyDescent="0.2">
      <c r="B5332" t="str">
        <f>VLOOKUP(G5332,PC!B:D,3,FALSE)</f>
        <v>CPV</v>
      </c>
      <c r="C5332" s="22">
        <v>2024</v>
      </c>
      <c r="D5332" t="s">
        <v>94</v>
      </c>
      <c r="E5332" t="s">
        <v>129</v>
      </c>
      <c r="F5332" t="str">
        <f>VLOOKUP(G5332,PC!B:D,2,FALSE)</f>
        <v>BEBIDAS</v>
      </c>
      <c r="G5332" s="4" t="s">
        <v>48</v>
      </c>
      <c r="H5332" s="1">
        <v>100</v>
      </c>
    </row>
    <row r="5333" spans="2:8" x14ac:dyDescent="0.2">
      <c r="B5333" t="str">
        <f>VLOOKUP(G5333,PC!B:D,3,FALSE)</f>
        <v>CPV</v>
      </c>
      <c r="C5333" s="22">
        <v>2024</v>
      </c>
      <c r="D5333" t="s">
        <v>94</v>
      </c>
      <c r="E5333" t="s">
        <v>227</v>
      </c>
      <c r="F5333" t="str">
        <f>VLOOKUP(G5333,PC!B:D,2,FALSE)</f>
        <v>LIMPEZA</v>
      </c>
      <c r="G5333" s="4" t="s">
        <v>43</v>
      </c>
      <c r="H5333" s="1">
        <v>1079</v>
      </c>
    </row>
    <row r="5334" spans="2:8" x14ac:dyDescent="0.2">
      <c r="B5334" t="str">
        <f>VLOOKUP(G5334,PC!B:D,3,FALSE)</f>
        <v>CPV</v>
      </c>
      <c r="C5334" s="22">
        <v>2024</v>
      </c>
      <c r="D5334" t="s">
        <v>94</v>
      </c>
      <c r="E5334" t="s">
        <v>20</v>
      </c>
      <c r="F5334" t="str">
        <f>VLOOKUP(G5334,PC!B:D,2,FALSE)</f>
        <v>COMIDA</v>
      </c>
      <c r="G5334" s="4" t="s">
        <v>29</v>
      </c>
      <c r="H5334" s="1">
        <v>133.69999999999999</v>
      </c>
    </row>
    <row r="5335" spans="2:8" x14ac:dyDescent="0.2">
      <c r="B5335" t="str">
        <f>VLOOKUP(G5335,PC!B:D,3,FALSE)</f>
        <v>CPV</v>
      </c>
      <c r="C5335" s="22">
        <v>2024</v>
      </c>
      <c r="D5335" t="s">
        <v>94</v>
      </c>
      <c r="E5335" t="s">
        <v>211</v>
      </c>
      <c r="F5335" t="str">
        <f>VLOOKUP(G5335,PC!B:D,2,FALSE)</f>
        <v>BEBIDAS</v>
      </c>
      <c r="G5335" s="4" t="s">
        <v>26</v>
      </c>
      <c r="H5335" s="1">
        <v>552.98</v>
      </c>
    </row>
    <row r="5336" spans="2:8" x14ac:dyDescent="0.2">
      <c r="B5336" t="str">
        <f>VLOOKUP(G5336,PC!B:D,3,FALSE)</f>
        <v>CPV</v>
      </c>
      <c r="C5336" s="22">
        <v>2024</v>
      </c>
      <c r="D5336" t="s">
        <v>94</v>
      </c>
      <c r="E5336" t="s">
        <v>129</v>
      </c>
      <c r="F5336" t="str">
        <f>VLOOKUP(G5336,PC!B:D,2,FALSE)</f>
        <v>OUTROS</v>
      </c>
      <c r="G5336" s="4" t="s">
        <v>37</v>
      </c>
      <c r="H5336" s="1">
        <v>42.3</v>
      </c>
    </row>
    <row r="5337" spans="2:8" x14ac:dyDescent="0.2">
      <c r="B5337" t="str">
        <f>VLOOKUP(G5337,PC!B:D,3,FALSE)</f>
        <v>CPV</v>
      </c>
      <c r="C5337" s="22">
        <v>2024</v>
      </c>
      <c r="D5337" t="s">
        <v>94</v>
      </c>
      <c r="E5337" t="s">
        <v>226</v>
      </c>
      <c r="F5337" t="str">
        <f>VLOOKUP(G5337,PC!B:D,2,FALSE)</f>
        <v>BEBIDAS</v>
      </c>
      <c r="G5337" s="4" t="s">
        <v>25</v>
      </c>
      <c r="H5337" s="1">
        <f>592.63</f>
        <v>592.63</v>
      </c>
    </row>
    <row r="5338" spans="2:8" x14ac:dyDescent="0.2">
      <c r="B5338" t="str">
        <f>VLOOKUP(G5338,PC!B:D,3,FALSE)</f>
        <v>CPV</v>
      </c>
      <c r="C5338" s="22">
        <v>2024</v>
      </c>
      <c r="D5338" t="s">
        <v>94</v>
      </c>
      <c r="E5338" t="s">
        <v>28</v>
      </c>
      <c r="F5338" t="str">
        <f>VLOOKUP(G5338,PC!B:D,2,FALSE)</f>
        <v>BEBIDAS</v>
      </c>
      <c r="G5338" s="4" t="s">
        <v>26</v>
      </c>
      <c r="H5338" s="1">
        <f>1932.38</f>
        <v>1932.38</v>
      </c>
    </row>
    <row r="5339" spans="2:8" x14ac:dyDescent="0.2">
      <c r="B5339" t="str">
        <f>VLOOKUP(G5339,PC!B:D,3,FALSE)</f>
        <v>CPV</v>
      </c>
      <c r="C5339" s="22">
        <v>2024</v>
      </c>
      <c r="D5339" t="s">
        <v>94</v>
      </c>
      <c r="E5339" t="s">
        <v>156</v>
      </c>
      <c r="F5339" t="str">
        <f>VLOOKUP(G5339,PC!B:D,2,FALSE)</f>
        <v>BEBIDAS</v>
      </c>
      <c r="G5339" s="4" t="s">
        <v>26</v>
      </c>
      <c r="H5339" s="1">
        <v>606.70000000000005</v>
      </c>
    </row>
    <row r="5340" spans="2:8" x14ac:dyDescent="0.2">
      <c r="B5340" t="str">
        <f>VLOOKUP(G5340,PC!B:D,3,FALSE)</f>
        <v>CPV</v>
      </c>
      <c r="C5340" s="22">
        <v>2024</v>
      </c>
      <c r="D5340" t="s">
        <v>94</v>
      </c>
      <c r="E5340" t="s">
        <v>28</v>
      </c>
      <c r="F5340" t="str">
        <f>VLOOKUP(G5340,PC!B:D,2,FALSE)</f>
        <v>BEBIDAS</v>
      </c>
      <c r="G5340" s="4" t="s">
        <v>26</v>
      </c>
      <c r="H5340" s="1">
        <f>1381.1</f>
        <v>1381.1</v>
      </c>
    </row>
    <row r="5341" spans="2:8" x14ac:dyDescent="0.2">
      <c r="B5341" t="str">
        <f>VLOOKUP(G5341,PC!B:D,3,FALSE)</f>
        <v>CPV</v>
      </c>
      <c r="C5341" s="22">
        <v>2024</v>
      </c>
      <c r="D5341" t="s">
        <v>94</v>
      </c>
      <c r="E5341" t="s">
        <v>78</v>
      </c>
      <c r="F5341" t="str">
        <f>VLOOKUP(G5341,PC!B:D,2,FALSE)</f>
        <v>CIGARRO</v>
      </c>
      <c r="G5341" s="4" t="s">
        <v>82</v>
      </c>
      <c r="H5341" s="1">
        <v>1316.34</v>
      </c>
    </row>
    <row r="5342" spans="2:8" x14ac:dyDescent="0.2">
      <c r="B5342" t="str">
        <f>VLOOKUP(G5342,PC!B:D,3,FALSE)</f>
        <v>CPV</v>
      </c>
      <c r="C5342" s="22">
        <v>2024</v>
      </c>
      <c r="D5342" t="s">
        <v>94</v>
      </c>
      <c r="E5342" t="s">
        <v>211</v>
      </c>
      <c r="F5342" t="str">
        <f>VLOOKUP(G5342,PC!B:D,2,FALSE)</f>
        <v>BEBIDAS</v>
      </c>
      <c r="G5342" s="4" t="s">
        <v>26</v>
      </c>
      <c r="H5342" s="1">
        <v>1393.86</v>
      </c>
    </row>
    <row r="5343" spans="2:8" x14ac:dyDescent="0.2">
      <c r="B5343" t="str">
        <f>VLOOKUP(G5343,PC!B:D,3,FALSE)</f>
        <v>CPV</v>
      </c>
      <c r="C5343" s="22">
        <v>2024</v>
      </c>
      <c r="D5343" t="s">
        <v>94</v>
      </c>
      <c r="E5343" t="s">
        <v>19</v>
      </c>
      <c r="F5343" t="str">
        <f>VLOOKUP(G5343,PC!B:D,2,FALSE)</f>
        <v>LIMPEZA</v>
      </c>
      <c r="G5343" s="4" t="s">
        <v>43</v>
      </c>
      <c r="H5343" s="1">
        <v>390</v>
      </c>
    </row>
    <row r="5344" spans="2:8" x14ac:dyDescent="0.2">
      <c r="B5344" t="str">
        <f>VLOOKUP(G5344,PC!B:D,3,FALSE)</f>
        <v>CPV</v>
      </c>
      <c r="C5344" s="22">
        <v>2024</v>
      </c>
      <c r="D5344" t="s">
        <v>94</v>
      </c>
      <c r="E5344" t="s">
        <v>226</v>
      </c>
      <c r="F5344" t="str">
        <f>VLOOKUP(G5344,PC!B:D,2,FALSE)</f>
        <v>BEBIDAS</v>
      </c>
      <c r="G5344" s="4" t="s">
        <v>25</v>
      </c>
      <c r="H5344" s="1">
        <v>807</v>
      </c>
    </row>
    <row r="5345" spans="2:8" x14ac:dyDescent="0.2">
      <c r="B5345" t="str">
        <f>VLOOKUP(G5345,PC!B:D,3,FALSE)</f>
        <v>CPV</v>
      </c>
      <c r="C5345" s="22">
        <v>2024</v>
      </c>
      <c r="D5345" t="s">
        <v>94</v>
      </c>
      <c r="E5345" t="s">
        <v>28</v>
      </c>
      <c r="F5345" t="str">
        <f>VLOOKUP(G5345,PC!B:D,2,FALSE)</f>
        <v>BEBIDAS</v>
      </c>
      <c r="G5345" s="4" t="s">
        <v>26</v>
      </c>
      <c r="H5345" s="1">
        <v>5018</v>
      </c>
    </row>
    <row r="5346" spans="2:8" x14ac:dyDescent="0.2">
      <c r="B5346" t="str">
        <f>VLOOKUP(G5346,PC!B:D,3,FALSE)</f>
        <v>DESPESA PESSOAL</v>
      </c>
      <c r="C5346" s="22">
        <v>2024</v>
      </c>
      <c r="D5346" t="s">
        <v>94</v>
      </c>
      <c r="E5346" t="s">
        <v>129</v>
      </c>
      <c r="F5346" t="str">
        <f>VLOOKUP(G5346,PC!B:D,2,FALSE)</f>
        <v>DESPESA PESSOAL</v>
      </c>
      <c r="G5346" s="4" t="s">
        <v>68</v>
      </c>
      <c r="H5346" s="1">
        <v>34</v>
      </c>
    </row>
    <row r="5347" spans="2:8" x14ac:dyDescent="0.2">
      <c r="B5347" t="str">
        <f>VLOOKUP(G5347,PC!B:D,3,FALSE)</f>
        <v>CPV</v>
      </c>
      <c r="C5347" s="22">
        <v>2024</v>
      </c>
      <c r="D5347" t="s">
        <v>94</v>
      </c>
      <c r="E5347" t="s">
        <v>129</v>
      </c>
      <c r="F5347" t="str">
        <f>VLOOKUP(G5347,PC!B:D,2,FALSE)</f>
        <v>OUTROS</v>
      </c>
      <c r="G5347" s="4" t="s">
        <v>37</v>
      </c>
      <c r="H5347" s="1">
        <v>560</v>
      </c>
    </row>
    <row r="5348" spans="2:8" x14ac:dyDescent="0.2">
      <c r="B5348" t="str">
        <f>VLOOKUP(G5348,PC!B:D,3,FALSE)</f>
        <v>CPV</v>
      </c>
      <c r="C5348" s="22">
        <v>2024</v>
      </c>
      <c r="D5348" t="s">
        <v>94</v>
      </c>
      <c r="E5348" t="s">
        <v>129</v>
      </c>
      <c r="F5348" t="str">
        <f>VLOOKUP(G5348,PC!B:D,2,FALSE)</f>
        <v>SOBREMESA</v>
      </c>
      <c r="G5348" s="4" t="s">
        <v>7</v>
      </c>
      <c r="H5348" s="1">
        <v>80</v>
      </c>
    </row>
    <row r="5349" spans="2:8" x14ac:dyDescent="0.2">
      <c r="B5349" t="str">
        <f>VLOOKUP(G5349,PC!B:D,3,FALSE)</f>
        <v>CPV</v>
      </c>
      <c r="C5349" s="22">
        <v>2024</v>
      </c>
      <c r="D5349" t="s">
        <v>94</v>
      </c>
      <c r="E5349" t="s">
        <v>129</v>
      </c>
      <c r="F5349" t="str">
        <f>VLOOKUP(G5349,PC!B:D,2,FALSE)</f>
        <v>COMIDA</v>
      </c>
      <c r="G5349" s="4" t="s">
        <v>33</v>
      </c>
      <c r="H5349" s="1">
        <v>72</v>
      </c>
    </row>
    <row r="5350" spans="2:8" x14ac:dyDescent="0.2">
      <c r="B5350" t="str">
        <f>VLOOKUP(G5350,PC!B:D,3,FALSE)</f>
        <v>CPV</v>
      </c>
      <c r="C5350" s="22">
        <v>2024</v>
      </c>
      <c r="D5350" t="s">
        <v>94</v>
      </c>
      <c r="E5350" t="s">
        <v>129</v>
      </c>
      <c r="F5350" t="str">
        <f>VLOOKUP(G5350,PC!B:D,2,FALSE)</f>
        <v>BEBIDAS</v>
      </c>
      <c r="G5350" s="4" t="s">
        <v>48</v>
      </c>
      <c r="H5350" s="1">
        <v>456</v>
      </c>
    </row>
    <row r="5351" spans="2:8" x14ac:dyDescent="0.2">
      <c r="B5351" t="str">
        <f>VLOOKUP(G5351,PC!B:D,3,FALSE)</f>
        <v>CPV</v>
      </c>
      <c r="C5351" s="22">
        <v>2024</v>
      </c>
      <c r="D5351" t="s">
        <v>94</v>
      </c>
      <c r="E5351" t="s">
        <v>129</v>
      </c>
      <c r="F5351" t="str">
        <f>VLOOKUP(G5351,PC!B:D,2,FALSE)</f>
        <v>BEBIDAS</v>
      </c>
      <c r="G5351" s="4" t="s">
        <v>48</v>
      </c>
      <c r="H5351" s="1">
        <v>462</v>
      </c>
    </row>
    <row r="5352" spans="2:8" x14ac:dyDescent="0.2">
      <c r="B5352" t="str">
        <f>VLOOKUP(G5352,PC!B:D,3,FALSE)</f>
        <v>CPV</v>
      </c>
      <c r="C5352" s="22">
        <v>2024</v>
      </c>
      <c r="D5352" t="s">
        <v>94</v>
      </c>
      <c r="E5352" t="s">
        <v>129</v>
      </c>
      <c r="F5352" t="str">
        <f>VLOOKUP(G5352,PC!B:D,2,FALSE)</f>
        <v>CIGARRO</v>
      </c>
      <c r="G5352" s="4" t="s">
        <v>57</v>
      </c>
      <c r="H5352" s="1">
        <v>1106</v>
      </c>
    </row>
    <row r="5353" spans="2:8" x14ac:dyDescent="0.2">
      <c r="B5353" t="str">
        <f>VLOOKUP(G5353,PC!B:D,3,FALSE)</f>
        <v>CPV</v>
      </c>
      <c r="C5353" s="22">
        <v>2024</v>
      </c>
      <c r="D5353" t="s">
        <v>94</v>
      </c>
      <c r="E5353" t="s">
        <v>129</v>
      </c>
      <c r="F5353" t="str">
        <f>VLOOKUP(G5353,PC!B:D,2,FALSE)</f>
        <v>SOBREMESA</v>
      </c>
      <c r="G5353" s="4" t="s">
        <v>7</v>
      </c>
      <c r="H5353" s="1">
        <v>105</v>
      </c>
    </row>
    <row r="5354" spans="2:8" x14ac:dyDescent="0.2">
      <c r="B5354" t="str">
        <f>VLOOKUP(G5354,PC!B:D,3,FALSE)</f>
        <v>CPV</v>
      </c>
      <c r="C5354" s="22">
        <v>2024</v>
      </c>
      <c r="D5354" t="s">
        <v>94</v>
      </c>
      <c r="E5354" t="s">
        <v>129</v>
      </c>
      <c r="F5354" t="str">
        <f>VLOOKUP(G5354,PC!B:D,2,FALSE)</f>
        <v>COMIDA</v>
      </c>
      <c r="G5354" s="4" t="s">
        <v>12</v>
      </c>
      <c r="H5354" s="1">
        <v>300</v>
      </c>
    </row>
    <row r="5355" spans="2:8" x14ac:dyDescent="0.2">
      <c r="B5355" t="str">
        <f>VLOOKUP(G5355,PC!B:D,3,FALSE)</f>
        <v>CPV</v>
      </c>
      <c r="C5355" s="22">
        <v>2024</v>
      </c>
      <c r="D5355" t="s">
        <v>94</v>
      </c>
      <c r="E5355" t="s">
        <v>129</v>
      </c>
      <c r="F5355" t="str">
        <f>VLOOKUP(G5355,PC!B:D,2,FALSE)</f>
        <v>COMIDA</v>
      </c>
      <c r="G5355" s="4" t="s">
        <v>12</v>
      </c>
      <c r="H5355" s="1">
        <v>41</v>
      </c>
    </row>
    <row r="5356" spans="2:8" x14ac:dyDescent="0.2">
      <c r="B5356" t="str">
        <f>VLOOKUP(G5356,PC!B:D,3,FALSE)</f>
        <v>CPV</v>
      </c>
      <c r="C5356" s="22">
        <v>2024</v>
      </c>
      <c r="D5356" t="s">
        <v>94</v>
      </c>
      <c r="E5356" t="s">
        <v>129</v>
      </c>
      <c r="F5356" t="str">
        <f>VLOOKUP(G5356,PC!B:D,2,FALSE)</f>
        <v>COMIDA</v>
      </c>
      <c r="G5356" s="4" t="s">
        <v>155</v>
      </c>
      <c r="H5356" s="1">
        <v>300</v>
      </c>
    </row>
    <row r="5357" spans="2:8" x14ac:dyDescent="0.2">
      <c r="B5357" t="str">
        <f>VLOOKUP(G5357,PC!B:D,3,FALSE)</f>
        <v>CPV</v>
      </c>
      <c r="C5357" s="22">
        <v>2024</v>
      </c>
      <c r="D5357" t="s">
        <v>94</v>
      </c>
      <c r="E5357" t="s">
        <v>129</v>
      </c>
      <c r="F5357" t="str">
        <f>VLOOKUP(G5357,PC!B:D,2,FALSE)</f>
        <v>SOBREMESA</v>
      </c>
      <c r="G5357" s="4" t="s">
        <v>23</v>
      </c>
      <c r="H5357" s="1">
        <v>55.9</v>
      </c>
    </row>
    <row r="5358" spans="2:8" x14ac:dyDescent="0.2">
      <c r="B5358" t="str">
        <f>VLOOKUP(G5358,PC!B:D,3,FALSE)</f>
        <v>CPV</v>
      </c>
      <c r="C5358" s="22">
        <v>2024</v>
      </c>
      <c r="D5358" t="s">
        <v>94</v>
      </c>
      <c r="E5358" t="s">
        <v>129</v>
      </c>
      <c r="F5358" t="str">
        <f>VLOOKUP(G5358,PC!B:D,2,FALSE)</f>
        <v>OUTROS</v>
      </c>
      <c r="G5358" s="4" t="s">
        <v>37</v>
      </c>
      <c r="H5358" s="1">
        <v>317</v>
      </c>
    </row>
    <row r="5359" spans="2:8" x14ac:dyDescent="0.2">
      <c r="B5359" t="str">
        <f>VLOOKUP(G5359,PC!B:D,3,FALSE)</f>
        <v>CPV</v>
      </c>
      <c r="C5359" s="22">
        <v>2024</v>
      </c>
      <c r="D5359" t="s">
        <v>94</v>
      </c>
      <c r="E5359" t="s">
        <v>129</v>
      </c>
      <c r="F5359" t="str">
        <f>VLOOKUP(G5359,PC!B:D,2,FALSE)</f>
        <v>COMIDA</v>
      </c>
      <c r="G5359" s="4" t="s">
        <v>146</v>
      </c>
      <c r="H5359" s="1">
        <v>131.63999999999999</v>
      </c>
    </row>
    <row r="5360" spans="2:8" x14ac:dyDescent="0.2">
      <c r="B5360" t="str">
        <f>VLOOKUP(G5360,PC!B:D,3,FALSE)</f>
        <v>CPV</v>
      </c>
      <c r="C5360" s="22">
        <v>2024</v>
      </c>
      <c r="D5360" t="s">
        <v>94</v>
      </c>
      <c r="E5360" t="s">
        <v>129</v>
      </c>
      <c r="F5360" t="str">
        <f>VLOOKUP(G5360,PC!B:D,2,FALSE)</f>
        <v>COMIDA</v>
      </c>
      <c r="G5360" s="4" t="s">
        <v>12</v>
      </c>
      <c r="H5360" s="1">
        <v>180</v>
      </c>
    </row>
    <row r="5361" spans="2:8" x14ac:dyDescent="0.2">
      <c r="B5361" t="str">
        <f>VLOOKUP(G5361,PC!B:D,3,FALSE)</f>
        <v>CPV</v>
      </c>
      <c r="C5361" s="22">
        <v>2024</v>
      </c>
      <c r="D5361" t="s">
        <v>94</v>
      </c>
      <c r="E5361" t="s">
        <v>129</v>
      </c>
      <c r="F5361" t="str">
        <f>VLOOKUP(G5361,PC!B:D,2,FALSE)</f>
        <v>COMIDA</v>
      </c>
      <c r="G5361" s="4" t="s">
        <v>12</v>
      </c>
      <c r="H5361" s="1">
        <v>500</v>
      </c>
    </row>
    <row r="5362" spans="2:8" x14ac:dyDescent="0.2">
      <c r="B5362" t="str">
        <f>VLOOKUP(G5362,PC!B:D,3,FALSE)</f>
        <v>CPV</v>
      </c>
      <c r="C5362" s="22">
        <v>2024</v>
      </c>
      <c r="D5362" t="s">
        <v>94</v>
      </c>
      <c r="E5362" t="s">
        <v>129</v>
      </c>
      <c r="F5362" t="str">
        <f>VLOOKUP(G5362,PC!B:D,2,FALSE)</f>
        <v>COMIDA</v>
      </c>
      <c r="G5362" s="4" t="s">
        <v>12</v>
      </c>
      <c r="H5362" s="1">
        <v>175</v>
      </c>
    </row>
    <row r="5363" spans="2:8" x14ac:dyDescent="0.2">
      <c r="B5363" t="str">
        <f>VLOOKUP(G5363,PC!B:D,3,FALSE)</f>
        <v>CPV</v>
      </c>
      <c r="C5363" s="22">
        <v>2024</v>
      </c>
      <c r="D5363" t="s">
        <v>94</v>
      </c>
      <c r="E5363" t="s">
        <v>129</v>
      </c>
      <c r="F5363" t="str">
        <f>VLOOKUP(G5363,PC!B:D,2,FALSE)</f>
        <v>OUTROS</v>
      </c>
      <c r="G5363" s="4" t="s">
        <v>37</v>
      </c>
      <c r="H5363" s="1">
        <v>238</v>
      </c>
    </row>
    <row r="5364" spans="2:8" x14ac:dyDescent="0.2">
      <c r="B5364" t="str">
        <f>VLOOKUP(G5364,PC!B:D,3,FALSE)</f>
        <v>CPV</v>
      </c>
      <c r="C5364" s="22">
        <v>2024</v>
      </c>
      <c r="D5364" t="s">
        <v>94</v>
      </c>
      <c r="E5364" t="s">
        <v>129</v>
      </c>
      <c r="F5364" t="str">
        <f>VLOOKUP(G5364,PC!B:D,2,FALSE)</f>
        <v>OUTROS</v>
      </c>
      <c r="G5364" s="4" t="s">
        <v>37</v>
      </c>
      <c r="H5364" s="1">
        <v>474</v>
      </c>
    </row>
    <row r="5365" spans="2:8" x14ac:dyDescent="0.2">
      <c r="B5365" t="str">
        <f>VLOOKUP(G5365,PC!B:D,3,FALSE)</f>
        <v>CPV</v>
      </c>
      <c r="C5365" s="22">
        <v>2024</v>
      </c>
      <c r="D5365" t="s">
        <v>94</v>
      </c>
      <c r="E5365" t="s">
        <v>129</v>
      </c>
      <c r="F5365" t="str">
        <f>VLOOKUP(G5365,PC!B:D,2,FALSE)</f>
        <v>BEBIDAS</v>
      </c>
      <c r="G5365" s="4" t="s">
        <v>46</v>
      </c>
      <c r="H5365" s="1">
        <v>201</v>
      </c>
    </row>
    <row r="5366" spans="2:8" x14ac:dyDescent="0.2">
      <c r="B5366" t="str">
        <f>VLOOKUP(G5366,PC!B:D,3,FALSE)</f>
        <v>CPV</v>
      </c>
      <c r="C5366" s="22">
        <v>2024</v>
      </c>
      <c r="D5366" t="s">
        <v>94</v>
      </c>
      <c r="E5366" t="s">
        <v>129</v>
      </c>
      <c r="F5366" t="str">
        <f>VLOOKUP(G5366,PC!B:D,2,FALSE)</f>
        <v>BEBIDAS</v>
      </c>
      <c r="G5366" s="4" t="s">
        <v>46</v>
      </c>
      <c r="H5366" s="1">
        <v>257</v>
      </c>
    </row>
    <row r="5367" spans="2:8" x14ac:dyDescent="0.2">
      <c r="B5367" t="str">
        <f>VLOOKUP(G5367,PC!B:D,3,FALSE)</f>
        <v>CPV</v>
      </c>
      <c r="C5367" s="22">
        <v>2024</v>
      </c>
      <c r="D5367" t="s">
        <v>94</v>
      </c>
      <c r="E5367" t="s">
        <v>129</v>
      </c>
      <c r="F5367" t="str">
        <f>VLOOKUP(G5367,PC!B:D,2,FALSE)</f>
        <v>SOBREMESA</v>
      </c>
      <c r="G5367" s="4" t="s">
        <v>7</v>
      </c>
      <c r="H5367" s="1">
        <v>200</v>
      </c>
    </row>
    <row r="5368" spans="2:8" x14ac:dyDescent="0.2">
      <c r="B5368" t="str">
        <f>VLOOKUP(G5368,PC!B:D,3,FALSE)</f>
        <v>CPV</v>
      </c>
      <c r="C5368" s="22">
        <v>2024</v>
      </c>
      <c r="D5368" t="s">
        <v>94</v>
      </c>
      <c r="E5368" t="s">
        <v>129</v>
      </c>
      <c r="F5368" t="str">
        <f>VLOOKUP(G5368,PC!B:D,2,FALSE)</f>
        <v>SOBREMESA</v>
      </c>
      <c r="G5368" s="4" t="s">
        <v>7</v>
      </c>
      <c r="H5368" s="1">
        <v>56</v>
      </c>
    </row>
    <row r="5369" spans="2:8" x14ac:dyDescent="0.2">
      <c r="B5369" t="str">
        <f>VLOOKUP(G5369,PC!B:D,3,FALSE)</f>
        <v>CPV</v>
      </c>
      <c r="C5369" s="22">
        <v>2024</v>
      </c>
      <c r="D5369" t="s">
        <v>94</v>
      </c>
      <c r="E5369" t="s">
        <v>129</v>
      </c>
      <c r="F5369" t="str">
        <f>VLOOKUP(G5369,PC!B:D,2,FALSE)</f>
        <v>CIGARRO</v>
      </c>
      <c r="G5369" s="4" t="s">
        <v>57</v>
      </c>
      <c r="H5369" s="1">
        <v>1255</v>
      </c>
    </row>
    <row r="5370" spans="2:8" x14ac:dyDescent="0.2">
      <c r="B5370" t="str">
        <f>VLOOKUP(G5370,PC!B:D,3,FALSE)</f>
        <v>CPV</v>
      </c>
      <c r="C5370" s="22">
        <v>2024</v>
      </c>
      <c r="D5370" t="s">
        <v>94</v>
      </c>
      <c r="E5370" t="s">
        <v>129</v>
      </c>
      <c r="F5370" t="str">
        <f>VLOOKUP(G5370,PC!B:D,2,FALSE)</f>
        <v>SOBREMESA</v>
      </c>
      <c r="G5370" s="4" t="s">
        <v>23</v>
      </c>
      <c r="H5370" s="1">
        <v>56</v>
      </c>
    </row>
    <row r="5371" spans="2:8" x14ac:dyDescent="0.2">
      <c r="B5371" t="str">
        <f>VLOOKUP(G5371,PC!B:D,3,FALSE)</f>
        <v>CPV</v>
      </c>
      <c r="C5371" s="22">
        <v>2024</v>
      </c>
      <c r="D5371" t="s">
        <v>94</v>
      </c>
      <c r="E5371" t="s">
        <v>129</v>
      </c>
      <c r="F5371" t="str">
        <f>VLOOKUP(G5371,PC!B:D,2,FALSE)</f>
        <v>BEBIDAS</v>
      </c>
      <c r="G5371" s="4" t="s">
        <v>48</v>
      </c>
      <c r="H5371" s="1">
        <v>359</v>
      </c>
    </row>
    <row r="5372" spans="2:8" x14ac:dyDescent="0.2">
      <c r="B5372" t="str">
        <f>VLOOKUP(G5372,PC!B:D,3,FALSE)</f>
        <v>CPV</v>
      </c>
      <c r="C5372" s="22">
        <v>2024</v>
      </c>
      <c r="D5372" t="s">
        <v>94</v>
      </c>
      <c r="E5372" t="s">
        <v>129</v>
      </c>
      <c r="F5372" t="str">
        <f>VLOOKUP(G5372,PC!B:D,2,FALSE)</f>
        <v>CIGARRO</v>
      </c>
      <c r="G5372" s="4" t="s">
        <v>57</v>
      </c>
      <c r="H5372" s="1">
        <v>1205</v>
      </c>
    </row>
    <row r="5373" spans="2:8" x14ac:dyDescent="0.2">
      <c r="B5373" t="str">
        <f>VLOOKUP(G5373,PC!B:D,3,FALSE)</f>
        <v>CPV</v>
      </c>
      <c r="C5373" s="22">
        <v>2024</v>
      </c>
      <c r="D5373" t="s">
        <v>94</v>
      </c>
      <c r="E5373" t="s">
        <v>129</v>
      </c>
      <c r="F5373" t="str">
        <f>VLOOKUP(G5373,PC!B:D,2,FALSE)</f>
        <v>SOBREMESA</v>
      </c>
      <c r="G5373" s="4" t="s">
        <v>7</v>
      </c>
      <c r="H5373" s="1">
        <v>63</v>
      </c>
    </row>
    <row r="5374" spans="2:8" x14ac:dyDescent="0.2">
      <c r="B5374" t="str">
        <f>VLOOKUP(G5374,PC!B:D,3,FALSE)</f>
        <v>CPV</v>
      </c>
      <c r="C5374" s="22">
        <v>2024</v>
      </c>
      <c r="D5374" t="s">
        <v>94</v>
      </c>
      <c r="E5374" t="s">
        <v>129</v>
      </c>
      <c r="F5374" t="str">
        <f>VLOOKUP(G5374,PC!B:D,2,FALSE)</f>
        <v>COMIDA</v>
      </c>
      <c r="G5374" s="4" t="s">
        <v>12</v>
      </c>
      <c r="H5374" s="1">
        <v>500</v>
      </c>
    </row>
    <row r="5375" spans="2:8" x14ac:dyDescent="0.2">
      <c r="B5375" t="str">
        <f>VLOOKUP(G5375,PC!B:D,3,FALSE)</f>
        <v>CPV</v>
      </c>
      <c r="C5375" s="22">
        <v>2024</v>
      </c>
      <c r="D5375" t="s">
        <v>94</v>
      </c>
      <c r="E5375" t="s">
        <v>129</v>
      </c>
      <c r="F5375" t="str">
        <f>VLOOKUP(G5375,PC!B:D,2,FALSE)</f>
        <v>SOBREMESA</v>
      </c>
      <c r="G5375" s="4" t="s">
        <v>7</v>
      </c>
      <c r="H5375" s="1">
        <v>63</v>
      </c>
    </row>
    <row r="5376" spans="2:8" x14ac:dyDescent="0.2">
      <c r="B5376" t="str">
        <f>VLOOKUP(G5376,PC!B:D,3,FALSE)</f>
        <v>CPV</v>
      </c>
      <c r="C5376" s="22">
        <v>2024</v>
      </c>
      <c r="D5376" t="s">
        <v>94</v>
      </c>
      <c r="E5376" t="s">
        <v>129</v>
      </c>
      <c r="F5376" t="str">
        <f>VLOOKUP(G5376,PC!B:D,2,FALSE)</f>
        <v>SOBREMESA</v>
      </c>
      <c r="G5376" s="4" t="s">
        <v>7</v>
      </c>
      <c r="H5376" s="1">
        <v>105</v>
      </c>
    </row>
    <row r="5377" spans="2:8" x14ac:dyDescent="0.2">
      <c r="B5377" t="e">
        <f>VLOOKUP(G5377,PC!B:D,3,FALSE)</f>
        <v>#N/A</v>
      </c>
      <c r="C5377" s="22">
        <v>2024</v>
      </c>
      <c r="D5377" t="s">
        <v>94</v>
      </c>
      <c r="F5377" t="e">
        <f>VLOOKUP(G5377,PC!B:D,2,FALSE)</f>
        <v>#N/A</v>
      </c>
      <c r="G5377" s="4" t="s">
        <v>157</v>
      </c>
      <c r="H5377" s="1">
        <v>163</v>
      </c>
    </row>
    <row r="5378" spans="2:8" x14ac:dyDescent="0.2">
      <c r="B5378" t="str">
        <f>VLOOKUP(G5378,PC!B:D,3,FALSE)</f>
        <v>DESPESA PESSOAL</v>
      </c>
      <c r="C5378" s="22">
        <v>2024</v>
      </c>
      <c r="D5378" t="s">
        <v>94</v>
      </c>
      <c r="F5378" t="str">
        <f>VLOOKUP(G5378,PC!B:D,2,FALSE)</f>
        <v>DESPESA PESSOAL</v>
      </c>
      <c r="G5378" s="4" t="s">
        <v>115</v>
      </c>
      <c r="H5378" s="1">
        <v>158</v>
      </c>
    </row>
    <row r="5379" spans="2:8" x14ac:dyDescent="0.2">
      <c r="B5379" t="str">
        <f>VLOOKUP(G5379,PC!B:D,3,FALSE)</f>
        <v>DESPESA FINANCEIRA</v>
      </c>
      <c r="C5379" s="22">
        <v>2024</v>
      </c>
      <c r="D5379" t="s">
        <v>84</v>
      </c>
      <c r="F5379" t="str">
        <f>VLOOKUP(G5379,PC!B:D,2,FALSE)</f>
        <v>DESPESA FINANCEIRA</v>
      </c>
      <c r="G5379" s="4" t="s">
        <v>90</v>
      </c>
      <c r="H5379" s="1">
        <v>764</v>
      </c>
    </row>
    <row r="5380" spans="2:8" x14ac:dyDescent="0.2">
      <c r="B5380" t="str">
        <f>VLOOKUP(G5380,PC!B:D,3,FALSE)</f>
        <v>DESCONTO DE FATURAMENTO</v>
      </c>
      <c r="C5380" s="22">
        <v>2024</v>
      </c>
      <c r="D5380" t="s">
        <v>84</v>
      </c>
      <c r="E5380" t="s">
        <v>129</v>
      </c>
      <c r="F5380" t="str">
        <f>VLOOKUP(G5380,PC!B:D,2,FALSE)</f>
        <v>IMPOSTO</v>
      </c>
      <c r="G5380" s="4" t="s">
        <v>88</v>
      </c>
      <c r="H5380" s="1">
        <v>4200</v>
      </c>
    </row>
    <row r="5381" spans="2:8" x14ac:dyDescent="0.2">
      <c r="B5381" t="str">
        <f>VLOOKUP(G5381,PC!B:D,3,FALSE)</f>
        <v>SERV.TERCEIROS</v>
      </c>
      <c r="C5381" s="22">
        <v>2024</v>
      </c>
      <c r="D5381" t="s">
        <v>94</v>
      </c>
      <c r="F5381" t="str">
        <f>VLOOKUP(G5381,PC!B:D,2,FALSE)</f>
        <v>SERV.TERCEIROS</v>
      </c>
      <c r="G5381" s="4" t="s">
        <v>60</v>
      </c>
      <c r="H5381" s="1">
        <v>450</v>
      </c>
    </row>
    <row r="5382" spans="2:8" x14ac:dyDescent="0.2">
      <c r="B5382" t="str">
        <f>VLOOKUP(G5382,PC!B:D,3,FALSE)</f>
        <v>CPV</v>
      </c>
      <c r="C5382" s="22">
        <v>2024</v>
      </c>
      <c r="D5382" t="s">
        <v>94</v>
      </c>
      <c r="E5382" t="s">
        <v>129</v>
      </c>
      <c r="F5382" t="str">
        <f>VLOOKUP(G5382,PC!B:D,2,FALSE)</f>
        <v>SOBREMESA</v>
      </c>
      <c r="G5382" s="4" t="s">
        <v>75</v>
      </c>
      <c r="H5382" s="1">
        <v>712.16</v>
      </c>
    </row>
    <row r="5383" spans="2:8" x14ac:dyDescent="0.2">
      <c r="B5383" t="str">
        <f>VLOOKUP(G5383,PC!B:D,3,FALSE)</f>
        <v>CPV</v>
      </c>
      <c r="C5383" s="22">
        <v>2024</v>
      </c>
      <c r="D5383" t="s">
        <v>94</v>
      </c>
      <c r="E5383" t="s">
        <v>129</v>
      </c>
      <c r="F5383" t="str">
        <f>VLOOKUP(G5383,PC!B:D,2,FALSE)</f>
        <v>LIMPEZA</v>
      </c>
      <c r="G5383" s="4" t="s">
        <v>43</v>
      </c>
      <c r="H5383" s="1">
        <v>408</v>
      </c>
    </row>
    <row r="5384" spans="2:8" x14ac:dyDescent="0.2">
      <c r="B5384" t="str">
        <f>VLOOKUP(G5384,PC!B:D,3,FALSE)</f>
        <v>CPV</v>
      </c>
      <c r="C5384" s="22">
        <v>2024</v>
      </c>
      <c r="D5384" t="s">
        <v>94</v>
      </c>
      <c r="E5384" t="s">
        <v>129</v>
      </c>
      <c r="F5384" t="str">
        <f>VLOOKUP(G5384,PC!B:D,2,FALSE)</f>
        <v>OUTROS</v>
      </c>
      <c r="G5384" s="4" t="s">
        <v>58</v>
      </c>
      <c r="H5384" s="1">
        <v>192</v>
      </c>
    </row>
    <row r="5385" spans="2:8" x14ac:dyDescent="0.2">
      <c r="B5385" t="str">
        <f>VLOOKUP(G5385,PC!B:D,3,FALSE)</f>
        <v>CPV</v>
      </c>
      <c r="C5385" s="22">
        <v>2024</v>
      </c>
      <c r="D5385" t="s">
        <v>94</v>
      </c>
      <c r="E5385" t="s">
        <v>129</v>
      </c>
      <c r="F5385" t="str">
        <f>VLOOKUP(G5385,PC!B:D,2,FALSE)</f>
        <v>BEBIDAS</v>
      </c>
      <c r="G5385" s="4" t="s">
        <v>48</v>
      </c>
      <c r="H5385" s="1">
        <v>378</v>
      </c>
    </row>
    <row r="5386" spans="2:8" x14ac:dyDescent="0.2">
      <c r="B5386" t="str">
        <f>VLOOKUP(G5386,PC!B:D,3,FALSE)</f>
        <v>CPV</v>
      </c>
      <c r="C5386" s="22">
        <v>2024</v>
      </c>
      <c r="D5386" t="s">
        <v>94</v>
      </c>
      <c r="E5386" t="s">
        <v>129</v>
      </c>
      <c r="F5386" t="str">
        <f>VLOOKUP(G5386,PC!B:D,2,FALSE)</f>
        <v>COMIDA</v>
      </c>
      <c r="G5386" s="4" t="s">
        <v>33</v>
      </c>
      <c r="H5386" s="1">
        <v>72</v>
      </c>
    </row>
    <row r="5387" spans="2:8" x14ac:dyDescent="0.2">
      <c r="B5387" t="str">
        <f>VLOOKUP(G5387,PC!B:D,3,FALSE)</f>
        <v>CPV</v>
      </c>
      <c r="C5387" s="22">
        <v>2024</v>
      </c>
      <c r="D5387" t="s">
        <v>94</v>
      </c>
      <c r="E5387" t="s">
        <v>129</v>
      </c>
      <c r="F5387" t="str">
        <f>VLOOKUP(G5387,PC!B:D,2,FALSE)</f>
        <v>COMIDA</v>
      </c>
      <c r="G5387" s="4" t="s">
        <v>155</v>
      </c>
      <c r="H5387" s="1">
        <v>300</v>
      </c>
    </row>
    <row r="5388" spans="2:8" x14ac:dyDescent="0.2">
      <c r="B5388" t="str">
        <f>VLOOKUP(G5388,PC!B:D,3,FALSE)</f>
        <v>CPV</v>
      </c>
      <c r="C5388" s="22">
        <v>2024</v>
      </c>
      <c r="D5388" t="s">
        <v>94</v>
      </c>
      <c r="E5388" t="s">
        <v>129</v>
      </c>
      <c r="F5388" t="str">
        <f>VLOOKUP(G5388,PC!B:D,2,FALSE)</f>
        <v>COMIDA</v>
      </c>
      <c r="G5388" s="4" t="s">
        <v>155</v>
      </c>
      <c r="H5388" s="1">
        <f>395+400</f>
        <v>795</v>
      </c>
    </row>
    <row r="5389" spans="2:8" x14ac:dyDescent="0.2">
      <c r="B5389" t="str">
        <f>VLOOKUP(G5389,PC!B:D,3,FALSE)</f>
        <v>CPV</v>
      </c>
      <c r="C5389" s="22">
        <v>2024</v>
      </c>
      <c r="D5389" t="s">
        <v>94</v>
      </c>
      <c r="E5389" t="s">
        <v>129</v>
      </c>
      <c r="F5389" t="str">
        <f>VLOOKUP(G5389,PC!B:D,2,FALSE)</f>
        <v>BEBIDAS</v>
      </c>
      <c r="G5389" s="4" t="s">
        <v>46</v>
      </c>
      <c r="H5389" s="1">
        <v>282</v>
      </c>
    </row>
    <row r="5390" spans="2:8" x14ac:dyDescent="0.2">
      <c r="B5390" t="str">
        <f>VLOOKUP(G5390,PC!B:D,3,FALSE)</f>
        <v>CPV</v>
      </c>
      <c r="C5390" s="22">
        <v>2024</v>
      </c>
      <c r="D5390" t="s">
        <v>94</v>
      </c>
      <c r="E5390" t="s">
        <v>129</v>
      </c>
      <c r="F5390" t="str">
        <f>VLOOKUP(G5390,PC!B:D,2,FALSE)</f>
        <v>SOBREMESA</v>
      </c>
      <c r="G5390" s="4" t="s">
        <v>7</v>
      </c>
      <c r="H5390" s="1">
        <v>224</v>
      </c>
    </row>
    <row r="5391" spans="2:8" x14ac:dyDescent="0.2">
      <c r="B5391" t="str">
        <f>VLOOKUP(G5391,PC!B:D,3,FALSE)</f>
        <v>CPV</v>
      </c>
      <c r="C5391" s="22">
        <v>2024</v>
      </c>
      <c r="D5391" t="s">
        <v>94</v>
      </c>
      <c r="E5391" t="s">
        <v>129</v>
      </c>
      <c r="F5391" t="str">
        <f>VLOOKUP(G5391,PC!B:D,2,FALSE)</f>
        <v>CIGARRO</v>
      </c>
      <c r="G5391" s="4" t="s">
        <v>57</v>
      </c>
      <c r="H5391" s="1">
        <v>900</v>
      </c>
    </row>
    <row r="5392" spans="2:8" x14ac:dyDescent="0.2">
      <c r="B5392" t="str">
        <f>VLOOKUP(G5392,PC!B:D,3,FALSE)</f>
        <v>CPV</v>
      </c>
      <c r="C5392" s="22">
        <v>2024</v>
      </c>
      <c r="D5392" t="s">
        <v>94</v>
      </c>
      <c r="E5392" t="s">
        <v>129</v>
      </c>
      <c r="F5392" t="str">
        <f>VLOOKUP(G5392,PC!B:D,2,FALSE)</f>
        <v>COMIDA</v>
      </c>
      <c r="G5392" s="4" t="s">
        <v>12</v>
      </c>
      <c r="H5392" s="1">
        <v>300</v>
      </c>
    </row>
    <row r="5393" spans="2:8" x14ac:dyDescent="0.2">
      <c r="B5393" t="str">
        <f>VLOOKUP(G5393,PC!B:D,3,FALSE)</f>
        <v>CPV</v>
      </c>
      <c r="C5393" s="22">
        <v>2024</v>
      </c>
      <c r="D5393" t="s">
        <v>94</v>
      </c>
      <c r="E5393" t="s">
        <v>129</v>
      </c>
      <c r="F5393" t="str">
        <f>VLOOKUP(G5393,PC!B:D,2,FALSE)</f>
        <v>SOBREMESA</v>
      </c>
      <c r="G5393" s="4" t="s">
        <v>7</v>
      </c>
      <c r="H5393" s="1">
        <v>224</v>
      </c>
    </row>
    <row r="5394" spans="2:8" x14ac:dyDescent="0.2">
      <c r="B5394" t="str">
        <f>VLOOKUP(G5394,PC!B:D,3,FALSE)</f>
        <v>CPV</v>
      </c>
      <c r="C5394" s="22">
        <v>2024</v>
      </c>
      <c r="D5394" t="s">
        <v>94</v>
      </c>
      <c r="E5394" t="s">
        <v>129</v>
      </c>
      <c r="F5394" t="str">
        <f>VLOOKUP(G5394,PC!B:D,2,FALSE)</f>
        <v>CIGARRO</v>
      </c>
      <c r="G5394" s="4" t="s">
        <v>57</v>
      </c>
      <c r="H5394" s="1">
        <v>1146</v>
      </c>
    </row>
    <row r="5395" spans="2:8" x14ac:dyDescent="0.2">
      <c r="B5395" t="str">
        <f>VLOOKUP(G5395,PC!B:D,3,FALSE)</f>
        <v>CPV</v>
      </c>
      <c r="C5395" s="22">
        <v>2024</v>
      </c>
      <c r="D5395" t="s">
        <v>94</v>
      </c>
      <c r="E5395" t="s">
        <v>129</v>
      </c>
      <c r="F5395" t="str">
        <f>VLOOKUP(G5395,PC!B:D,2,FALSE)</f>
        <v>OUTROS</v>
      </c>
      <c r="G5395" s="4" t="s">
        <v>37</v>
      </c>
      <c r="H5395" s="1">
        <v>214</v>
      </c>
    </row>
    <row r="5396" spans="2:8" x14ac:dyDescent="0.2">
      <c r="B5396" t="str">
        <f>VLOOKUP(G5396,PC!B:D,3,FALSE)</f>
        <v>CPV</v>
      </c>
      <c r="C5396" s="22">
        <v>2024</v>
      </c>
      <c r="D5396" t="s">
        <v>94</v>
      </c>
      <c r="E5396" t="s">
        <v>129</v>
      </c>
      <c r="F5396" t="str">
        <f>VLOOKUP(G5396,PC!B:D,2,FALSE)</f>
        <v>COMIDA</v>
      </c>
      <c r="G5396" s="4" t="s">
        <v>33</v>
      </c>
      <c r="H5396" s="1">
        <v>60</v>
      </c>
    </row>
    <row r="5397" spans="2:8" x14ac:dyDescent="0.2">
      <c r="B5397" t="str">
        <f>VLOOKUP(G5397,PC!B:D,3,FALSE)</f>
        <v>CPV</v>
      </c>
      <c r="C5397" s="22">
        <v>2024</v>
      </c>
      <c r="D5397" t="s">
        <v>94</v>
      </c>
      <c r="E5397" t="s">
        <v>129</v>
      </c>
      <c r="F5397" t="str">
        <f>VLOOKUP(G5397,PC!B:D,2,FALSE)</f>
        <v>BEBIDAS</v>
      </c>
      <c r="G5397" s="4" t="s">
        <v>48</v>
      </c>
      <c r="H5397" s="1">
        <v>228</v>
      </c>
    </row>
    <row r="5398" spans="2:8" x14ac:dyDescent="0.2">
      <c r="B5398" t="str">
        <f>VLOOKUP(G5398,PC!B:D,3,FALSE)</f>
        <v>DESPESA OPERACIONAL</v>
      </c>
      <c r="C5398" s="22">
        <v>2024</v>
      </c>
      <c r="D5398" t="s">
        <v>94</v>
      </c>
      <c r="F5398" t="str">
        <f>VLOOKUP(G5398,PC!B:D,2,FALSE)</f>
        <v>DESPESA OPERACIONAL</v>
      </c>
      <c r="G5398" s="4" t="s">
        <v>73</v>
      </c>
      <c r="H5398" s="1">
        <f>212.99+202.22541+442+489+411+133+255+424</f>
        <v>2569.2154099999998</v>
      </c>
    </row>
    <row r="5399" spans="2:8" x14ac:dyDescent="0.2">
      <c r="B5399" t="str">
        <f>VLOOKUP(G5399,PC!B:D,3,FALSE)</f>
        <v>RECEITA</v>
      </c>
      <c r="C5399" s="22">
        <v>2024</v>
      </c>
      <c r="D5399" t="s">
        <v>94</v>
      </c>
      <c r="F5399" t="str">
        <f>VLOOKUP(G5399,PC!B:D,2,FALSE)</f>
        <v>RECEITA</v>
      </c>
      <c r="G5399" s="4" t="s">
        <v>64</v>
      </c>
      <c r="H5399" s="1">
        <f>7.53+7.23+1+5.44+4+8+10+3+3</f>
        <v>49.2</v>
      </c>
    </row>
    <row r="5400" spans="2:8" x14ac:dyDescent="0.2">
      <c r="B5400" t="str">
        <f>VLOOKUP(G5400,PC!B:D,3,FALSE)</f>
        <v>DESPESA PESSOAL</v>
      </c>
      <c r="C5400" s="22">
        <v>2024</v>
      </c>
      <c r="D5400" t="s">
        <v>94</v>
      </c>
      <c r="F5400" t="str">
        <f>VLOOKUP(G5400,PC!B:D,2,FALSE)</f>
        <v>DESPESA PESSOAL</v>
      </c>
      <c r="G5400" s="4" t="s">
        <v>124</v>
      </c>
      <c r="H5400" s="1">
        <v>2400</v>
      </c>
    </row>
    <row r="5401" spans="2:8" x14ac:dyDescent="0.2">
      <c r="B5401" t="str">
        <f>VLOOKUP(G5401,PC!B:D,3,FALSE)</f>
        <v>INVESTIMENTO</v>
      </c>
      <c r="C5401" s="22">
        <v>2024</v>
      </c>
      <c r="D5401" t="s">
        <v>94</v>
      </c>
      <c r="F5401" t="str">
        <f>VLOOKUP(G5401,PC!B:D,2,FALSE)</f>
        <v>INVESTIMENTO</v>
      </c>
      <c r="G5401" s="4" t="s">
        <v>130</v>
      </c>
      <c r="H5401" s="1">
        <v>660</v>
      </c>
    </row>
    <row r="5402" spans="2:8" x14ac:dyDescent="0.2">
      <c r="B5402" t="str">
        <f>VLOOKUP(G5402,PC!B:D,3,FALSE)</f>
        <v>RECEITA</v>
      </c>
      <c r="C5402" s="22">
        <v>2024</v>
      </c>
      <c r="D5402" t="s">
        <v>98</v>
      </c>
      <c r="F5402" t="str">
        <f>VLOOKUP(G5402,PC!B:D,2,FALSE)</f>
        <v>RECEITA</v>
      </c>
      <c r="G5402" s="4" t="s">
        <v>54</v>
      </c>
      <c r="H5402" s="1">
        <f>2000+34+600+1000+45+50+1000+45+34+350+1550+188+120+40+150+87.5+450+98+1100+1150+22+85</f>
        <v>10198.5</v>
      </c>
    </row>
    <row r="5403" spans="2:8" x14ac:dyDescent="0.2">
      <c r="B5403" t="str">
        <f>VLOOKUP(G5403,PC!B:D,3,FALSE)</f>
        <v>DESPESA OPERACIONAL</v>
      </c>
      <c r="C5403" s="22">
        <v>2024</v>
      </c>
      <c r="D5403" t="s">
        <v>98</v>
      </c>
      <c r="F5403" t="str">
        <f>VLOOKUP(G5403,PC!B:D,2,FALSE)</f>
        <v>DESPESA OPERACIONAL</v>
      </c>
      <c r="G5403" s="4" t="s">
        <v>70</v>
      </c>
      <c r="H5403" s="1">
        <v>150</v>
      </c>
    </row>
    <row r="5404" spans="2:8" x14ac:dyDescent="0.2">
      <c r="B5404" t="str">
        <f>VLOOKUP(G5404,PC!B:D,3,FALSE)</f>
        <v>DESPESA OPERACIONAL</v>
      </c>
      <c r="C5404" s="22">
        <v>2024</v>
      </c>
      <c r="D5404" t="s">
        <v>98</v>
      </c>
      <c r="F5404" t="str">
        <f>VLOOKUP(G5404,PC!B:D,2,FALSE)</f>
        <v>DESPESA OPERACIONAL</v>
      </c>
      <c r="G5404" s="4" t="s">
        <v>79</v>
      </c>
      <c r="H5404" s="1">
        <v>35</v>
      </c>
    </row>
    <row r="5405" spans="2:8" x14ac:dyDescent="0.2">
      <c r="B5405" t="e">
        <f>VLOOKUP(G5405,PC!B:D,3,FALSE)</f>
        <v>#N/A</v>
      </c>
      <c r="C5405" s="22">
        <v>2024</v>
      </c>
      <c r="D5405" t="s">
        <v>98</v>
      </c>
      <c r="F5405" t="e">
        <f>VLOOKUP(G5405,PC!B:D,2,FALSE)</f>
        <v>#N/A</v>
      </c>
      <c r="G5405" s="4" t="s">
        <v>231</v>
      </c>
      <c r="H5405" s="1">
        <v>45</v>
      </c>
    </row>
    <row r="5406" spans="2:8" x14ac:dyDescent="0.2">
      <c r="B5406" t="str">
        <f>VLOOKUP(G5406,PC!B:D,3,FALSE)</f>
        <v>DESPESA OPERACIONAL</v>
      </c>
      <c r="C5406" s="22">
        <v>2024</v>
      </c>
      <c r="D5406" t="s">
        <v>98</v>
      </c>
      <c r="F5406" t="str">
        <f>VLOOKUP(G5406,PC!B:D,2,FALSE)</f>
        <v>DESPESA OPERACIONAL</v>
      </c>
      <c r="G5406" s="4" t="s">
        <v>79</v>
      </c>
      <c r="H5406" s="1">
        <v>34</v>
      </c>
    </row>
    <row r="5407" spans="2:8" x14ac:dyDescent="0.2">
      <c r="B5407" t="str">
        <f>VLOOKUP(G5407,PC!B:D,3,FALSE)</f>
        <v>RECEITA</v>
      </c>
      <c r="C5407" s="22">
        <v>2024</v>
      </c>
      <c r="D5407" t="s">
        <v>98</v>
      </c>
      <c r="F5407" t="str">
        <f>VLOOKUP(G5407,PC!B:D,2,FALSE)</f>
        <v>RECEITA</v>
      </c>
      <c r="G5407" s="4" t="s">
        <v>54</v>
      </c>
      <c r="H5407" s="1">
        <f>45+600+192+28+24+80+860+700+45+290+120+76.7+36+1200+1450+2900+40+250+60+350+700+1300+2400+1300+2350</f>
        <v>17396.7</v>
      </c>
    </row>
    <row r="5408" spans="2:8" x14ac:dyDescent="0.2">
      <c r="B5408" t="str">
        <f>VLOOKUP(G5408,PC!B:D,3,FALSE)</f>
        <v>RECEITA</v>
      </c>
      <c r="C5408" s="22">
        <v>2024</v>
      </c>
      <c r="D5408" t="s">
        <v>98</v>
      </c>
      <c r="F5408" t="str">
        <f>VLOOKUP(G5408,PC!B:D,2,FALSE)</f>
        <v>RECEITA</v>
      </c>
      <c r="G5408" s="4" t="s">
        <v>59</v>
      </c>
      <c r="H5408" s="1">
        <v>3090</v>
      </c>
    </row>
    <row r="5409" spans="2:8" x14ac:dyDescent="0.2">
      <c r="B5409" t="str">
        <f>VLOOKUP(G5409,PC!B:D,3,FALSE)</f>
        <v>DESPESA PESSOAL</v>
      </c>
      <c r="C5409" s="22">
        <v>2024</v>
      </c>
      <c r="D5409" t="s">
        <v>98</v>
      </c>
      <c r="F5409" t="str">
        <f>VLOOKUP(G5409,PC!B:D,2,FALSE)</f>
        <v>DESPESA PESSOAL</v>
      </c>
      <c r="G5409" s="4" t="s">
        <v>56</v>
      </c>
      <c r="H5409" s="1">
        <v>350</v>
      </c>
    </row>
    <row r="5410" spans="2:8" x14ac:dyDescent="0.2">
      <c r="B5410" t="str">
        <f>VLOOKUP(G5410,PC!B:D,3,FALSE)</f>
        <v>DESPESA OPERACIONAL</v>
      </c>
      <c r="C5410" s="22">
        <v>2024</v>
      </c>
      <c r="D5410" t="s">
        <v>98</v>
      </c>
      <c r="F5410" t="str">
        <f>VLOOKUP(G5410,PC!B:D,2,FALSE)</f>
        <v>DESPESA OPERACIONAL</v>
      </c>
      <c r="G5410" s="4" t="s">
        <v>79</v>
      </c>
      <c r="H5410" s="1">
        <v>40</v>
      </c>
    </row>
    <row r="5411" spans="2:8" x14ac:dyDescent="0.2">
      <c r="B5411" t="str">
        <f>VLOOKUP(G5411,PC!B:D,3,FALSE)</f>
        <v>DESPESA PESSOAL</v>
      </c>
      <c r="C5411" s="22">
        <v>2024</v>
      </c>
      <c r="D5411" t="s">
        <v>98</v>
      </c>
      <c r="F5411" t="str">
        <f>VLOOKUP(G5411,PC!B:D,2,FALSE)</f>
        <v>DESPESA PESSOAL</v>
      </c>
      <c r="G5411" s="4" t="s">
        <v>56</v>
      </c>
      <c r="H5411" s="1">
        <v>860</v>
      </c>
    </row>
    <row r="5412" spans="2:8" x14ac:dyDescent="0.2">
      <c r="B5412" t="str">
        <f>VLOOKUP(G5412,PC!B:D,3,FALSE)</f>
        <v>DESPESA OPERACIONAL</v>
      </c>
      <c r="C5412" s="22">
        <v>2024</v>
      </c>
      <c r="D5412" t="s">
        <v>98</v>
      </c>
      <c r="F5412" t="str">
        <f>VLOOKUP(G5412,PC!B:D,2,FALSE)</f>
        <v>DESPESA OPERACIONAL</v>
      </c>
      <c r="G5412" s="4" t="s">
        <v>79</v>
      </c>
      <c r="H5412" s="1">
        <v>45</v>
      </c>
    </row>
    <row r="5413" spans="2:8" x14ac:dyDescent="0.2">
      <c r="B5413" t="str">
        <f>VLOOKUP(G5413,PC!B:D,3,FALSE)</f>
        <v>CPV</v>
      </c>
      <c r="C5413" s="22">
        <v>2024</v>
      </c>
      <c r="D5413" t="s">
        <v>98</v>
      </c>
      <c r="E5413" t="s">
        <v>129</v>
      </c>
      <c r="F5413" t="str">
        <f>VLOOKUP(G5413,PC!B:D,2,FALSE)</f>
        <v>COMIDA</v>
      </c>
      <c r="G5413" s="4" t="s">
        <v>12</v>
      </c>
      <c r="H5413" s="1">
        <v>36</v>
      </c>
    </row>
    <row r="5414" spans="2:8" x14ac:dyDescent="0.2">
      <c r="B5414" t="str">
        <f>VLOOKUP(G5414,PC!B:D,3,FALSE)</f>
        <v>RECEITA</v>
      </c>
      <c r="C5414" s="22">
        <v>2024</v>
      </c>
      <c r="D5414" t="s">
        <v>98</v>
      </c>
      <c r="F5414" t="str">
        <f>VLOOKUP(G5414,PC!B:D,2,FALSE)</f>
        <v>RECEITA</v>
      </c>
      <c r="G5414" s="4" t="s">
        <v>54</v>
      </c>
      <c r="H5414" s="1">
        <f>290+350+72+1600+117+400+143+300+63+1850+25+1106+300+1750+67+120+59+36+500+10+1550+65+40+350+54</f>
        <v>11217</v>
      </c>
    </row>
    <row r="5415" spans="2:8" x14ac:dyDescent="0.2">
      <c r="B5415" t="str">
        <f>VLOOKUP(G5415,PC!B:D,3,FALSE)</f>
        <v>CPV</v>
      </c>
      <c r="C5415" s="22">
        <v>2024</v>
      </c>
      <c r="D5415" t="s">
        <v>98</v>
      </c>
      <c r="E5415" t="s">
        <v>129</v>
      </c>
      <c r="F5415" t="str">
        <f>VLOOKUP(G5415,PC!B:D,2,FALSE)</f>
        <v>LIMPEZA</v>
      </c>
      <c r="G5415" s="4" t="s">
        <v>43</v>
      </c>
      <c r="H5415" s="1">
        <v>40</v>
      </c>
    </row>
    <row r="5416" spans="2:8" x14ac:dyDescent="0.2">
      <c r="B5416" t="str">
        <f>VLOOKUP(G5416,PC!B:D,3,FALSE)</f>
        <v>CPV</v>
      </c>
      <c r="C5416" s="22">
        <v>2024</v>
      </c>
      <c r="D5416" t="s">
        <v>98</v>
      </c>
      <c r="E5416" t="s">
        <v>129</v>
      </c>
      <c r="F5416" t="str">
        <f>VLOOKUP(G5416,PC!B:D,2,FALSE)</f>
        <v>COMIDA</v>
      </c>
      <c r="G5416" s="4" t="s">
        <v>12</v>
      </c>
      <c r="H5416" s="1">
        <v>36</v>
      </c>
    </row>
    <row r="5417" spans="2:8" x14ac:dyDescent="0.2">
      <c r="B5417" t="str">
        <f>VLOOKUP(G5417,PC!B:D,3,FALSE)</f>
        <v>DESPESA PESSOAL</v>
      </c>
      <c r="C5417" s="22">
        <v>2024</v>
      </c>
      <c r="D5417" t="s">
        <v>98</v>
      </c>
      <c r="F5417" t="str">
        <f>VLOOKUP(G5417,PC!B:D,2,FALSE)</f>
        <v>DESPESA PESSOAL</v>
      </c>
      <c r="G5417" s="4" t="s">
        <v>68</v>
      </c>
      <c r="H5417" s="1">
        <v>120</v>
      </c>
    </row>
    <row r="5418" spans="2:8" x14ac:dyDescent="0.2">
      <c r="B5418" t="str">
        <f>VLOOKUP(G5418,PC!B:D,3,FALSE)</f>
        <v>CPV</v>
      </c>
      <c r="C5418" s="22">
        <v>2024</v>
      </c>
      <c r="D5418" t="s">
        <v>98</v>
      </c>
      <c r="E5418" t="s">
        <v>129</v>
      </c>
      <c r="F5418" t="str">
        <f>VLOOKUP(G5418,PC!B:D,2,FALSE)</f>
        <v>COMIDA</v>
      </c>
      <c r="G5418" s="4" t="s">
        <v>146</v>
      </c>
      <c r="H5418" s="1">
        <v>25</v>
      </c>
    </row>
    <row r="5419" spans="2:8" x14ac:dyDescent="0.2">
      <c r="B5419" t="str">
        <f>VLOOKUP(G5419,PC!B:D,3,FALSE)</f>
        <v>RECEITA</v>
      </c>
      <c r="C5419" s="22">
        <v>2024</v>
      </c>
      <c r="D5419" t="s">
        <v>98</v>
      </c>
      <c r="F5419" t="str">
        <f>VLOOKUP(G5419,PC!B:D,2,FALSE)</f>
        <v>RECEITA</v>
      </c>
      <c r="G5419" s="4" t="s">
        <v>54</v>
      </c>
      <c r="H5419" s="1">
        <f>2600+100+450+800+1000+45+300+1100+308+400+60+1300+40+182+58+50+70+87.5+200+63+700+1100+45+30+40+213</f>
        <v>11341.5</v>
      </c>
    </row>
    <row r="5420" spans="2:8" x14ac:dyDescent="0.2">
      <c r="B5420" t="str">
        <f>VLOOKUP(G5420,PC!B:D,3,FALSE)</f>
        <v>DESPESA PESSOAL</v>
      </c>
      <c r="C5420" s="22">
        <v>2024</v>
      </c>
      <c r="D5420" t="s">
        <v>98</v>
      </c>
      <c r="F5420" t="str">
        <f>VLOOKUP(G5420,PC!B:D,2,FALSE)</f>
        <v>DESPESA PESSOAL</v>
      </c>
      <c r="G5420" s="4" t="s">
        <v>68</v>
      </c>
      <c r="H5420" s="1">
        <f>30+40</f>
        <v>70</v>
      </c>
    </row>
    <row r="5421" spans="2:8" x14ac:dyDescent="0.2">
      <c r="B5421" t="str">
        <f>VLOOKUP(G5421,PC!B:D,3,FALSE)</f>
        <v>CPV</v>
      </c>
      <c r="C5421" s="22">
        <v>2024</v>
      </c>
      <c r="D5421" t="s">
        <v>98</v>
      </c>
      <c r="E5421" t="s">
        <v>129</v>
      </c>
      <c r="F5421" t="str">
        <f>VLOOKUP(G5421,PC!B:D,2,FALSE)</f>
        <v>OUTROS</v>
      </c>
      <c r="G5421" s="4" t="s">
        <v>37</v>
      </c>
      <c r="H5421" s="1">
        <v>70</v>
      </c>
    </row>
    <row r="5422" spans="2:8" x14ac:dyDescent="0.2">
      <c r="B5422" t="str">
        <f>VLOOKUP(G5422,PC!B:D,3,FALSE)</f>
        <v>DESPESA OPERACIONAL</v>
      </c>
      <c r="C5422" s="22">
        <v>2024</v>
      </c>
      <c r="D5422" t="s">
        <v>98</v>
      </c>
      <c r="F5422" t="str">
        <f>VLOOKUP(G5422,PC!B:D,2,FALSE)</f>
        <v>DESPESA OPERACIONAL</v>
      </c>
      <c r="G5422" s="4" t="s">
        <v>70</v>
      </c>
      <c r="H5422" s="1">
        <v>58</v>
      </c>
    </row>
    <row r="5423" spans="2:8" x14ac:dyDescent="0.2">
      <c r="B5423" t="e">
        <f>VLOOKUP(G5423,PC!B:D,3,FALSE)</f>
        <v>#N/A</v>
      </c>
      <c r="C5423" s="22">
        <v>2024</v>
      </c>
      <c r="D5423" t="s">
        <v>98</v>
      </c>
      <c r="F5423" t="e">
        <f>VLOOKUP(G5423,PC!B:D,2,FALSE)</f>
        <v>#N/A</v>
      </c>
      <c r="G5423" s="4" t="s">
        <v>231</v>
      </c>
      <c r="H5423" s="1">
        <v>45</v>
      </c>
    </row>
    <row r="5424" spans="2:8" x14ac:dyDescent="0.2">
      <c r="B5424" t="str">
        <f>VLOOKUP(G5424,PC!B:D,3,FALSE)</f>
        <v>DESPESA PESSOAL</v>
      </c>
      <c r="C5424" s="22">
        <v>2024</v>
      </c>
      <c r="D5424" t="s">
        <v>98</v>
      </c>
      <c r="F5424" t="str">
        <f>VLOOKUP(G5424,PC!B:D,2,FALSE)</f>
        <v>DESPESA PESSOAL</v>
      </c>
      <c r="G5424" s="4" t="s">
        <v>56</v>
      </c>
      <c r="H5424" s="1">
        <v>100</v>
      </c>
    </row>
    <row r="5425" spans="2:8" x14ac:dyDescent="0.2">
      <c r="B5425" t="str">
        <f>VLOOKUP(G5425,PC!B:D,3,FALSE)</f>
        <v>RECEITA</v>
      </c>
      <c r="C5425" s="22">
        <v>2024</v>
      </c>
      <c r="D5425" t="s">
        <v>98</v>
      </c>
      <c r="F5425" t="str">
        <f>VLOOKUP(G5425,PC!B:D,2,FALSE)</f>
        <v>RECEITA</v>
      </c>
      <c r="G5425" s="4" t="s">
        <v>54</v>
      </c>
      <c r="H5425" s="1">
        <f>36+1300+400+400+33.3+36+800+750+56+560+350+1400+2000+200+700+600+45+1450+45+282+1600+99+170+45</f>
        <v>13357.3</v>
      </c>
    </row>
    <row r="5426" spans="2:8" x14ac:dyDescent="0.2">
      <c r="B5426" t="str">
        <f>VLOOKUP(G5426,PC!B:D,3,FALSE)</f>
        <v>DESPESA OPERACIONAL</v>
      </c>
      <c r="C5426" s="22">
        <v>2024</v>
      </c>
      <c r="D5426" t="s">
        <v>98</v>
      </c>
      <c r="F5426" t="str">
        <f>VLOOKUP(G5426,PC!B:D,2,FALSE)</f>
        <v>DESPESA OPERACIONAL</v>
      </c>
      <c r="G5426" s="4" t="s">
        <v>70</v>
      </c>
      <c r="H5426" s="1">
        <v>170</v>
      </c>
    </row>
    <row r="5427" spans="2:8" x14ac:dyDescent="0.2">
      <c r="B5427" t="str">
        <f>VLOOKUP(G5427,PC!B:D,3,FALSE)</f>
        <v>CPV</v>
      </c>
      <c r="C5427" s="22">
        <v>2024</v>
      </c>
      <c r="D5427" t="s">
        <v>98</v>
      </c>
      <c r="E5427" t="s">
        <v>129</v>
      </c>
      <c r="F5427" t="str">
        <f>VLOOKUP(G5427,PC!B:D,2,FALSE)</f>
        <v>COMIDA</v>
      </c>
      <c r="G5427" s="4" t="s">
        <v>146</v>
      </c>
      <c r="H5427" s="1">
        <v>282</v>
      </c>
    </row>
    <row r="5428" spans="2:8" x14ac:dyDescent="0.2">
      <c r="B5428" t="e">
        <f>VLOOKUP(G5428,PC!B:D,3,FALSE)</f>
        <v>#N/A</v>
      </c>
      <c r="C5428" s="22">
        <v>2024</v>
      </c>
      <c r="D5428" t="s">
        <v>98</v>
      </c>
      <c r="F5428" t="e">
        <f>VLOOKUP(G5428,PC!B:D,2,FALSE)</f>
        <v>#N/A</v>
      </c>
      <c r="G5428" s="4" t="s">
        <v>231</v>
      </c>
      <c r="H5428" s="1">
        <v>45</v>
      </c>
    </row>
    <row r="5429" spans="2:8" x14ac:dyDescent="0.2">
      <c r="B5429" t="str">
        <f>VLOOKUP(G5429,PC!B:D,3,FALSE)</f>
        <v>CPV</v>
      </c>
      <c r="C5429" s="22">
        <v>2024</v>
      </c>
      <c r="D5429" t="s">
        <v>98</v>
      </c>
      <c r="E5429" t="s">
        <v>129</v>
      </c>
      <c r="F5429" t="str">
        <f>VLOOKUP(G5429,PC!B:D,2,FALSE)</f>
        <v>COMIDA</v>
      </c>
      <c r="G5429" s="4" t="s">
        <v>146</v>
      </c>
      <c r="H5429" s="1">
        <v>36</v>
      </c>
    </row>
    <row r="5430" spans="2:8" x14ac:dyDescent="0.2">
      <c r="B5430" t="str">
        <f>VLOOKUP(G5430,PC!B:D,3,FALSE)</f>
        <v>CPV</v>
      </c>
      <c r="C5430" s="22">
        <v>2024</v>
      </c>
      <c r="D5430" t="s">
        <v>98</v>
      </c>
      <c r="E5430" t="s">
        <v>129</v>
      </c>
      <c r="F5430" t="str">
        <f>VLOOKUP(G5430,PC!B:D,2,FALSE)</f>
        <v>COMIDA</v>
      </c>
      <c r="G5430" s="4" t="s">
        <v>12</v>
      </c>
      <c r="H5430" s="1">
        <v>36</v>
      </c>
    </row>
    <row r="5431" spans="2:8" x14ac:dyDescent="0.2">
      <c r="B5431" t="str">
        <f>VLOOKUP(G5431,PC!B:D,3,FALSE)</f>
        <v>DESPESA PESSOAL</v>
      </c>
      <c r="C5431" s="22">
        <v>2024</v>
      </c>
      <c r="D5431" t="s">
        <v>98</v>
      </c>
      <c r="F5431" t="str">
        <f>VLOOKUP(G5431,PC!B:D,2,FALSE)</f>
        <v>DESPESA PESSOAL</v>
      </c>
      <c r="G5431" s="4" t="s">
        <v>56</v>
      </c>
      <c r="H5431" s="1">
        <v>350</v>
      </c>
    </row>
    <row r="5432" spans="2:8" x14ac:dyDescent="0.2">
      <c r="B5432" t="str">
        <f>VLOOKUP(G5432,PC!B:D,3,FALSE)</f>
        <v>RECEITA</v>
      </c>
      <c r="C5432" s="22">
        <v>2024</v>
      </c>
      <c r="D5432" t="s">
        <v>98</v>
      </c>
      <c r="F5432" t="str">
        <f>VLOOKUP(G5432,PC!B:D,2,FALSE)</f>
        <v>RECEITA</v>
      </c>
      <c r="G5432" s="4" t="s">
        <v>54</v>
      </c>
      <c r="H5432" s="1">
        <f>500+76+600+650+45+45+200+1300+90+59+250+225+25.5+700+1000+750+60+350+550+70+600+1650+550+450+550+800</f>
        <v>12145.5</v>
      </c>
    </row>
    <row r="5433" spans="2:8" x14ac:dyDescent="0.2">
      <c r="B5433" t="e">
        <f>VLOOKUP(G5433,PC!B:D,3,FALSE)</f>
        <v>#N/A</v>
      </c>
      <c r="C5433" s="22">
        <v>2024</v>
      </c>
      <c r="D5433" t="s">
        <v>98</v>
      </c>
      <c r="F5433" t="e">
        <f>VLOOKUP(G5433,PC!B:D,2,FALSE)</f>
        <v>#N/A</v>
      </c>
      <c r="G5433" s="4" t="s">
        <v>231</v>
      </c>
      <c r="H5433" s="1">
        <v>70</v>
      </c>
    </row>
    <row r="5434" spans="2:8" x14ac:dyDescent="0.2">
      <c r="B5434" t="str">
        <f>VLOOKUP(G5434,PC!B:D,3,FALSE)</f>
        <v>DESPESA PESSOAL</v>
      </c>
      <c r="C5434" s="22">
        <v>2024</v>
      </c>
      <c r="D5434" t="s">
        <v>98</v>
      </c>
      <c r="F5434" t="str">
        <f>VLOOKUP(G5434,PC!B:D,2,FALSE)</f>
        <v>DESPESA PESSOAL</v>
      </c>
      <c r="G5434" s="4" t="s">
        <v>56</v>
      </c>
      <c r="H5434" s="1">
        <v>350</v>
      </c>
    </row>
    <row r="5435" spans="2:8" x14ac:dyDescent="0.2">
      <c r="B5435" t="str">
        <f>VLOOKUP(G5435,PC!B:D,3,FALSE)</f>
        <v>DESPESA PESSOAL</v>
      </c>
      <c r="C5435" s="22">
        <v>2024</v>
      </c>
      <c r="D5435" t="s">
        <v>98</v>
      </c>
      <c r="F5435" t="str">
        <f>VLOOKUP(G5435,PC!B:D,2,FALSE)</f>
        <v>DESPESA PESSOAL</v>
      </c>
      <c r="G5435" s="4" t="s">
        <v>68</v>
      </c>
      <c r="H5435" s="1">
        <v>45</v>
      </c>
    </row>
    <row r="5436" spans="2:8" x14ac:dyDescent="0.2">
      <c r="B5436" t="str">
        <f>VLOOKUP(G5436,PC!B:D,3,FALSE)</f>
        <v>RECEITA</v>
      </c>
      <c r="C5436" s="22">
        <v>2024</v>
      </c>
      <c r="D5436" t="s">
        <v>98</v>
      </c>
      <c r="F5436" t="str">
        <f>VLOOKUP(G5436,PC!B:D,2,FALSE)</f>
        <v>RECEITA</v>
      </c>
      <c r="G5436" s="4" t="s">
        <v>54</v>
      </c>
      <c r="H5436" s="1">
        <f>45+600+600+1600</f>
        <v>2845</v>
      </c>
    </row>
    <row r="5437" spans="2:8" x14ac:dyDescent="0.2">
      <c r="B5437" t="e">
        <f>VLOOKUP(G5437,PC!B:D,3,FALSE)</f>
        <v>#N/A</v>
      </c>
      <c r="C5437" s="22">
        <v>2024</v>
      </c>
      <c r="D5437" t="s">
        <v>98</v>
      </c>
      <c r="F5437" t="e">
        <f>VLOOKUP(G5437,PC!B:D,2,FALSE)</f>
        <v>#N/A</v>
      </c>
      <c r="G5437" s="4" t="s">
        <v>231</v>
      </c>
      <c r="H5437" s="1">
        <v>45</v>
      </c>
    </row>
    <row r="5438" spans="2:8" x14ac:dyDescent="0.2">
      <c r="B5438" t="str">
        <f>VLOOKUP(G5438,PC!B:D,3,FALSE)</f>
        <v>RECEITA</v>
      </c>
      <c r="C5438" s="22">
        <v>2024</v>
      </c>
      <c r="D5438" t="s">
        <v>98</v>
      </c>
      <c r="F5438" t="str">
        <f>VLOOKUP(G5438,PC!B:D,2,FALSE)</f>
        <v>RECEITA</v>
      </c>
      <c r="G5438" s="4" t="s">
        <v>137</v>
      </c>
      <c r="H5438" s="1">
        <v>30000</v>
      </c>
    </row>
    <row r="5439" spans="2:8" x14ac:dyDescent="0.2">
      <c r="B5439" t="str">
        <f>VLOOKUP(G5439,PC!B:D,3,FALSE)</f>
        <v>RECEITA</v>
      </c>
      <c r="C5439" s="22">
        <v>2024</v>
      </c>
      <c r="D5439" t="s">
        <v>98</v>
      </c>
      <c r="F5439" t="str">
        <f>VLOOKUP(G5439,PC!B:D,2,FALSE)</f>
        <v>RECEITA</v>
      </c>
      <c r="G5439" s="4" t="s">
        <v>136</v>
      </c>
      <c r="H5439" s="1">
        <v>25838.52</v>
      </c>
    </row>
    <row r="5440" spans="2:8" x14ac:dyDescent="0.2">
      <c r="B5440" t="str">
        <f>VLOOKUP(G5440,PC!B:D,3,FALSE)</f>
        <v>DESCONTO DE FATURAMENTO</v>
      </c>
      <c r="C5440" s="22">
        <v>2024</v>
      </c>
      <c r="D5440" t="s">
        <v>98</v>
      </c>
      <c r="F5440" t="str">
        <f>VLOOKUP(G5440,PC!B:D,2,FALSE)</f>
        <v>OUTROS DESCONTOS</v>
      </c>
      <c r="G5440" s="4" t="s">
        <v>63</v>
      </c>
      <c r="H5440" s="1">
        <f>0.018*H5438</f>
        <v>540</v>
      </c>
    </row>
    <row r="5441" spans="2:8" x14ac:dyDescent="0.2">
      <c r="B5441" t="str">
        <f>VLOOKUP(G5441,PC!B:D,3,FALSE)</f>
        <v>DESCONTO DE FATURAMENTO</v>
      </c>
      <c r="C5441" s="22">
        <v>2024</v>
      </c>
      <c r="D5441" t="s">
        <v>98</v>
      </c>
      <c r="F5441" t="str">
        <f>VLOOKUP(G5441,PC!B:D,2,FALSE)</f>
        <v>OUTROS DESCONTOS</v>
      </c>
      <c r="G5441" s="4" t="s">
        <v>63</v>
      </c>
      <c r="H5441" s="1">
        <f>0.008*H5439</f>
        <v>206.70816000000002</v>
      </c>
    </row>
    <row r="5442" spans="2:8" x14ac:dyDescent="0.2">
      <c r="B5442" t="str">
        <f>VLOOKUP(G5442,PC!B:D,3,FALSE)</f>
        <v>CPV</v>
      </c>
      <c r="C5442" s="22">
        <v>2024</v>
      </c>
      <c r="D5442" t="s">
        <v>94</v>
      </c>
      <c r="E5442" t="s">
        <v>129</v>
      </c>
      <c r="F5442" t="str">
        <f>VLOOKUP(G5442,PC!B:D,2,FALSE)</f>
        <v>OUTROS</v>
      </c>
      <c r="G5442" s="4" t="s">
        <v>37</v>
      </c>
      <c r="H5442" s="1">
        <v>316.26</v>
      </c>
    </row>
    <row r="5443" spans="2:8" x14ac:dyDescent="0.2">
      <c r="B5443" t="str">
        <f>VLOOKUP(G5443,PC!B:D,3,FALSE)</f>
        <v>CPV</v>
      </c>
      <c r="C5443" s="22">
        <v>2024</v>
      </c>
      <c r="D5443" t="s">
        <v>94</v>
      </c>
      <c r="F5443" t="str">
        <f>VLOOKUP(G5443,PC!B:D,2,FALSE)</f>
        <v>OUTROS</v>
      </c>
      <c r="G5443" s="4" t="s">
        <v>37</v>
      </c>
      <c r="H5443" s="1">
        <v>157.9</v>
      </c>
    </row>
    <row r="5444" spans="2:8" x14ac:dyDescent="0.2">
      <c r="B5444" t="str">
        <f>VLOOKUP(G5444,PC!B:D,3,FALSE)</f>
        <v>CPV</v>
      </c>
      <c r="C5444" s="22">
        <v>2024</v>
      </c>
      <c r="D5444" t="s">
        <v>94</v>
      </c>
      <c r="E5444" t="s">
        <v>234</v>
      </c>
      <c r="F5444" t="str">
        <f>VLOOKUP(G5444,PC!B:D,2,FALSE)</f>
        <v>COMIDA</v>
      </c>
      <c r="G5444" s="4" t="s">
        <v>18</v>
      </c>
      <c r="H5444" s="1">
        <v>747.49</v>
      </c>
    </row>
    <row r="5445" spans="2:8" x14ac:dyDescent="0.2">
      <c r="B5445" t="str">
        <f>VLOOKUP(G5445,PC!B:D,3,FALSE)</f>
        <v>CPV</v>
      </c>
      <c r="C5445" s="22">
        <v>2024</v>
      </c>
      <c r="D5445" t="s">
        <v>94</v>
      </c>
      <c r="E5445" t="s">
        <v>30</v>
      </c>
      <c r="F5445" t="str">
        <f>VLOOKUP(G5445,PC!B:D,2,FALSE)</f>
        <v>BEBIDAS</v>
      </c>
      <c r="G5445" s="4" t="s">
        <v>48</v>
      </c>
      <c r="H5445" s="1">
        <v>125.7</v>
      </c>
    </row>
    <row r="5446" spans="2:8" x14ac:dyDescent="0.2">
      <c r="B5446" t="str">
        <f>VLOOKUP(G5446,PC!B:D,3,FALSE)</f>
        <v>CPV</v>
      </c>
      <c r="C5446" s="22">
        <v>2024</v>
      </c>
      <c r="D5446" t="s">
        <v>94</v>
      </c>
      <c r="E5446" t="s">
        <v>239</v>
      </c>
      <c r="F5446" t="str">
        <f>VLOOKUP(G5446,PC!B:D,2,FALSE)</f>
        <v>BEBIDAS</v>
      </c>
      <c r="G5446" s="4" t="s">
        <v>26</v>
      </c>
      <c r="H5446" s="1">
        <f>519.6+664</f>
        <v>1183.5999999999999</v>
      </c>
    </row>
    <row r="5447" spans="2:8" x14ac:dyDescent="0.2">
      <c r="B5447" t="str">
        <f>VLOOKUP(G5447,PC!B:D,3,FALSE)</f>
        <v>CPV</v>
      </c>
      <c r="C5447" s="22">
        <v>2024</v>
      </c>
      <c r="D5447" t="s">
        <v>94</v>
      </c>
      <c r="E5447" t="s">
        <v>19</v>
      </c>
      <c r="F5447" t="str">
        <f>VLOOKUP(G5447,PC!B:D,2,FALSE)</f>
        <v>OUTROS</v>
      </c>
      <c r="G5447" s="4" t="s">
        <v>37</v>
      </c>
      <c r="H5447" s="1">
        <f>60.6+140.06</f>
        <v>200.66</v>
      </c>
    </row>
    <row r="5448" spans="2:8" x14ac:dyDescent="0.2">
      <c r="B5448" t="str">
        <f>VLOOKUP(G5448,PC!B:D,3,FALSE)</f>
        <v>CPV</v>
      </c>
      <c r="C5448" s="22">
        <v>2024</v>
      </c>
      <c r="D5448" t="s">
        <v>94</v>
      </c>
      <c r="E5448" t="s">
        <v>156</v>
      </c>
      <c r="F5448" t="str">
        <f>VLOOKUP(G5448,PC!B:D,2,FALSE)</f>
        <v>BEBIDAS</v>
      </c>
      <c r="G5448" s="4" t="s">
        <v>26</v>
      </c>
      <c r="H5448" s="1">
        <v>551.4</v>
      </c>
    </row>
    <row r="5449" spans="2:8" x14ac:dyDescent="0.2">
      <c r="B5449" t="str">
        <f>VLOOKUP(G5449,PC!B:D,3,FALSE)</f>
        <v>CPV</v>
      </c>
      <c r="C5449" s="22">
        <v>2024</v>
      </c>
      <c r="D5449" t="s">
        <v>94</v>
      </c>
      <c r="E5449" t="s">
        <v>28</v>
      </c>
      <c r="F5449" t="str">
        <f>VLOOKUP(G5449,PC!B:D,2,FALSE)</f>
        <v>BEBIDAS</v>
      </c>
      <c r="G5449" s="4" t="s">
        <v>26</v>
      </c>
      <c r="H5449" s="1">
        <f>3412.8+2822.74</f>
        <v>6235.54</v>
      </c>
    </row>
    <row r="5450" spans="2:8" x14ac:dyDescent="0.2">
      <c r="B5450" t="str">
        <f>VLOOKUP(G5450,PC!B:D,3,FALSE)</f>
        <v>RECEITA</v>
      </c>
      <c r="C5450" s="22">
        <v>2024</v>
      </c>
      <c r="D5450" t="s">
        <v>94</v>
      </c>
      <c r="F5450" t="str">
        <f>VLOOKUP(G5450,PC!B:D,2,FALSE)</f>
        <v>RECEITA</v>
      </c>
      <c r="G5450" s="4" t="s">
        <v>83</v>
      </c>
      <c r="H5450" s="1">
        <v>37</v>
      </c>
    </row>
    <row r="5451" spans="2:8" x14ac:dyDescent="0.2">
      <c r="B5451" t="str">
        <f>VLOOKUP(G5451,PC!B:D,3,FALSE)</f>
        <v>CPV</v>
      </c>
      <c r="C5451" s="22">
        <v>2024</v>
      </c>
      <c r="D5451" t="s">
        <v>94</v>
      </c>
      <c r="E5451" t="s">
        <v>16</v>
      </c>
      <c r="F5451" t="str">
        <f>VLOOKUP(G5451,PC!B:D,2,FALSE)</f>
        <v>COMIDA</v>
      </c>
      <c r="G5451" s="4" t="s">
        <v>12</v>
      </c>
      <c r="H5451" s="1">
        <f>274.78+258.8</f>
        <v>533.57999999999993</v>
      </c>
    </row>
    <row r="5452" spans="2:8" x14ac:dyDescent="0.2">
      <c r="B5452" t="str">
        <f>VLOOKUP(G5452,PC!B:D,3,FALSE)</f>
        <v>CPV</v>
      </c>
      <c r="C5452" s="22">
        <v>2024</v>
      </c>
      <c r="D5452" t="s">
        <v>94</v>
      </c>
      <c r="E5452" t="s">
        <v>226</v>
      </c>
      <c r="F5452" t="str">
        <f>VLOOKUP(G5452,PC!B:D,2,FALSE)</f>
        <v>BEBIDAS</v>
      </c>
      <c r="G5452" s="4" t="s">
        <v>25</v>
      </c>
      <c r="H5452" s="1">
        <f>899.22</f>
        <v>899.22</v>
      </c>
    </row>
    <row r="5453" spans="2:8" x14ac:dyDescent="0.2">
      <c r="B5453" t="str">
        <f>VLOOKUP(G5453,PC!B:D,3,FALSE)</f>
        <v>RECEITA</v>
      </c>
      <c r="C5453" s="22">
        <v>2024</v>
      </c>
      <c r="D5453" t="s">
        <v>94</v>
      </c>
      <c r="F5453" t="str">
        <f>VLOOKUP(G5453,PC!B:D,2,FALSE)</f>
        <v>RECEITA</v>
      </c>
      <c r="G5453" s="4" t="s">
        <v>83</v>
      </c>
      <c r="H5453" s="1">
        <v>1327.27</v>
      </c>
    </row>
    <row r="5454" spans="2:8" x14ac:dyDescent="0.2">
      <c r="B5454" t="str">
        <f>VLOOKUP(G5454,PC!B:D,3,FALSE)</f>
        <v>CPV</v>
      </c>
      <c r="C5454" s="22">
        <v>2024</v>
      </c>
      <c r="D5454" t="s">
        <v>98</v>
      </c>
      <c r="E5454" t="s">
        <v>226</v>
      </c>
      <c r="F5454" t="str">
        <f>VLOOKUP(G5454,PC!B:D,2,FALSE)</f>
        <v>BEBIDAS</v>
      </c>
      <c r="G5454" s="4" t="s">
        <v>25</v>
      </c>
      <c r="H5454" s="1">
        <f>124.24+2420.95+1190.77</f>
        <v>3735.9599999999996</v>
      </c>
    </row>
    <row r="5455" spans="2:8" x14ac:dyDescent="0.2">
      <c r="B5455" t="str">
        <f>VLOOKUP(G5455,PC!B:D,3,FALSE)</f>
        <v>CPV</v>
      </c>
      <c r="C5455" s="22">
        <v>2024</v>
      </c>
      <c r="D5455" t="s">
        <v>98</v>
      </c>
      <c r="E5455" t="s">
        <v>49</v>
      </c>
      <c r="F5455" t="str">
        <f>VLOOKUP(G5455,PC!B:D,2,FALSE)</f>
        <v>CIGARRO</v>
      </c>
      <c r="G5455" s="4" t="s">
        <v>52</v>
      </c>
      <c r="H5455" s="1">
        <f>4913.7</f>
        <v>4913.7</v>
      </c>
    </row>
    <row r="5456" spans="2:8" x14ac:dyDescent="0.2">
      <c r="B5456" t="str">
        <f>VLOOKUP(G5456,PC!B:D,3,FALSE)</f>
        <v>RECEITA</v>
      </c>
      <c r="C5456" s="22">
        <v>2024</v>
      </c>
      <c r="D5456" t="s">
        <v>98</v>
      </c>
      <c r="F5456" t="str">
        <f>VLOOKUP(G5456,PC!B:D,2,FALSE)</f>
        <v>RECEITA</v>
      </c>
      <c r="G5456" s="4" t="s">
        <v>83</v>
      </c>
      <c r="H5456" s="1">
        <f>6241.01+8001.46</f>
        <v>14242.470000000001</v>
      </c>
    </row>
    <row r="5457" spans="2:8" x14ac:dyDescent="0.2">
      <c r="B5457" t="str">
        <f>VLOOKUP(G5457,PC!B:D,3,FALSE)</f>
        <v>CPV</v>
      </c>
      <c r="C5457" s="22">
        <v>2024</v>
      </c>
      <c r="D5457" t="s">
        <v>98</v>
      </c>
      <c r="E5457" t="s">
        <v>49</v>
      </c>
      <c r="F5457" t="str">
        <f>VLOOKUP(G5457,PC!B:D,2,FALSE)</f>
        <v>CIGARRO</v>
      </c>
      <c r="G5457" s="4" t="s">
        <v>52</v>
      </c>
      <c r="H5457" s="1">
        <v>12753.92</v>
      </c>
    </row>
    <row r="5458" spans="2:8" x14ac:dyDescent="0.2">
      <c r="B5458" t="str">
        <f>VLOOKUP(G5458,PC!B:D,3,FALSE)</f>
        <v>CPV</v>
      </c>
      <c r="C5458" s="22">
        <v>2024</v>
      </c>
      <c r="D5458" t="s">
        <v>98</v>
      </c>
      <c r="E5458" t="s">
        <v>78</v>
      </c>
      <c r="F5458" t="str">
        <f>VLOOKUP(G5458,PC!B:D,2,FALSE)</f>
        <v>CIGARRO</v>
      </c>
      <c r="G5458" s="4" t="s">
        <v>82</v>
      </c>
      <c r="H5458" s="1">
        <f>1043.65+51+684.33</f>
        <v>1778.98</v>
      </c>
    </row>
    <row r="5459" spans="2:8" x14ac:dyDescent="0.2">
      <c r="B5459" t="str">
        <f>VLOOKUP(G5459,PC!B:D,3,FALSE)</f>
        <v>RECEITA</v>
      </c>
      <c r="C5459" s="22">
        <v>2024</v>
      </c>
      <c r="D5459" t="s">
        <v>98</v>
      </c>
      <c r="F5459" t="str">
        <f>VLOOKUP(G5459,PC!B:D,2,FALSE)</f>
        <v>RECEITA</v>
      </c>
      <c r="G5459" s="4" t="s">
        <v>83</v>
      </c>
      <c r="H5459" s="1">
        <v>4.58</v>
      </c>
    </row>
    <row r="5460" spans="2:8" x14ac:dyDescent="0.2">
      <c r="B5460" t="str">
        <f>VLOOKUP(G5460,PC!B:D,3,FALSE)</f>
        <v>CPV</v>
      </c>
      <c r="C5460" s="22">
        <v>2024</v>
      </c>
      <c r="D5460" t="s">
        <v>98</v>
      </c>
      <c r="E5460" t="s">
        <v>239</v>
      </c>
      <c r="F5460" t="str">
        <f>VLOOKUP(G5460,PC!B:D,2,FALSE)</f>
        <v>BEBIDAS</v>
      </c>
      <c r="G5460" s="4" t="s">
        <v>26</v>
      </c>
      <c r="H5460" s="1">
        <f>469.2+490.44+398.32+405.48+508.59</f>
        <v>2272.0300000000002</v>
      </c>
    </row>
    <row r="5461" spans="2:8" x14ac:dyDescent="0.2">
      <c r="B5461" t="str">
        <f>VLOOKUP(G5461,PC!B:D,3,FALSE)</f>
        <v>CPV</v>
      </c>
      <c r="C5461" s="22">
        <v>2024</v>
      </c>
      <c r="D5461" t="s">
        <v>98</v>
      </c>
      <c r="E5461" t="s">
        <v>156</v>
      </c>
      <c r="F5461" t="str">
        <f>VLOOKUP(G5461,PC!B:D,2,FALSE)</f>
        <v>BEBIDAS</v>
      </c>
      <c r="G5461" s="4" t="s">
        <v>26</v>
      </c>
      <c r="H5461" s="1">
        <f>551.4+565.5</f>
        <v>1116.9000000000001</v>
      </c>
    </row>
    <row r="5462" spans="2:8" x14ac:dyDescent="0.2">
      <c r="B5462" t="str">
        <f>VLOOKUP(G5462,PC!B:D,3,FALSE)</f>
        <v>RECEITA</v>
      </c>
      <c r="C5462" s="22">
        <v>2024</v>
      </c>
      <c r="D5462" t="s">
        <v>98</v>
      </c>
      <c r="F5462" t="str">
        <f>VLOOKUP(G5462,PC!B:D,2,FALSE)</f>
        <v>RECEITA</v>
      </c>
      <c r="G5462" s="4" t="s">
        <v>83</v>
      </c>
      <c r="H5462" s="1">
        <v>54</v>
      </c>
    </row>
    <row r="5463" spans="2:8" x14ac:dyDescent="0.2">
      <c r="B5463" t="str">
        <f>VLOOKUP(G5463,PC!B:D,3,FALSE)</f>
        <v>CPV</v>
      </c>
      <c r="C5463" s="22">
        <v>2024</v>
      </c>
      <c r="D5463" t="s">
        <v>98</v>
      </c>
      <c r="E5463" t="s">
        <v>211</v>
      </c>
      <c r="F5463" t="str">
        <f>VLOOKUP(G5463,PC!B:D,2,FALSE)</f>
        <v>BEBIDAS</v>
      </c>
      <c r="G5463" s="4" t="s">
        <v>26</v>
      </c>
      <c r="H5463" s="1">
        <f>1398.75+734.25+1385.5+1280.39</f>
        <v>4798.8900000000003</v>
      </c>
    </row>
    <row r="5464" spans="2:8" x14ac:dyDescent="0.2">
      <c r="B5464" t="str">
        <f>VLOOKUP(G5464,PC!B:D,3,FALSE)</f>
        <v>CPV</v>
      </c>
      <c r="C5464" s="22">
        <v>2024</v>
      </c>
      <c r="D5464" t="s">
        <v>98</v>
      </c>
      <c r="E5464" t="s">
        <v>212</v>
      </c>
      <c r="F5464" t="str">
        <f>VLOOKUP(G5464,PC!B:D,2,FALSE)</f>
        <v>COMIDA</v>
      </c>
      <c r="G5464" s="4" t="s">
        <v>12</v>
      </c>
      <c r="H5464" s="1">
        <f>284.26+543.21</f>
        <v>827.47</v>
      </c>
    </row>
    <row r="5465" spans="2:8" x14ac:dyDescent="0.2">
      <c r="B5465" t="str">
        <f>VLOOKUP(G5465,PC!B:D,3,FALSE)</f>
        <v>CPV</v>
      </c>
      <c r="C5465" s="22">
        <v>2024</v>
      </c>
      <c r="D5465" t="s">
        <v>98</v>
      </c>
      <c r="E5465" t="s">
        <v>21</v>
      </c>
      <c r="F5465" t="str">
        <f>VLOOKUP(G5465,PC!B:D,2,FALSE)</f>
        <v>SOBREMESA</v>
      </c>
      <c r="G5465" s="4" t="s">
        <v>23</v>
      </c>
      <c r="H5465" s="1">
        <f>118.67+77+633.82+266.64</f>
        <v>1096.1300000000001</v>
      </c>
    </row>
    <row r="5466" spans="2:8" x14ac:dyDescent="0.2">
      <c r="B5466" t="str">
        <f>VLOOKUP(G5466,PC!B:D,3,FALSE)</f>
        <v>CPV</v>
      </c>
      <c r="C5466" s="22">
        <v>2024</v>
      </c>
      <c r="D5466" t="s">
        <v>98</v>
      </c>
      <c r="E5466" t="s">
        <v>241</v>
      </c>
      <c r="F5466" t="str">
        <f>VLOOKUP(G5466,PC!B:D,2,FALSE)</f>
        <v>COMIDA</v>
      </c>
      <c r="G5466" s="4" t="s">
        <v>33</v>
      </c>
      <c r="H5466" s="1">
        <v>409.68</v>
      </c>
    </row>
    <row r="5467" spans="2:8" x14ac:dyDescent="0.2">
      <c r="B5467" t="str">
        <f>VLOOKUP(G5467,PC!B:D,3,FALSE)</f>
        <v>CPV</v>
      </c>
      <c r="C5467" s="22">
        <v>2024</v>
      </c>
      <c r="D5467" t="s">
        <v>98</v>
      </c>
      <c r="E5467" t="s">
        <v>45</v>
      </c>
      <c r="F5467" t="str">
        <f>VLOOKUP(G5467,PC!B:D,2,FALSE)</f>
        <v>LIMPEZA</v>
      </c>
      <c r="G5467" s="4" t="s">
        <v>43</v>
      </c>
      <c r="H5467" s="1">
        <v>300</v>
      </c>
    </row>
    <row r="5468" spans="2:8" x14ac:dyDescent="0.2">
      <c r="B5468" t="str">
        <f>VLOOKUP(G5468,PC!B:D,3,FALSE)</f>
        <v>CPV</v>
      </c>
      <c r="C5468" s="22">
        <v>2024</v>
      </c>
      <c r="D5468" t="s">
        <v>98</v>
      </c>
      <c r="E5468" t="s">
        <v>45</v>
      </c>
      <c r="F5468" t="str">
        <f>VLOOKUP(G5468,PC!B:D,2,FALSE)</f>
        <v>SOBREMESA</v>
      </c>
      <c r="G5468" s="4" t="s">
        <v>23</v>
      </c>
      <c r="H5468" s="1">
        <v>207.5</v>
      </c>
    </row>
    <row r="5469" spans="2:8" x14ac:dyDescent="0.2">
      <c r="B5469" t="str">
        <f>VLOOKUP(G5469,PC!B:D,3,FALSE)</f>
        <v>CPV</v>
      </c>
      <c r="C5469" s="22">
        <v>2024</v>
      </c>
      <c r="D5469" t="s">
        <v>98</v>
      </c>
      <c r="E5469" t="s">
        <v>129</v>
      </c>
      <c r="F5469" t="str">
        <f>VLOOKUP(G5469,PC!B:D,2,FALSE)</f>
        <v>OUTROS</v>
      </c>
      <c r="G5469" s="4" t="s">
        <v>37</v>
      </c>
      <c r="H5469" s="1">
        <v>114.35</v>
      </c>
    </row>
    <row r="5470" spans="2:8" x14ac:dyDescent="0.2">
      <c r="B5470" t="str">
        <f>VLOOKUP(G5470,PC!B:D,3,FALSE)</f>
        <v>CPV</v>
      </c>
      <c r="C5470" s="22">
        <v>2024</v>
      </c>
      <c r="D5470" t="s">
        <v>98</v>
      </c>
      <c r="E5470" t="s">
        <v>19</v>
      </c>
      <c r="F5470" t="str">
        <f>VLOOKUP(G5470,PC!B:D,2,FALSE)</f>
        <v>COMIDA</v>
      </c>
      <c r="G5470" s="4" t="s">
        <v>145</v>
      </c>
      <c r="H5470" s="1">
        <v>348</v>
      </c>
    </row>
    <row r="5471" spans="2:8" x14ac:dyDescent="0.2">
      <c r="B5471" t="str">
        <f>VLOOKUP(G5471,PC!B:D,3,FALSE)</f>
        <v>CPV</v>
      </c>
      <c r="C5471" s="22">
        <v>2024</v>
      </c>
      <c r="D5471" t="s">
        <v>98</v>
      </c>
      <c r="E5471" t="s">
        <v>236</v>
      </c>
      <c r="F5471" t="str">
        <f>VLOOKUP(G5471,PC!B:D,2,FALSE)</f>
        <v>SOBREMESA</v>
      </c>
      <c r="G5471" s="4" t="s">
        <v>8</v>
      </c>
      <c r="H5471" s="1">
        <v>404.94</v>
      </c>
    </row>
    <row r="5472" spans="2:8" x14ac:dyDescent="0.2">
      <c r="B5472" t="str">
        <f>VLOOKUP(G5472,PC!B:D,3,FALSE)</f>
        <v>CPV</v>
      </c>
      <c r="C5472" s="22">
        <v>2024</v>
      </c>
      <c r="D5472" t="s">
        <v>98</v>
      </c>
      <c r="E5472" t="s">
        <v>20</v>
      </c>
      <c r="F5472" t="str">
        <f>VLOOKUP(G5472,PC!B:D,2,FALSE)</f>
        <v>COMIDA</v>
      </c>
      <c r="G5472" s="4" t="s">
        <v>29</v>
      </c>
      <c r="H5472" s="1">
        <v>76.7</v>
      </c>
    </row>
    <row r="5473" spans="2:8" x14ac:dyDescent="0.2">
      <c r="B5473" t="str">
        <f>VLOOKUP(G5473,PC!B:D,3,FALSE)</f>
        <v>CPV</v>
      </c>
      <c r="C5473" s="22">
        <v>2024</v>
      </c>
      <c r="D5473" t="s">
        <v>98</v>
      </c>
      <c r="E5473" t="s">
        <v>6</v>
      </c>
      <c r="F5473" t="str">
        <f>VLOOKUP(G5473,PC!B:D,2,FALSE)</f>
        <v>COMIDA</v>
      </c>
      <c r="G5473" s="4" t="s">
        <v>18</v>
      </c>
      <c r="H5473" s="1">
        <v>165.6</v>
      </c>
    </row>
    <row r="5474" spans="2:8" x14ac:dyDescent="0.2">
      <c r="B5474" t="str">
        <f>VLOOKUP(G5474,PC!B:D,3,FALSE)</f>
        <v>CPV</v>
      </c>
      <c r="C5474" s="22">
        <v>2024</v>
      </c>
      <c r="D5474" t="s">
        <v>98</v>
      </c>
      <c r="E5474" t="s">
        <v>45</v>
      </c>
      <c r="F5474" t="str">
        <f>VLOOKUP(G5474,PC!B:D,2,FALSE)</f>
        <v>COMIDA</v>
      </c>
      <c r="G5474" s="4" t="s">
        <v>38</v>
      </c>
      <c r="H5474" s="1">
        <v>905.71</v>
      </c>
    </row>
    <row r="5475" spans="2:8" x14ac:dyDescent="0.2">
      <c r="B5475" t="str">
        <f>VLOOKUP(G5475,PC!B:D,3,FALSE)</f>
        <v>CPV</v>
      </c>
      <c r="C5475" s="22">
        <v>2024</v>
      </c>
      <c r="D5475" t="s">
        <v>98</v>
      </c>
      <c r="E5475" t="s">
        <v>228</v>
      </c>
      <c r="F5475" t="str">
        <f>VLOOKUP(G5475,PC!B:D,2,FALSE)</f>
        <v>COMIDA</v>
      </c>
      <c r="G5475" s="4" t="s">
        <v>12</v>
      </c>
      <c r="H5475" s="1">
        <v>239.99</v>
      </c>
    </row>
    <row r="5476" spans="2:8" x14ac:dyDescent="0.2">
      <c r="B5476" t="str">
        <f>VLOOKUP(G5476,PC!B:D,3,FALSE)</f>
        <v>CPV</v>
      </c>
      <c r="C5476" s="22">
        <v>2024</v>
      </c>
      <c r="D5476" t="s">
        <v>98</v>
      </c>
      <c r="E5476" t="s">
        <v>243</v>
      </c>
      <c r="F5476" t="str">
        <f>VLOOKUP(G5476,PC!B:D,2,FALSE)</f>
        <v>HIGIENE</v>
      </c>
      <c r="G5476" s="4" t="s">
        <v>36</v>
      </c>
      <c r="H5476" s="1">
        <v>17.28</v>
      </c>
    </row>
    <row r="5477" spans="2:8" x14ac:dyDescent="0.2">
      <c r="B5477" t="str">
        <f>VLOOKUP(G5477,PC!B:D,3,FALSE)</f>
        <v>CPV</v>
      </c>
      <c r="C5477" s="22">
        <v>2024</v>
      </c>
      <c r="D5477" t="s">
        <v>98</v>
      </c>
      <c r="E5477" t="s">
        <v>30</v>
      </c>
      <c r="F5477" t="str">
        <f>VLOOKUP(G5477,PC!B:D,2,FALSE)</f>
        <v>SOBREMESA</v>
      </c>
      <c r="G5477" s="4" t="s">
        <v>23</v>
      </c>
      <c r="H5477" s="47">
        <v>312.33999999999997</v>
      </c>
    </row>
    <row r="5478" spans="2:8" x14ac:dyDescent="0.2">
      <c r="B5478" t="str">
        <f>VLOOKUP(G5478,PC!B:D,3,FALSE)</f>
        <v>CPV</v>
      </c>
      <c r="C5478" s="22">
        <v>2024</v>
      </c>
      <c r="D5478" t="s">
        <v>98</v>
      </c>
      <c r="E5478" t="s">
        <v>100</v>
      </c>
      <c r="F5478" t="str">
        <f>VLOOKUP(G5478,PC!B:D,2,FALSE)</f>
        <v>SOBREMESA</v>
      </c>
      <c r="G5478" s="4" t="s">
        <v>8</v>
      </c>
      <c r="H5478" s="1">
        <v>221.73</v>
      </c>
    </row>
    <row r="5479" spans="2:8" x14ac:dyDescent="0.2">
      <c r="B5479" t="str">
        <f>VLOOKUP(G5479,PC!B:D,3,FALSE)</f>
        <v>CPV</v>
      </c>
      <c r="C5479" s="22">
        <v>2024</v>
      </c>
      <c r="D5479" t="s">
        <v>98</v>
      </c>
      <c r="E5479" t="s">
        <v>19</v>
      </c>
      <c r="F5479" t="str">
        <f>VLOOKUP(G5479,PC!B:D,2,FALSE)</f>
        <v>COMIDA</v>
      </c>
      <c r="G5479" s="4" t="s">
        <v>38</v>
      </c>
      <c r="H5479" s="1">
        <v>52.62</v>
      </c>
    </row>
    <row r="5480" spans="2:8" x14ac:dyDescent="0.2">
      <c r="B5480" t="str">
        <f>VLOOKUP(G5480,PC!B:D,3,FALSE)</f>
        <v>CPV</v>
      </c>
      <c r="C5480" s="22">
        <v>2024</v>
      </c>
      <c r="D5480" t="s">
        <v>98</v>
      </c>
      <c r="E5480" t="s">
        <v>228</v>
      </c>
      <c r="F5480" t="str">
        <f>VLOOKUP(G5480,PC!B:D,2,FALSE)</f>
        <v>COMIDA</v>
      </c>
      <c r="G5480" s="4" t="s">
        <v>12</v>
      </c>
      <c r="H5480" s="1">
        <v>234.64</v>
      </c>
    </row>
    <row r="5481" spans="2:8" x14ac:dyDescent="0.2">
      <c r="B5481" t="str">
        <f>VLOOKUP(G5481,PC!B:D,3,FALSE)</f>
        <v>CPV</v>
      </c>
      <c r="C5481" s="22">
        <v>2024</v>
      </c>
      <c r="D5481" t="s">
        <v>98</v>
      </c>
      <c r="E5481" t="s">
        <v>20</v>
      </c>
      <c r="F5481" t="str">
        <f>VLOOKUP(G5481,PC!B:D,2,FALSE)</f>
        <v>COMIDA</v>
      </c>
      <c r="G5481" s="4" t="s">
        <v>29</v>
      </c>
      <c r="H5481" s="1">
        <v>230.7</v>
      </c>
    </row>
    <row r="5482" spans="2:8" x14ac:dyDescent="0.2">
      <c r="B5482" t="str">
        <f>VLOOKUP(G5482,PC!B:D,3,FALSE)</f>
        <v>CPV</v>
      </c>
      <c r="C5482" s="22">
        <v>2024</v>
      </c>
      <c r="D5482" t="s">
        <v>98</v>
      </c>
      <c r="E5482" t="s">
        <v>45</v>
      </c>
      <c r="F5482" t="str">
        <f>VLOOKUP(G5482,PC!B:D,2,FALSE)</f>
        <v>OUTROS</v>
      </c>
      <c r="G5482" s="4" t="s">
        <v>37</v>
      </c>
      <c r="H5482" s="1">
        <v>369.69</v>
      </c>
    </row>
    <row r="5483" spans="2:8" x14ac:dyDescent="0.2">
      <c r="B5483" t="str">
        <f>VLOOKUP(G5483,PC!B:D,3,FALSE)</f>
        <v>CPV</v>
      </c>
      <c r="C5483" s="22">
        <v>2024</v>
      </c>
      <c r="D5483" t="s">
        <v>98</v>
      </c>
      <c r="E5483" t="s">
        <v>95</v>
      </c>
      <c r="F5483" t="str">
        <f>VLOOKUP(G5483,PC!B:D,2,FALSE)</f>
        <v>BEBIDAS</v>
      </c>
      <c r="G5483" s="4" t="s">
        <v>144</v>
      </c>
      <c r="H5483" s="1">
        <v>365</v>
      </c>
    </row>
    <row r="5484" spans="2:8" x14ac:dyDescent="0.2">
      <c r="B5484" t="str">
        <f>VLOOKUP(G5484,PC!B:D,3,FALSE)</f>
        <v>CPV</v>
      </c>
      <c r="C5484" s="22">
        <v>2024</v>
      </c>
      <c r="D5484" t="s">
        <v>98</v>
      </c>
      <c r="E5484" t="s">
        <v>19</v>
      </c>
      <c r="F5484" t="str">
        <f>VLOOKUP(G5484,PC!B:D,2,FALSE)</f>
        <v>COMIDA</v>
      </c>
      <c r="G5484" s="4" t="s">
        <v>145</v>
      </c>
      <c r="H5484" s="1">
        <v>395.51</v>
      </c>
    </row>
    <row r="5485" spans="2:8" x14ac:dyDescent="0.2">
      <c r="B5485" t="str">
        <f>VLOOKUP(G5485,PC!B:D,3,FALSE)</f>
        <v>RECEITA</v>
      </c>
      <c r="C5485" s="22">
        <v>2024</v>
      </c>
      <c r="D5485" t="s">
        <v>98</v>
      </c>
      <c r="F5485" t="str">
        <f>VLOOKUP(G5485,PC!B:D,2,FALSE)</f>
        <v>RECEITA</v>
      </c>
      <c r="G5485" s="4" t="s">
        <v>83</v>
      </c>
      <c r="H5485" s="1">
        <v>15.67</v>
      </c>
    </row>
    <row r="5486" spans="2:8" x14ac:dyDescent="0.2">
      <c r="B5486" t="str">
        <f>VLOOKUP(G5486,PC!B:D,3,FALSE)</f>
        <v>CPV</v>
      </c>
      <c r="C5486" s="22">
        <v>2024</v>
      </c>
      <c r="D5486" t="s">
        <v>98</v>
      </c>
      <c r="E5486" t="s">
        <v>237</v>
      </c>
      <c r="F5486" t="str">
        <f>VLOOKUP(G5486,PC!B:D,2,FALSE)</f>
        <v>COMIDA</v>
      </c>
      <c r="G5486" s="4" t="s">
        <v>38</v>
      </c>
      <c r="H5486" s="1">
        <v>396.71</v>
      </c>
    </row>
    <row r="5487" spans="2:8" x14ac:dyDescent="0.2">
      <c r="B5487" t="str">
        <f>VLOOKUP(G5487,PC!B:D,3,FALSE)</f>
        <v>CPV</v>
      </c>
      <c r="C5487" s="22">
        <v>2024</v>
      </c>
      <c r="D5487" t="s">
        <v>98</v>
      </c>
      <c r="E5487" t="s">
        <v>234</v>
      </c>
      <c r="F5487" t="str">
        <f>VLOOKUP(G5487,PC!B:D,2,FALSE)</f>
        <v>COMIDA</v>
      </c>
      <c r="G5487" s="4" t="s">
        <v>18</v>
      </c>
      <c r="H5487" s="1">
        <v>558.61</v>
      </c>
    </row>
    <row r="5488" spans="2:8" x14ac:dyDescent="0.2">
      <c r="B5488" t="str">
        <f>VLOOKUP(G5488,PC!B:D,3,FALSE)</f>
        <v>CPV</v>
      </c>
      <c r="C5488" s="22">
        <v>2024</v>
      </c>
      <c r="D5488" t="s">
        <v>98</v>
      </c>
      <c r="E5488" t="s">
        <v>243</v>
      </c>
      <c r="F5488" t="str">
        <f>VLOOKUP(G5488,PC!B:D,2,FALSE)</f>
        <v>HIGIENE</v>
      </c>
      <c r="G5488" s="4" t="s">
        <v>36</v>
      </c>
      <c r="H5488" s="1">
        <v>320.16000000000003</v>
      </c>
    </row>
    <row r="5489" spans="2:8" x14ac:dyDescent="0.2">
      <c r="B5489" t="str">
        <f>VLOOKUP(G5489,PC!B:D,3,FALSE)</f>
        <v>CPV</v>
      </c>
      <c r="C5489" s="22">
        <v>2024</v>
      </c>
      <c r="D5489" t="s">
        <v>98</v>
      </c>
      <c r="E5489" t="s">
        <v>227</v>
      </c>
      <c r="F5489" t="str">
        <f>VLOOKUP(G5489,PC!B:D,2,FALSE)</f>
        <v>OUTROS</v>
      </c>
      <c r="G5489" s="4" t="s">
        <v>37</v>
      </c>
      <c r="H5489" s="1">
        <f>843.11+805+768</f>
        <v>2416.11</v>
      </c>
    </row>
    <row r="5490" spans="2:8" x14ac:dyDescent="0.2">
      <c r="B5490" t="str">
        <f>VLOOKUP(G5490,PC!B:D,3,FALSE)</f>
        <v>RECEITA</v>
      </c>
      <c r="C5490" s="22">
        <v>2024</v>
      </c>
      <c r="D5490" t="s">
        <v>98</v>
      </c>
      <c r="F5490" t="str">
        <f>VLOOKUP(G5490,PC!B:D,2,FALSE)</f>
        <v>RECEITA</v>
      </c>
      <c r="G5490" s="4" t="s">
        <v>83</v>
      </c>
      <c r="H5490" s="1">
        <v>81.25</v>
      </c>
    </row>
    <row r="5491" spans="2:8" x14ac:dyDescent="0.2">
      <c r="B5491" t="str">
        <f>VLOOKUP(G5491,PC!B:D,3,FALSE)</f>
        <v>CPV</v>
      </c>
      <c r="C5491" s="22">
        <v>2024</v>
      </c>
      <c r="D5491" t="s">
        <v>98</v>
      </c>
      <c r="E5491" t="s">
        <v>45</v>
      </c>
      <c r="F5491" t="str">
        <f>VLOOKUP(G5491,PC!B:D,2,FALSE)</f>
        <v>LIMPEZA</v>
      </c>
      <c r="G5491" s="4" t="s">
        <v>43</v>
      </c>
      <c r="H5491" s="1">
        <v>400</v>
      </c>
    </row>
    <row r="5492" spans="2:8" x14ac:dyDescent="0.2">
      <c r="B5492" t="str">
        <f>VLOOKUP(G5492,PC!B:D,3,FALSE)</f>
        <v>CPV</v>
      </c>
      <c r="C5492" s="22">
        <v>2024</v>
      </c>
      <c r="D5492" t="s">
        <v>98</v>
      </c>
      <c r="E5492" t="s">
        <v>241</v>
      </c>
      <c r="F5492" t="str">
        <f>VLOOKUP(G5492,PC!B:D,2,FALSE)</f>
        <v>COMIDA</v>
      </c>
      <c r="G5492" s="4" t="s">
        <v>12</v>
      </c>
      <c r="H5492" s="1">
        <v>96.51</v>
      </c>
    </row>
    <row r="5493" spans="2:8" x14ac:dyDescent="0.2">
      <c r="B5493" t="str">
        <f>VLOOKUP(G5493,PC!B:D,3,FALSE)</f>
        <v>CPV</v>
      </c>
      <c r="C5493" s="22">
        <v>2024</v>
      </c>
      <c r="D5493" t="s">
        <v>98</v>
      </c>
      <c r="E5493" t="s">
        <v>97</v>
      </c>
      <c r="F5493" t="str">
        <f>VLOOKUP(G5493,PC!B:D,2,FALSE)</f>
        <v>LIMPEZA</v>
      </c>
      <c r="G5493" s="4" t="s">
        <v>43</v>
      </c>
      <c r="H5493" s="1">
        <v>600</v>
      </c>
    </row>
    <row r="5494" spans="2:8" x14ac:dyDescent="0.2">
      <c r="B5494" t="str">
        <f>VLOOKUP(G5494,PC!B:D,3,FALSE)</f>
        <v>CPV</v>
      </c>
      <c r="C5494" s="22">
        <v>2024</v>
      </c>
      <c r="D5494" t="s">
        <v>98</v>
      </c>
      <c r="E5494" t="s">
        <v>97</v>
      </c>
      <c r="F5494" t="str">
        <f>VLOOKUP(G5494,PC!B:D,2,FALSE)</f>
        <v>HIGIENE</v>
      </c>
      <c r="G5494" s="4" t="s">
        <v>36</v>
      </c>
      <c r="H5494" s="1">
        <f>1223.41-H5493</f>
        <v>623.41000000000008</v>
      </c>
    </row>
    <row r="5495" spans="2:8" x14ac:dyDescent="0.2">
      <c r="B5495" t="str">
        <f>VLOOKUP(G5495,PC!B:D,3,FALSE)</f>
        <v>CPV</v>
      </c>
      <c r="C5495" s="22">
        <v>2024</v>
      </c>
      <c r="D5495" t="s">
        <v>98</v>
      </c>
      <c r="E5495" t="s">
        <v>235</v>
      </c>
      <c r="F5495" t="str">
        <f>VLOOKUP(G5495,PC!B:D,2,FALSE)</f>
        <v>BEBIDAS</v>
      </c>
      <c r="G5495" s="4" t="s">
        <v>46</v>
      </c>
      <c r="H5495" s="1">
        <v>109.71</v>
      </c>
    </row>
    <row r="5496" spans="2:8" x14ac:dyDescent="0.2">
      <c r="B5496" t="str">
        <f>VLOOKUP(G5496,PC!B:D,3,FALSE)</f>
        <v>CPV</v>
      </c>
      <c r="C5496" s="22">
        <v>2024</v>
      </c>
      <c r="D5496" t="s">
        <v>98</v>
      </c>
      <c r="E5496" t="s">
        <v>237</v>
      </c>
      <c r="F5496" t="str">
        <f>VLOOKUP(G5496,PC!B:D,2,FALSE)</f>
        <v>LIMPEZA</v>
      </c>
      <c r="G5496" s="4" t="s">
        <v>43</v>
      </c>
      <c r="H5496" s="1">
        <v>419.02</v>
      </c>
    </row>
    <row r="5497" spans="2:8" x14ac:dyDescent="0.2">
      <c r="B5497" t="str">
        <f>VLOOKUP(G5497,PC!B:D,3,FALSE)</f>
        <v>CPV</v>
      </c>
      <c r="C5497" s="22">
        <v>2024</v>
      </c>
      <c r="D5497" t="s">
        <v>98</v>
      </c>
      <c r="E5497" t="s">
        <v>27</v>
      </c>
      <c r="F5497" t="str">
        <f>VLOOKUP(G5497,PC!B:D,2,FALSE)</f>
        <v>COMIDA</v>
      </c>
      <c r="G5497" s="4" t="s">
        <v>12</v>
      </c>
      <c r="H5497" s="1">
        <v>201.08</v>
      </c>
    </row>
    <row r="5498" spans="2:8" x14ac:dyDescent="0.2">
      <c r="B5498" t="str">
        <f>VLOOKUP(G5498,PC!B:D,3,FALSE)</f>
        <v>CPV</v>
      </c>
      <c r="C5498" s="22">
        <v>2024</v>
      </c>
      <c r="D5498" t="s">
        <v>98</v>
      </c>
      <c r="E5498" t="s">
        <v>16</v>
      </c>
      <c r="F5498" t="str">
        <f>VLOOKUP(G5498,PC!B:D,2,FALSE)</f>
        <v>COMIDA</v>
      </c>
      <c r="G5498" s="4" t="s">
        <v>12</v>
      </c>
      <c r="H5498" s="1">
        <f>477+248+205+573.31</f>
        <v>1503.31</v>
      </c>
    </row>
    <row r="5499" spans="2:8" x14ac:dyDescent="0.2">
      <c r="B5499" t="str">
        <f>VLOOKUP(G5499,PC!B:D,3,FALSE)</f>
        <v>CPV</v>
      </c>
      <c r="C5499" s="22">
        <v>2024</v>
      </c>
      <c r="D5499" t="s">
        <v>98</v>
      </c>
      <c r="E5499" t="s">
        <v>212</v>
      </c>
      <c r="F5499" t="str">
        <f>VLOOKUP(G5499,PC!B:D,2,FALSE)</f>
        <v>COMIDA</v>
      </c>
      <c r="G5499" s="4" t="s">
        <v>33</v>
      </c>
      <c r="H5499" s="1">
        <v>164</v>
      </c>
    </row>
    <row r="5500" spans="2:8" x14ac:dyDescent="0.2">
      <c r="B5500" t="str">
        <f>VLOOKUP(G5500,PC!B:D,3,FALSE)</f>
        <v>CPV</v>
      </c>
      <c r="C5500" s="22">
        <v>2024</v>
      </c>
      <c r="D5500" t="s">
        <v>98</v>
      </c>
      <c r="E5500" t="s">
        <v>24</v>
      </c>
      <c r="F5500" t="str">
        <f>VLOOKUP(G5500,PC!B:D,2,FALSE)</f>
        <v>COMIDA</v>
      </c>
      <c r="G5500" s="4" t="s">
        <v>33</v>
      </c>
      <c r="H5500" s="1">
        <f>233.57+169.89+213.54+236.46+282.45</f>
        <v>1135.9100000000001</v>
      </c>
    </row>
    <row r="5501" spans="2:8" x14ac:dyDescent="0.2">
      <c r="B5501" t="str">
        <f>VLOOKUP(G5501,PC!B:D,3,FALSE)</f>
        <v>CPV</v>
      </c>
      <c r="C5501" s="22">
        <v>2024</v>
      </c>
      <c r="D5501" t="s">
        <v>98</v>
      </c>
      <c r="E5501" t="s">
        <v>28</v>
      </c>
      <c r="F5501" t="str">
        <f>VLOOKUP(G5501,PC!B:D,2,FALSE)</f>
        <v>BEBIDAS</v>
      </c>
      <c r="G5501" s="4" t="s">
        <v>26</v>
      </c>
      <c r="H5501" s="1">
        <f>1367.9+2246.3+1350.88+1026.7+2044.9+4615.16+51.9+1368.08+1348.8+1438.2+3197.96+1195.76</f>
        <v>21252.539999999997</v>
      </c>
    </row>
    <row r="5502" spans="2:8" x14ac:dyDescent="0.2">
      <c r="B5502" t="str">
        <f>VLOOKUP(G5502,PC!B:D,3,FALSE)</f>
        <v>CPV</v>
      </c>
      <c r="C5502" s="22">
        <v>2024</v>
      </c>
      <c r="D5502" t="s">
        <v>98</v>
      </c>
      <c r="E5502" t="s">
        <v>226</v>
      </c>
      <c r="F5502" t="str">
        <f>VLOOKUP(G5502,PC!B:D,2,FALSE)</f>
        <v>BEBIDAS</v>
      </c>
      <c r="G5502" s="4" t="s">
        <v>25</v>
      </c>
      <c r="H5502" s="1">
        <f>859.54+985.35+873.76+621.21+466.17+505.12+386.74</f>
        <v>4697.8899999999994</v>
      </c>
    </row>
    <row r="5503" spans="2:8" x14ac:dyDescent="0.2">
      <c r="B5503" t="str">
        <f>VLOOKUP(G5503,PC!B:D,3,FALSE)</f>
        <v>CPV</v>
      </c>
      <c r="C5503" s="22">
        <v>2024</v>
      </c>
      <c r="D5503" t="s">
        <v>98</v>
      </c>
      <c r="E5503" t="s">
        <v>5</v>
      </c>
      <c r="F5503" t="str">
        <f>VLOOKUP(G5503,PC!B:D,2,FALSE)</f>
        <v>COMIDA</v>
      </c>
      <c r="G5503" s="4" t="s">
        <v>18</v>
      </c>
      <c r="H5503" s="1">
        <v>578.26</v>
      </c>
    </row>
    <row r="5504" spans="2:8" x14ac:dyDescent="0.2">
      <c r="B5504" t="str">
        <f>VLOOKUP(G5504,PC!B:D,3,FALSE)</f>
        <v>CPV</v>
      </c>
      <c r="C5504" s="22">
        <v>2024</v>
      </c>
      <c r="D5504" t="s">
        <v>98</v>
      </c>
      <c r="E5504" t="s">
        <v>129</v>
      </c>
      <c r="F5504" t="str">
        <f>VLOOKUP(G5504,PC!B:D,2,FALSE)</f>
        <v>COMIDA</v>
      </c>
      <c r="G5504" s="4" t="s">
        <v>155</v>
      </c>
      <c r="H5504" s="1">
        <v>270</v>
      </c>
    </row>
    <row r="5505" spans="2:8" x14ac:dyDescent="0.2">
      <c r="B5505" t="str">
        <f>VLOOKUP(G5505,PC!B:D,3,FALSE)</f>
        <v>SERV. PUBLICOS</v>
      </c>
      <c r="C5505" s="22">
        <v>2024</v>
      </c>
      <c r="D5505" t="s">
        <v>98</v>
      </c>
      <c r="F5505" t="str">
        <f>VLOOKUP(G5505,PC!B:D,2,FALSE)</f>
        <v>SERV. PUBLICOS</v>
      </c>
      <c r="G5505" s="4" t="s">
        <v>104</v>
      </c>
      <c r="H5505" s="1">
        <v>250</v>
      </c>
    </row>
    <row r="5506" spans="2:8" x14ac:dyDescent="0.2">
      <c r="B5506" t="str">
        <f>VLOOKUP(G5506,PC!B:D,3,FALSE)</f>
        <v>CPV</v>
      </c>
      <c r="C5506" s="22">
        <v>2024</v>
      </c>
      <c r="D5506" t="s">
        <v>98</v>
      </c>
      <c r="E5506" t="s">
        <v>129</v>
      </c>
      <c r="F5506" t="str">
        <f>VLOOKUP(G5506,PC!B:D,2,FALSE)</f>
        <v>COMIDA</v>
      </c>
      <c r="G5506" s="4" t="s">
        <v>33</v>
      </c>
      <c r="H5506" s="1">
        <v>60</v>
      </c>
    </row>
    <row r="5507" spans="2:8" x14ac:dyDescent="0.2">
      <c r="B5507" t="str">
        <f>VLOOKUP(G5507,PC!B:D,3,FALSE)</f>
        <v>CPV</v>
      </c>
      <c r="C5507" s="22">
        <v>2024</v>
      </c>
      <c r="D5507" t="s">
        <v>98</v>
      </c>
      <c r="E5507" t="s">
        <v>129</v>
      </c>
      <c r="F5507" t="str">
        <f>VLOOKUP(G5507,PC!B:D,2,FALSE)</f>
        <v>CIGARRO</v>
      </c>
      <c r="G5507" s="4" t="s">
        <v>57</v>
      </c>
      <c r="H5507" s="1">
        <v>909</v>
      </c>
    </row>
    <row r="5508" spans="2:8" x14ac:dyDescent="0.2">
      <c r="B5508" t="str">
        <f>VLOOKUP(G5508,PC!B:D,3,FALSE)</f>
        <v>CPV</v>
      </c>
      <c r="C5508" s="22">
        <v>2024</v>
      </c>
      <c r="D5508" t="s">
        <v>98</v>
      </c>
      <c r="E5508" t="s">
        <v>129</v>
      </c>
      <c r="F5508" t="str">
        <f>VLOOKUP(G5508,PC!B:D,2,FALSE)</f>
        <v>COMIDA</v>
      </c>
      <c r="G5508" s="4" t="s">
        <v>33</v>
      </c>
      <c r="H5508" s="1">
        <v>42</v>
      </c>
    </row>
    <row r="5509" spans="2:8" x14ac:dyDescent="0.2">
      <c r="B5509" t="str">
        <f>VLOOKUP(G5509,PC!B:D,3,FALSE)</f>
        <v>CPV</v>
      </c>
      <c r="C5509" s="22">
        <v>2024</v>
      </c>
      <c r="D5509" t="s">
        <v>98</v>
      </c>
      <c r="E5509" t="s">
        <v>129</v>
      </c>
      <c r="F5509" t="str">
        <f>VLOOKUP(G5509,PC!B:D,2,FALSE)</f>
        <v>OUTROS</v>
      </c>
      <c r="G5509" s="4" t="s">
        <v>37</v>
      </c>
      <c r="H5509" s="1">
        <v>284.77999999999997</v>
      </c>
    </row>
    <row r="5510" spans="2:8" x14ac:dyDescent="0.2">
      <c r="B5510" t="str">
        <f>VLOOKUP(G5510,PC!B:D,3,FALSE)</f>
        <v>CPV</v>
      </c>
      <c r="C5510" s="22">
        <v>2024</v>
      </c>
      <c r="D5510" t="s">
        <v>98</v>
      </c>
      <c r="E5510" t="s">
        <v>129</v>
      </c>
      <c r="F5510" t="str">
        <f>VLOOKUP(G5510,PC!B:D,2,FALSE)</f>
        <v>OUTROS</v>
      </c>
      <c r="G5510" s="4" t="s">
        <v>37</v>
      </c>
      <c r="H5510" s="1">
        <v>162.04</v>
      </c>
    </row>
    <row r="5511" spans="2:8" x14ac:dyDescent="0.2">
      <c r="B5511" t="str">
        <f>VLOOKUP(G5511,PC!B:D,3,FALSE)</f>
        <v>CPV</v>
      </c>
      <c r="C5511" s="22">
        <v>2024</v>
      </c>
      <c r="D5511" t="s">
        <v>98</v>
      </c>
      <c r="E5511" t="s">
        <v>129</v>
      </c>
      <c r="F5511" t="str">
        <f>VLOOKUP(G5511,PC!B:D,2,FALSE)</f>
        <v>SOBREMESA</v>
      </c>
      <c r="G5511" s="4" t="s">
        <v>7</v>
      </c>
      <c r="H5511" s="1">
        <v>56</v>
      </c>
    </row>
    <row r="5512" spans="2:8" x14ac:dyDescent="0.2">
      <c r="B5512" t="str">
        <f>VLOOKUP(G5512,PC!B:D,3,FALSE)</f>
        <v>CPV</v>
      </c>
      <c r="C5512" s="22">
        <v>2024</v>
      </c>
      <c r="D5512" t="s">
        <v>98</v>
      </c>
      <c r="E5512" t="s">
        <v>129</v>
      </c>
      <c r="F5512" t="str">
        <f>VLOOKUP(G5512,PC!B:D,2,FALSE)</f>
        <v>COMIDA</v>
      </c>
      <c r="G5512" s="4" t="s">
        <v>12</v>
      </c>
      <c r="H5512" s="1">
        <v>260</v>
      </c>
    </row>
    <row r="5513" spans="2:8" x14ac:dyDescent="0.2">
      <c r="B5513" t="str">
        <f>VLOOKUP(G5513,PC!B:D,3,FALSE)</f>
        <v>CPV</v>
      </c>
      <c r="C5513" s="22">
        <v>2024</v>
      </c>
      <c r="D5513" t="s">
        <v>98</v>
      </c>
      <c r="E5513" t="s">
        <v>129</v>
      </c>
      <c r="F5513" t="str">
        <f>VLOOKUP(G5513,PC!B:D,2,FALSE)</f>
        <v>CIGARRO</v>
      </c>
      <c r="G5513" s="4" t="s">
        <v>131</v>
      </c>
      <c r="H5513" s="1">
        <v>997</v>
      </c>
    </row>
    <row r="5514" spans="2:8" x14ac:dyDescent="0.2">
      <c r="B5514" t="str">
        <f>VLOOKUP(G5514,PC!B:D,3,FALSE)</f>
        <v>CPV</v>
      </c>
      <c r="C5514" s="22">
        <v>2024</v>
      </c>
      <c r="D5514" t="s">
        <v>98</v>
      </c>
      <c r="E5514" t="s">
        <v>129</v>
      </c>
      <c r="F5514" t="str">
        <f>VLOOKUP(G5514,PC!B:D,2,FALSE)</f>
        <v>SOBREMESA</v>
      </c>
      <c r="G5514" s="4" t="s">
        <v>7</v>
      </c>
      <c r="H5514" s="1">
        <v>76</v>
      </c>
    </row>
    <row r="5515" spans="2:8" x14ac:dyDescent="0.2">
      <c r="B5515" t="str">
        <f>VLOOKUP(G5515,PC!B:D,3,FALSE)</f>
        <v>CPV</v>
      </c>
      <c r="C5515" s="22">
        <v>2024</v>
      </c>
      <c r="D5515" t="s">
        <v>98</v>
      </c>
      <c r="E5515" t="s">
        <v>129</v>
      </c>
      <c r="F5515" t="str">
        <f>VLOOKUP(G5515,PC!B:D,2,FALSE)</f>
        <v>OUTROS</v>
      </c>
      <c r="G5515" s="4" t="s">
        <v>37</v>
      </c>
      <c r="H5515" s="1">
        <v>221</v>
      </c>
    </row>
    <row r="5516" spans="2:8" x14ac:dyDescent="0.2">
      <c r="B5516" t="str">
        <f>VLOOKUP(G5516,PC!B:D,3,FALSE)</f>
        <v>CPV</v>
      </c>
      <c r="C5516" s="22">
        <v>2024</v>
      </c>
      <c r="D5516" t="s">
        <v>98</v>
      </c>
      <c r="E5516" t="s">
        <v>129</v>
      </c>
      <c r="F5516" t="str">
        <f>VLOOKUP(G5516,PC!B:D,2,FALSE)</f>
        <v>OUTROS</v>
      </c>
      <c r="G5516" s="4" t="s">
        <v>37</v>
      </c>
      <c r="H5516" s="1">
        <v>492.4</v>
      </c>
    </row>
    <row r="5517" spans="2:8" x14ac:dyDescent="0.2">
      <c r="B5517" t="str">
        <f>VLOOKUP(G5517,PC!B:D,3,FALSE)</f>
        <v>CPV</v>
      </c>
      <c r="C5517" s="22">
        <v>2024</v>
      </c>
      <c r="D5517" t="s">
        <v>98</v>
      </c>
      <c r="E5517" t="s">
        <v>129</v>
      </c>
      <c r="F5517" t="str">
        <f>VLOOKUP(G5517,PC!B:D,2,FALSE)</f>
        <v>COMIDA</v>
      </c>
      <c r="G5517" s="4" t="s">
        <v>155</v>
      </c>
      <c r="H5517" s="1">
        <v>295</v>
      </c>
    </row>
    <row r="5518" spans="2:8" x14ac:dyDescent="0.2">
      <c r="B5518" t="str">
        <f>VLOOKUP(G5518,PC!B:D,3,FALSE)</f>
        <v>CPV</v>
      </c>
      <c r="C5518" s="22">
        <v>2024</v>
      </c>
      <c r="D5518" t="s">
        <v>98</v>
      </c>
      <c r="E5518" t="s">
        <v>129</v>
      </c>
      <c r="F5518" t="str">
        <f>VLOOKUP(G5518,PC!B:D,2,FALSE)</f>
        <v>SOBREMESA</v>
      </c>
      <c r="G5518" s="4" t="s">
        <v>7</v>
      </c>
      <c r="H5518" s="1">
        <v>96</v>
      </c>
    </row>
    <row r="5519" spans="2:8" x14ac:dyDescent="0.2">
      <c r="B5519" t="str">
        <f>VLOOKUP(G5519,PC!B:D,3,FALSE)</f>
        <v>CPV</v>
      </c>
      <c r="C5519" s="22">
        <v>2024</v>
      </c>
      <c r="D5519" t="s">
        <v>98</v>
      </c>
      <c r="E5519" t="s">
        <v>129</v>
      </c>
      <c r="F5519" t="str">
        <f>VLOOKUP(G5519,PC!B:D,2,FALSE)</f>
        <v>OUTROS</v>
      </c>
      <c r="G5519" s="4" t="s">
        <v>37</v>
      </c>
      <c r="H5519" s="1">
        <v>282</v>
      </c>
    </row>
    <row r="5520" spans="2:8" x14ac:dyDescent="0.2">
      <c r="B5520" t="str">
        <f>VLOOKUP(G5520,PC!B:D,3,FALSE)</f>
        <v>CPV</v>
      </c>
      <c r="C5520" s="22">
        <v>2024</v>
      </c>
      <c r="D5520" t="s">
        <v>98</v>
      </c>
      <c r="E5520" t="s">
        <v>129</v>
      </c>
      <c r="F5520" t="str">
        <f>VLOOKUP(G5520,PC!B:D,2,FALSE)</f>
        <v>BEBIDAS</v>
      </c>
      <c r="G5520" s="4" t="s">
        <v>48</v>
      </c>
      <c r="H5520" s="1">
        <v>190</v>
      </c>
    </row>
    <row r="5521" spans="2:8" x14ac:dyDescent="0.2">
      <c r="B5521" t="str">
        <f>VLOOKUP(G5521,PC!B:D,3,FALSE)</f>
        <v>CPV</v>
      </c>
      <c r="C5521" s="22">
        <v>2024</v>
      </c>
      <c r="D5521" t="s">
        <v>98</v>
      </c>
      <c r="E5521" t="s">
        <v>129</v>
      </c>
      <c r="F5521" t="str">
        <f>VLOOKUP(G5521,PC!B:D,2,FALSE)</f>
        <v>CIGARRO</v>
      </c>
      <c r="G5521" s="4" t="s">
        <v>57</v>
      </c>
      <c r="H5521" s="1">
        <v>1128</v>
      </c>
    </row>
    <row r="5522" spans="2:8" x14ac:dyDescent="0.2">
      <c r="B5522" t="str">
        <f>VLOOKUP(G5522,PC!B:D,3,FALSE)</f>
        <v>CPV</v>
      </c>
      <c r="C5522" s="22">
        <v>2024</v>
      </c>
      <c r="D5522" t="s">
        <v>98</v>
      </c>
      <c r="E5522" t="s">
        <v>129</v>
      </c>
      <c r="F5522" t="str">
        <f>VLOOKUP(G5522,PC!B:D,2,FALSE)</f>
        <v>SOBREMESA</v>
      </c>
      <c r="G5522" s="4" t="s">
        <v>7</v>
      </c>
      <c r="H5522" s="1">
        <v>63</v>
      </c>
    </row>
    <row r="5523" spans="2:8" x14ac:dyDescent="0.2">
      <c r="B5523" t="e">
        <f>VLOOKUP(G5523,PC!B:D,3,FALSE)</f>
        <v>#N/A</v>
      </c>
      <c r="C5523" s="22">
        <v>2024</v>
      </c>
      <c r="D5523" t="s">
        <v>94</v>
      </c>
      <c r="F5523" t="e">
        <f>VLOOKUP(G5523,PC!B:D,2,FALSE)</f>
        <v>#N/A</v>
      </c>
      <c r="G5523" s="4" t="s">
        <v>157</v>
      </c>
      <c r="H5523" s="1">
        <v>129.75</v>
      </c>
    </row>
    <row r="5524" spans="2:8" x14ac:dyDescent="0.2">
      <c r="B5524" t="str">
        <f>VLOOKUP(G5524,PC!B:D,3,FALSE)</f>
        <v>DESPESA PESSOAL</v>
      </c>
      <c r="C5524" s="22">
        <v>2024</v>
      </c>
      <c r="D5524" t="s">
        <v>94</v>
      </c>
      <c r="F5524" t="str">
        <f>VLOOKUP(G5524,PC!B:D,2,FALSE)</f>
        <v>DESPESA PESSOAL</v>
      </c>
      <c r="G5524" s="4" t="s">
        <v>115</v>
      </c>
      <c r="H5524" s="1">
        <v>135.6</v>
      </c>
    </row>
    <row r="5525" spans="2:8" x14ac:dyDescent="0.2">
      <c r="B5525" t="str">
        <f>VLOOKUP(G5525,PC!B:D,3,FALSE)</f>
        <v>DESPESA FINANCEIRA</v>
      </c>
      <c r="C5525" s="22">
        <v>2024</v>
      </c>
      <c r="D5525" t="s">
        <v>94</v>
      </c>
      <c r="F5525" t="str">
        <f>VLOOKUP(G5525,PC!B:D,2,FALSE)</f>
        <v>DESPESA FINANCEIRA</v>
      </c>
      <c r="G5525" s="4" t="s">
        <v>90</v>
      </c>
      <c r="H5525" s="1">
        <v>770.17</v>
      </c>
    </row>
    <row r="5526" spans="2:8" x14ac:dyDescent="0.2">
      <c r="B5526" t="str">
        <f>VLOOKUP(G5526,PC!B:D,3,FALSE)</f>
        <v>DESCONTO DE FATURAMENTO</v>
      </c>
      <c r="C5526" s="22">
        <v>2024</v>
      </c>
      <c r="D5526" t="s">
        <v>94</v>
      </c>
      <c r="F5526" t="str">
        <f>VLOOKUP(G5526,PC!B:D,2,FALSE)</f>
        <v>IMPOSTO</v>
      </c>
      <c r="G5526" s="4" t="s">
        <v>88</v>
      </c>
      <c r="H5526" s="1">
        <v>4691.7</v>
      </c>
    </row>
    <row r="5527" spans="2:8" x14ac:dyDescent="0.2">
      <c r="B5527" t="str">
        <f>VLOOKUP(G5527,PC!B:D,3,FALSE)</f>
        <v>SERV.TERCEIROS</v>
      </c>
      <c r="C5527" s="22">
        <v>2024</v>
      </c>
      <c r="D5527" t="s">
        <v>98</v>
      </c>
      <c r="F5527" t="str">
        <f>VLOOKUP(G5527,PC!B:D,2,FALSE)</f>
        <v>SERV.TERCEIROS</v>
      </c>
      <c r="G5527" s="4" t="s">
        <v>60</v>
      </c>
      <c r="H5527" s="1">
        <v>450</v>
      </c>
    </row>
    <row r="5528" spans="2:8" x14ac:dyDescent="0.2">
      <c r="B5528" t="str">
        <f>VLOOKUP(G5528,PC!B:D,3,FALSE)</f>
        <v>SERV.TERCEIROS</v>
      </c>
      <c r="C5528" s="22">
        <v>2024</v>
      </c>
      <c r="D5528" t="s">
        <v>84</v>
      </c>
      <c r="F5528" t="str">
        <f>VLOOKUP(G5528,PC!B:D,2,FALSE)</f>
        <v>SERV.TERCEIROS</v>
      </c>
      <c r="G5528" s="4" t="s">
        <v>123</v>
      </c>
      <c r="H5528" s="1">
        <v>190</v>
      </c>
    </row>
    <row r="5529" spans="2:8" x14ac:dyDescent="0.2">
      <c r="B5529" t="str">
        <f>VLOOKUP(G5529,PC!B:D,3,FALSE)</f>
        <v>SERV.TERCEIROS</v>
      </c>
      <c r="C5529" s="22">
        <v>2024</v>
      </c>
      <c r="D5529" t="s">
        <v>94</v>
      </c>
      <c r="F5529" t="str">
        <f>VLOOKUP(G5529,PC!B:D,2,FALSE)</f>
        <v>SERV.TERCEIROS</v>
      </c>
      <c r="G5529" s="4" t="s">
        <v>123</v>
      </c>
      <c r="H5529" s="1">
        <v>190</v>
      </c>
    </row>
    <row r="5530" spans="2:8" x14ac:dyDescent="0.2">
      <c r="B5530" t="str">
        <f>VLOOKUP(G5530,PC!B:D,3,FALSE)</f>
        <v>SERV.TERCEIROS</v>
      </c>
      <c r="C5530" s="22">
        <v>2024</v>
      </c>
      <c r="D5530" t="s">
        <v>102</v>
      </c>
      <c r="F5530" t="str">
        <f>VLOOKUP(G5530,PC!B:D,2,FALSE)</f>
        <v>SERV.TERCEIROS</v>
      </c>
      <c r="G5530" s="4" t="s">
        <v>123</v>
      </c>
      <c r="H5530" s="1">
        <v>190</v>
      </c>
    </row>
    <row r="5531" spans="2:8" x14ac:dyDescent="0.2">
      <c r="B5531" t="str">
        <f>VLOOKUP(G5531,PC!B:D,3,FALSE)</f>
        <v>SERV.TERCEIROS</v>
      </c>
      <c r="C5531" s="22">
        <v>2024</v>
      </c>
      <c r="D5531" t="s">
        <v>98</v>
      </c>
      <c r="F5531" t="str">
        <f>VLOOKUP(G5531,PC!B:D,2,FALSE)</f>
        <v>SERV.TERCEIROS</v>
      </c>
      <c r="G5531" s="4" t="s">
        <v>123</v>
      </c>
      <c r="H5531" s="1">
        <v>190</v>
      </c>
    </row>
    <row r="5532" spans="2:8" x14ac:dyDescent="0.2">
      <c r="B5532" t="str">
        <f>VLOOKUP(G5532,PC!B:D,3,FALSE)</f>
        <v>SERV.TERCEIROS</v>
      </c>
      <c r="C5532" s="22">
        <v>2024</v>
      </c>
      <c r="D5532" t="s">
        <v>106</v>
      </c>
      <c r="F5532" t="str">
        <f>VLOOKUP(G5532,PC!B:D,2,FALSE)</f>
        <v>SERV.TERCEIROS</v>
      </c>
      <c r="G5532" s="4" t="s">
        <v>123</v>
      </c>
      <c r="H5532" s="1">
        <v>190</v>
      </c>
    </row>
    <row r="5533" spans="2:8" x14ac:dyDescent="0.2">
      <c r="B5533" t="str">
        <f>VLOOKUP(G5533,PC!B:D,3,FALSE)</f>
        <v>CPV</v>
      </c>
      <c r="C5533" s="22">
        <v>2024</v>
      </c>
      <c r="D5533" t="s">
        <v>98</v>
      </c>
      <c r="E5533" t="s">
        <v>129</v>
      </c>
      <c r="F5533" t="str">
        <f>VLOOKUP(G5533,PC!B:D,2,FALSE)</f>
        <v>BEBIDAS</v>
      </c>
      <c r="G5533" s="4" t="s">
        <v>244</v>
      </c>
      <c r="H5533" s="1">
        <v>411.5</v>
      </c>
    </row>
    <row r="5534" spans="2:8" x14ac:dyDescent="0.2">
      <c r="B5534" t="str">
        <f>VLOOKUP(G5534,PC!B:D,3,FALSE)</f>
        <v>DESPESA PESSOAL</v>
      </c>
      <c r="C5534" s="22">
        <v>2024</v>
      </c>
      <c r="D5534" t="s">
        <v>98</v>
      </c>
      <c r="F5534" t="str">
        <f>VLOOKUP(G5534,PC!B:D,2,FALSE)</f>
        <v>DESPESA PESSOAL</v>
      </c>
      <c r="G5534" s="4" t="s">
        <v>56</v>
      </c>
      <c r="H5534" s="1">
        <v>1233.5999999999999</v>
      </c>
    </row>
    <row r="5535" spans="2:8" x14ac:dyDescent="0.2">
      <c r="B5535" t="str">
        <f>VLOOKUP(G5535,PC!B:D,3,FALSE)</f>
        <v>CPV</v>
      </c>
      <c r="C5535" s="22">
        <v>2024</v>
      </c>
      <c r="D5535" t="s">
        <v>98</v>
      </c>
      <c r="E5535" t="s">
        <v>129</v>
      </c>
      <c r="F5535" t="str">
        <f>VLOOKUP(G5535,PC!B:D,2,FALSE)</f>
        <v>SOBREMESA</v>
      </c>
      <c r="G5535" s="4" t="s">
        <v>7</v>
      </c>
      <c r="H5535" s="1">
        <v>63</v>
      </c>
    </row>
    <row r="5536" spans="2:8" x14ac:dyDescent="0.2">
      <c r="B5536" t="str">
        <f>VLOOKUP(G5536,PC!B:D,3,FALSE)</f>
        <v>CPV</v>
      </c>
      <c r="C5536" s="22">
        <v>2024</v>
      </c>
      <c r="D5536" t="s">
        <v>98</v>
      </c>
      <c r="E5536" t="s">
        <v>129</v>
      </c>
      <c r="F5536" t="str">
        <f>VLOOKUP(G5536,PC!B:D,2,FALSE)</f>
        <v>SOBREMESA</v>
      </c>
      <c r="G5536" s="4" t="s">
        <v>7</v>
      </c>
      <c r="H5536" s="1">
        <v>117</v>
      </c>
    </row>
    <row r="5537" spans="2:8" x14ac:dyDescent="0.2">
      <c r="B5537" t="str">
        <f>VLOOKUP(G5537,PC!B:D,3,FALSE)</f>
        <v>CPV</v>
      </c>
      <c r="C5537" s="22">
        <v>2024</v>
      </c>
      <c r="D5537" t="s">
        <v>98</v>
      </c>
      <c r="E5537" t="s">
        <v>129</v>
      </c>
      <c r="F5537" t="str">
        <f>VLOOKUP(G5537,PC!B:D,2,FALSE)</f>
        <v>SOBREMESA</v>
      </c>
      <c r="G5537" s="4" t="s">
        <v>75</v>
      </c>
      <c r="H5537" s="1">
        <v>1005.6</v>
      </c>
    </row>
    <row r="5538" spans="2:8" x14ac:dyDescent="0.2">
      <c r="B5538" t="str">
        <f>VLOOKUP(G5538,PC!B:D,3,FALSE)</f>
        <v>CPV</v>
      </c>
      <c r="C5538" s="22">
        <v>2024</v>
      </c>
      <c r="D5538" t="s">
        <v>98</v>
      </c>
      <c r="E5538" t="s">
        <v>129</v>
      </c>
      <c r="F5538" t="str">
        <f>VLOOKUP(G5538,PC!B:D,2,FALSE)</f>
        <v>COMIDA</v>
      </c>
      <c r="G5538" s="4" t="s">
        <v>155</v>
      </c>
      <c r="H5538" s="1">
        <v>290</v>
      </c>
    </row>
    <row r="5539" spans="2:8" x14ac:dyDescent="0.2">
      <c r="B5539" t="str">
        <f>VLOOKUP(G5539,PC!B:D,3,FALSE)</f>
        <v>SERV. PUBLICOS</v>
      </c>
      <c r="C5539" s="22">
        <v>2024</v>
      </c>
      <c r="D5539" t="s">
        <v>98</v>
      </c>
      <c r="F5539" t="str">
        <f>VLOOKUP(G5539,PC!B:D,2,FALSE)</f>
        <v>SERV. PUBLICOS</v>
      </c>
      <c r="G5539" s="4" t="s">
        <v>91</v>
      </c>
      <c r="H5539" s="1">
        <v>50</v>
      </c>
    </row>
    <row r="5540" spans="2:8" x14ac:dyDescent="0.2">
      <c r="B5540" t="str">
        <f>VLOOKUP(G5540,PC!B:D,3,FALSE)</f>
        <v>DESPESA PESSOAL</v>
      </c>
      <c r="C5540" s="22">
        <v>2024</v>
      </c>
      <c r="D5540" t="s">
        <v>98</v>
      </c>
      <c r="F5540" t="str">
        <f>VLOOKUP(G5540,PC!B:D,2,FALSE)</f>
        <v>DESPESA PESSOAL</v>
      </c>
      <c r="G5540" s="4" t="s">
        <v>68</v>
      </c>
      <c r="H5540" s="1">
        <v>207</v>
      </c>
    </row>
    <row r="5541" spans="2:8" x14ac:dyDescent="0.2">
      <c r="B5541" t="str">
        <f>VLOOKUP(G5541,PC!B:D,3,FALSE)</f>
        <v>CPV</v>
      </c>
      <c r="C5541" s="22">
        <v>2024</v>
      </c>
      <c r="D5541" t="s">
        <v>98</v>
      </c>
      <c r="E5541" t="s">
        <v>129</v>
      </c>
      <c r="F5541" t="str">
        <f>VLOOKUP(G5541,PC!B:D,2,FALSE)</f>
        <v>BEBIDAS</v>
      </c>
      <c r="G5541" s="4" t="s">
        <v>48</v>
      </c>
      <c r="H5541" s="1">
        <v>290</v>
      </c>
    </row>
    <row r="5542" spans="2:8" x14ac:dyDescent="0.2">
      <c r="B5542" t="str">
        <f>VLOOKUP(G5542,PC!B:D,3,FALSE)</f>
        <v>CPV</v>
      </c>
      <c r="C5542" s="22">
        <v>2024</v>
      </c>
      <c r="D5542" t="s">
        <v>98</v>
      </c>
      <c r="E5542" t="s">
        <v>129</v>
      </c>
      <c r="F5542" t="str">
        <f>VLOOKUP(G5542,PC!B:D,2,FALSE)</f>
        <v>OUTROS</v>
      </c>
      <c r="G5542" s="4" t="s">
        <v>37</v>
      </c>
      <c r="H5542" s="1">
        <f>277+244</f>
        <v>521</v>
      </c>
    </row>
    <row r="5543" spans="2:8" x14ac:dyDescent="0.2">
      <c r="B5543" t="str">
        <f>VLOOKUP(G5543,PC!B:D,3,FALSE)</f>
        <v>CPV</v>
      </c>
      <c r="C5543" s="22">
        <v>2024</v>
      </c>
      <c r="D5543" t="s">
        <v>98</v>
      </c>
      <c r="E5543" t="s">
        <v>129</v>
      </c>
      <c r="F5543" t="str">
        <f>VLOOKUP(G5543,PC!B:D,2,FALSE)</f>
        <v>BEBIDAS</v>
      </c>
      <c r="G5543" s="4" t="s">
        <v>48</v>
      </c>
      <c r="H5543" s="1">
        <v>660</v>
      </c>
    </row>
    <row r="5544" spans="2:8" x14ac:dyDescent="0.2">
      <c r="B5544" t="str">
        <f>VLOOKUP(G5544,PC!B:D,3,FALSE)</f>
        <v>CPV</v>
      </c>
      <c r="C5544" s="22">
        <v>2024</v>
      </c>
      <c r="D5544" t="s">
        <v>98</v>
      </c>
      <c r="E5544" t="s">
        <v>129</v>
      </c>
      <c r="F5544" t="str">
        <f>VLOOKUP(G5544,PC!B:D,2,FALSE)</f>
        <v>SOBREMESA</v>
      </c>
      <c r="G5544" s="4" t="s">
        <v>7</v>
      </c>
      <c r="H5544" s="1">
        <v>180</v>
      </c>
    </row>
    <row r="5545" spans="2:8" x14ac:dyDescent="0.2">
      <c r="B5545" t="str">
        <f>VLOOKUP(G5545,PC!B:D,3,FALSE)</f>
        <v>CPV</v>
      </c>
      <c r="C5545" s="22">
        <v>2024</v>
      </c>
      <c r="D5545" t="s">
        <v>98</v>
      </c>
      <c r="E5545" t="s">
        <v>129</v>
      </c>
      <c r="F5545" t="str">
        <f>VLOOKUP(G5545,PC!B:D,2,FALSE)</f>
        <v>COMIDA</v>
      </c>
      <c r="G5545" s="4" t="s">
        <v>12</v>
      </c>
      <c r="H5545" s="1">
        <v>400</v>
      </c>
    </row>
    <row r="5546" spans="2:8" x14ac:dyDescent="0.2">
      <c r="B5546" t="str">
        <f>VLOOKUP(G5546,PC!B:D,3,FALSE)</f>
        <v>CPV</v>
      </c>
      <c r="C5546" s="22">
        <v>2024</v>
      </c>
      <c r="D5546" t="s">
        <v>98</v>
      </c>
      <c r="E5546" t="s">
        <v>129</v>
      </c>
      <c r="F5546" t="str">
        <f>VLOOKUP(G5546,PC!B:D,2,FALSE)</f>
        <v>COMIDA</v>
      </c>
      <c r="G5546" s="4" t="s">
        <v>12</v>
      </c>
      <c r="H5546" s="1">
        <v>87.5</v>
      </c>
    </row>
    <row r="5547" spans="2:8" x14ac:dyDescent="0.2">
      <c r="B5547" t="str">
        <f>VLOOKUP(G5547,PC!B:D,3,FALSE)</f>
        <v>CPV</v>
      </c>
      <c r="C5547" s="22">
        <v>2024</v>
      </c>
      <c r="D5547" t="s">
        <v>98</v>
      </c>
      <c r="E5547" t="s">
        <v>129</v>
      </c>
      <c r="F5547" t="str">
        <f>VLOOKUP(G5547,PC!B:D,2,FALSE)</f>
        <v>SOBREMESA</v>
      </c>
      <c r="G5547" s="4" t="s">
        <v>7</v>
      </c>
      <c r="H5547" s="1">
        <v>98</v>
      </c>
    </row>
    <row r="5548" spans="2:8" x14ac:dyDescent="0.2">
      <c r="B5548" t="str">
        <f>VLOOKUP(G5548,PC!B:D,3,FALSE)</f>
        <v>CPV</v>
      </c>
      <c r="C5548" s="22">
        <v>2024</v>
      </c>
      <c r="D5548" t="s">
        <v>98</v>
      </c>
      <c r="E5548" t="s">
        <v>129</v>
      </c>
      <c r="F5548" t="str">
        <f>VLOOKUP(G5548,PC!B:D,2,FALSE)</f>
        <v>BEBIDAS</v>
      </c>
      <c r="G5548" s="4" t="s">
        <v>244</v>
      </c>
      <c r="H5548" s="1">
        <v>233</v>
      </c>
    </row>
    <row r="5549" spans="2:8" x14ac:dyDescent="0.2">
      <c r="B5549" t="str">
        <f>VLOOKUP(G5549,PC!B:D,3,FALSE)</f>
        <v>CPV</v>
      </c>
      <c r="C5549" s="22">
        <v>2024</v>
      </c>
      <c r="D5549" t="s">
        <v>98</v>
      </c>
      <c r="E5549" t="s">
        <v>129</v>
      </c>
      <c r="F5549" t="str">
        <f>VLOOKUP(G5549,PC!B:D,2,FALSE)</f>
        <v>OUTROS</v>
      </c>
      <c r="G5549" s="4" t="s">
        <v>58</v>
      </c>
      <c r="H5549" s="1">
        <v>192</v>
      </c>
    </row>
    <row r="5550" spans="2:8" x14ac:dyDescent="0.2">
      <c r="B5550" t="str">
        <f>VLOOKUP(G5550,PC!B:D,3,FALSE)</f>
        <v>CPV</v>
      </c>
      <c r="C5550" s="22">
        <v>2024</v>
      </c>
      <c r="D5550" t="s">
        <v>98</v>
      </c>
      <c r="E5550" t="s">
        <v>129</v>
      </c>
      <c r="F5550" t="str">
        <f>VLOOKUP(G5550,PC!B:D,2,FALSE)</f>
        <v>HIGIENE</v>
      </c>
      <c r="G5550" s="4" t="s">
        <v>36</v>
      </c>
      <c r="H5550" s="1">
        <v>152</v>
      </c>
    </row>
    <row r="5551" spans="2:8" x14ac:dyDescent="0.2">
      <c r="B5551" t="str">
        <f>VLOOKUP(G5551,PC!B:D,3,FALSE)</f>
        <v>CPV</v>
      </c>
      <c r="C5551" s="22">
        <v>2024</v>
      </c>
      <c r="D5551" t="s">
        <v>98</v>
      </c>
      <c r="E5551" t="s">
        <v>129</v>
      </c>
      <c r="F5551" t="str">
        <f>VLOOKUP(G5551,PC!B:D,2,FALSE)</f>
        <v>COMIDA</v>
      </c>
      <c r="G5551" s="4" t="s">
        <v>22</v>
      </c>
      <c r="H5551" s="1">
        <v>24</v>
      </c>
    </row>
    <row r="5552" spans="2:8" x14ac:dyDescent="0.2">
      <c r="B5552" t="str">
        <f>VLOOKUP(G5552,PC!B:D,3,FALSE)</f>
        <v>CPV</v>
      </c>
      <c r="C5552" s="22">
        <v>2024</v>
      </c>
      <c r="D5552" t="s">
        <v>98</v>
      </c>
      <c r="E5552" t="s">
        <v>129</v>
      </c>
      <c r="F5552" t="str">
        <f>VLOOKUP(G5552,PC!B:D,2,FALSE)</f>
        <v>COMIDA</v>
      </c>
      <c r="G5552" s="4" t="s">
        <v>155</v>
      </c>
      <c r="H5552" s="1">
        <v>295</v>
      </c>
    </row>
    <row r="5553" spans="2:8" x14ac:dyDescent="0.2">
      <c r="B5553" t="str">
        <f>VLOOKUP(G5553,PC!B:D,3,FALSE)</f>
        <v>CPV</v>
      </c>
      <c r="C5553" s="22">
        <v>2024</v>
      </c>
      <c r="D5553" t="s">
        <v>98</v>
      </c>
      <c r="E5553" t="s">
        <v>129</v>
      </c>
      <c r="F5553" t="str">
        <f>VLOOKUP(G5553,PC!B:D,2,FALSE)</f>
        <v>SOBREMESA</v>
      </c>
      <c r="G5553" s="4" t="s">
        <v>7</v>
      </c>
      <c r="H5553" s="1">
        <v>182</v>
      </c>
    </row>
    <row r="5554" spans="2:8" x14ac:dyDescent="0.2">
      <c r="B5554" t="str">
        <f>VLOOKUP(G5554,PC!B:D,3,FALSE)</f>
        <v>CPV</v>
      </c>
      <c r="C5554" s="22">
        <v>2024</v>
      </c>
      <c r="D5554" t="s">
        <v>98</v>
      </c>
      <c r="E5554" t="s">
        <v>129</v>
      </c>
      <c r="F5554" t="str">
        <f>VLOOKUP(G5554,PC!B:D,2,FALSE)</f>
        <v>COMIDA</v>
      </c>
      <c r="G5554" s="4" t="s">
        <v>12</v>
      </c>
      <c r="H5554" s="1">
        <v>340</v>
      </c>
    </row>
    <row r="5555" spans="2:8" x14ac:dyDescent="0.2">
      <c r="B5555" t="str">
        <f>VLOOKUP(G5555,PC!B:D,3,FALSE)</f>
        <v>CPV</v>
      </c>
      <c r="C5555" s="22">
        <v>2024</v>
      </c>
      <c r="D5555" t="s">
        <v>98</v>
      </c>
      <c r="E5555" t="s">
        <v>129</v>
      </c>
      <c r="F5555" t="str">
        <f>VLOOKUP(G5555,PC!B:D,2,FALSE)</f>
        <v>COMIDA</v>
      </c>
      <c r="G5555" s="4" t="s">
        <v>12</v>
      </c>
      <c r="H5555" s="1">
        <v>87.5</v>
      </c>
    </row>
    <row r="5556" spans="2:8" x14ac:dyDescent="0.2">
      <c r="B5556" t="str">
        <f>VLOOKUP(G5556,PC!B:D,3,FALSE)</f>
        <v>CPV</v>
      </c>
      <c r="C5556" s="22">
        <v>2024</v>
      </c>
      <c r="D5556" t="s">
        <v>98</v>
      </c>
      <c r="E5556" t="s">
        <v>129</v>
      </c>
      <c r="F5556" t="str">
        <f>VLOOKUP(G5556,PC!B:D,2,FALSE)</f>
        <v>COMIDA</v>
      </c>
      <c r="G5556" s="4" t="s">
        <v>33</v>
      </c>
      <c r="H5556" s="1">
        <v>72</v>
      </c>
    </row>
    <row r="5557" spans="2:8" x14ac:dyDescent="0.2">
      <c r="B5557" t="str">
        <f>VLOOKUP(G5557,PC!B:D,3,FALSE)</f>
        <v>CPV</v>
      </c>
      <c r="C5557" s="22">
        <v>2024</v>
      </c>
      <c r="D5557" t="s">
        <v>98</v>
      </c>
      <c r="E5557" t="s">
        <v>129</v>
      </c>
      <c r="F5557" t="str">
        <f>VLOOKUP(G5557,PC!B:D,2,FALSE)</f>
        <v>OUTROS</v>
      </c>
      <c r="G5557" s="4" t="s">
        <v>37</v>
      </c>
      <c r="H5557" s="1">
        <f>88.56+565+270</f>
        <v>923.56</v>
      </c>
    </row>
    <row r="5558" spans="2:8" x14ac:dyDescent="0.2">
      <c r="B5558" t="str">
        <f>VLOOKUP(G5558,PC!B:D,3,FALSE)</f>
        <v>CPV</v>
      </c>
      <c r="C5558" s="22">
        <v>2024</v>
      </c>
      <c r="D5558" t="s">
        <v>98</v>
      </c>
      <c r="E5558" t="s">
        <v>129</v>
      </c>
      <c r="F5558" t="str">
        <f>VLOOKUP(G5558,PC!B:D,2,FALSE)</f>
        <v>COMIDA</v>
      </c>
      <c r="G5558" s="4" t="s">
        <v>155</v>
      </c>
      <c r="H5558" s="1">
        <v>295</v>
      </c>
    </row>
    <row r="5559" spans="2:8" x14ac:dyDescent="0.2">
      <c r="B5559" t="str">
        <f>VLOOKUP(G5559,PC!B:D,3,FALSE)</f>
        <v>CPV</v>
      </c>
      <c r="C5559" s="22">
        <v>2024</v>
      </c>
      <c r="D5559" t="s">
        <v>98</v>
      </c>
      <c r="E5559" t="s">
        <v>129</v>
      </c>
      <c r="F5559" t="str">
        <f>VLOOKUP(G5559,PC!B:D,2,FALSE)</f>
        <v>COMIDA</v>
      </c>
      <c r="G5559" s="4" t="s">
        <v>22</v>
      </c>
      <c r="H5559" s="1">
        <v>25.5</v>
      </c>
    </row>
    <row r="5560" spans="2:8" x14ac:dyDescent="0.2">
      <c r="B5560" t="str">
        <f>VLOOKUP(G5560,PC!B:D,3,FALSE)</f>
        <v>CPV</v>
      </c>
      <c r="C5560" s="22">
        <v>2024</v>
      </c>
      <c r="D5560" t="s">
        <v>98</v>
      </c>
      <c r="E5560" t="s">
        <v>129</v>
      </c>
      <c r="F5560" t="str">
        <f>VLOOKUP(G5560,PC!B:D,2,FALSE)</f>
        <v>SOBREMESA</v>
      </c>
      <c r="G5560" s="4" t="s">
        <v>75</v>
      </c>
      <c r="H5560" s="1">
        <v>761</v>
      </c>
    </row>
    <row r="5561" spans="2:8" x14ac:dyDescent="0.2">
      <c r="B5561" t="str">
        <f>VLOOKUP(G5561,PC!B:D,3,FALSE)</f>
        <v>CPV</v>
      </c>
      <c r="C5561" s="22">
        <v>2024</v>
      </c>
      <c r="D5561" t="s">
        <v>98</v>
      </c>
      <c r="E5561" t="s">
        <v>129</v>
      </c>
      <c r="F5561" t="str">
        <f>VLOOKUP(G5561,PC!B:D,2,FALSE)</f>
        <v>COMIDA</v>
      </c>
      <c r="G5561" s="4" t="s">
        <v>33</v>
      </c>
      <c r="H5561" s="1">
        <v>60</v>
      </c>
    </row>
    <row r="5562" spans="2:8" x14ac:dyDescent="0.2">
      <c r="B5562" t="str">
        <f>VLOOKUP(G5562,PC!B:D,3,FALSE)</f>
        <v>CPV</v>
      </c>
      <c r="C5562" s="22">
        <v>2024</v>
      </c>
      <c r="D5562" t="s">
        <v>98</v>
      </c>
      <c r="E5562" t="s">
        <v>129</v>
      </c>
      <c r="F5562" t="str">
        <f>VLOOKUP(G5562,PC!B:D,2,FALSE)</f>
        <v>BEBIDAS</v>
      </c>
      <c r="G5562" s="4" t="s">
        <v>48</v>
      </c>
      <c r="H5562" s="1">
        <v>228</v>
      </c>
    </row>
    <row r="5563" spans="2:8" x14ac:dyDescent="0.2">
      <c r="B5563" t="str">
        <f>VLOOKUP(G5563,PC!B:D,3,FALSE)</f>
        <v>CPV</v>
      </c>
      <c r="C5563" s="22">
        <v>2024</v>
      </c>
      <c r="D5563" t="s">
        <v>98</v>
      </c>
      <c r="E5563" t="s">
        <v>129</v>
      </c>
      <c r="F5563" t="str">
        <f>VLOOKUP(G5563,PC!B:D,2,FALSE)</f>
        <v>SOBREMESA</v>
      </c>
      <c r="G5563" s="4" t="s">
        <v>7</v>
      </c>
      <c r="H5563" s="1">
        <v>393.9</v>
      </c>
    </row>
    <row r="5564" spans="2:8" x14ac:dyDescent="0.2">
      <c r="B5564" t="str">
        <f>VLOOKUP(G5564,PC!B:D,3,FALSE)</f>
        <v>DESPESA PESSOAL</v>
      </c>
      <c r="C5564" s="22">
        <v>2024</v>
      </c>
      <c r="D5564" t="s">
        <v>98</v>
      </c>
      <c r="F5564" t="str">
        <f>VLOOKUP(G5564,PC!B:D,2,FALSE)</f>
        <v>DESPESA PESSOAL</v>
      </c>
      <c r="G5564" s="4" t="s">
        <v>56</v>
      </c>
      <c r="H5564" s="1">
        <f>5*450</f>
        <v>2250</v>
      </c>
    </row>
    <row r="5565" spans="2:8" x14ac:dyDescent="0.2">
      <c r="B5565" t="str">
        <f>VLOOKUP(G5565,PC!B:D,3,FALSE)</f>
        <v>DESPESA PESSOAL</v>
      </c>
      <c r="C5565" s="22">
        <v>2024</v>
      </c>
      <c r="D5565" t="s">
        <v>98</v>
      </c>
      <c r="F5565" t="str">
        <f>VLOOKUP(G5565,PC!B:D,2,FALSE)</f>
        <v>DESPESA PESSOAL</v>
      </c>
      <c r="G5565" s="4" t="s">
        <v>124</v>
      </c>
      <c r="H5565" s="1">
        <v>2400</v>
      </c>
    </row>
    <row r="5566" spans="2:8" x14ac:dyDescent="0.2">
      <c r="B5566" t="str">
        <f>VLOOKUP(G5566,PC!B:D,3,FALSE)</f>
        <v>CPV</v>
      </c>
      <c r="C5566" s="22">
        <v>2024</v>
      </c>
      <c r="D5566" t="s">
        <v>102</v>
      </c>
      <c r="F5566" t="str">
        <f>VLOOKUP(G5566,PC!B:D,2,FALSE)</f>
        <v>COMIDA</v>
      </c>
      <c r="G5566" s="4" t="s">
        <v>155</v>
      </c>
      <c r="H5566" s="1">
        <f>280+370+380+180</f>
        <v>1210</v>
      </c>
    </row>
    <row r="5567" spans="2:8" x14ac:dyDescent="0.2">
      <c r="B5567" t="e">
        <f>VLOOKUP(G5567,PC!B:D,3,FALSE)</f>
        <v>#N/A</v>
      </c>
      <c r="C5567" s="22">
        <v>2024</v>
      </c>
      <c r="D5567" t="s">
        <v>98</v>
      </c>
      <c r="F5567" t="e">
        <f>VLOOKUP(G5567,PC!B:D,2,FALSE)</f>
        <v>#N/A</v>
      </c>
      <c r="G5567" s="4" t="s">
        <v>157</v>
      </c>
      <c r="H5567" s="1">
        <v>117.46</v>
      </c>
    </row>
    <row r="5568" spans="2:8" x14ac:dyDescent="0.2">
      <c r="B5568" t="str">
        <f>VLOOKUP(G5568,PC!B:D,3,FALSE)</f>
        <v>DESPESA PESSOAL</v>
      </c>
      <c r="C5568" s="22">
        <v>2024</v>
      </c>
      <c r="D5568" t="s">
        <v>98</v>
      </c>
      <c r="F5568" t="str">
        <f>VLOOKUP(G5568,PC!B:D,2,FALSE)</f>
        <v>DESPESA PESSOAL</v>
      </c>
      <c r="G5568" s="4" t="s">
        <v>115</v>
      </c>
      <c r="H5568" s="1">
        <v>121.82</v>
      </c>
    </row>
    <row r="5569" spans="2:8" x14ac:dyDescent="0.2">
      <c r="B5569" t="str">
        <f>VLOOKUP(G5569,PC!B:D,3,FALSE)</f>
        <v>DESPESA FINANCEIRA</v>
      </c>
      <c r="C5569" s="22">
        <v>2024</v>
      </c>
      <c r="D5569" t="s">
        <v>98</v>
      </c>
      <c r="F5569" t="str">
        <f>VLOOKUP(G5569,PC!B:D,2,FALSE)</f>
        <v>DESPESA FINANCEIRA</v>
      </c>
      <c r="G5569" s="4" t="s">
        <v>90</v>
      </c>
      <c r="H5569" s="1">
        <v>776.02</v>
      </c>
    </row>
    <row r="5570" spans="2:8" x14ac:dyDescent="0.2">
      <c r="B5570" t="str">
        <f>VLOOKUP(G5570,PC!B:D,3,FALSE)</f>
        <v>DESCONTO DE FATURAMENTO</v>
      </c>
      <c r="C5570" s="22">
        <v>2024</v>
      </c>
      <c r="D5570" t="s">
        <v>98</v>
      </c>
      <c r="F5570" t="str">
        <f>VLOOKUP(G5570,PC!B:D,2,FALSE)</f>
        <v>IMPOSTO</v>
      </c>
      <c r="G5570" s="4" t="s">
        <v>88</v>
      </c>
      <c r="H5570" s="1">
        <v>4648.76</v>
      </c>
    </row>
    <row r="5571" spans="2:8" x14ac:dyDescent="0.2">
      <c r="B5571" t="e">
        <f>VLOOKUP(G5571,PC!B:D,3,FALSE)</f>
        <v>#N/A</v>
      </c>
      <c r="C5571" s="22">
        <v>2024</v>
      </c>
      <c r="D5571" t="s">
        <v>98</v>
      </c>
      <c r="F5571" t="e">
        <f>VLOOKUP(G5571,PC!B:D,2,FALSE)</f>
        <v>#N/A</v>
      </c>
      <c r="G5571" s="4" t="s">
        <v>245</v>
      </c>
      <c r="H5571" s="1">
        <v>19.5</v>
      </c>
    </row>
    <row r="5572" spans="2:8" x14ac:dyDescent="0.2">
      <c r="B5572" t="str">
        <f>VLOOKUP(G5572,PC!B:D,3,FALSE)</f>
        <v>RECEITA</v>
      </c>
      <c r="C5572" s="22">
        <v>2024</v>
      </c>
      <c r="D5572" t="s">
        <v>98</v>
      </c>
      <c r="F5572" t="str">
        <f>VLOOKUP(G5572,PC!B:D,2,FALSE)</f>
        <v>RECEITA</v>
      </c>
      <c r="G5572" s="4" t="s">
        <v>54</v>
      </c>
      <c r="H5572" s="1">
        <v>212</v>
      </c>
    </row>
    <row r="5573" spans="2:8" x14ac:dyDescent="0.2">
      <c r="B5573" t="str">
        <f>VLOOKUP(G5573,PC!B:D,3,FALSE)</f>
        <v>DESPESA OPERACIONAL</v>
      </c>
      <c r="C5573" s="22">
        <v>2024</v>
      </c>
      <c r="D5573" t="s">
        <v>102</v>
      </c>
      <c r="F5573" t="str">
        <f>VLOOKUP(G5573,PC!B:D,2,FALSE)</f>
        <v>DESPESA OPERACIONAL</v>
      </c>
      <c r="G5573" s="4" t="s">
        <v>76</v>
      </c>
      <c r="H5573" s="1">
        <v>190</v>
      </c>
    </row>
    <row r="5574" spans="2:8" x14ac:dyDescent="0.2">
      <c r="B5574" t="str">
        <f>VLOOKUP(G5574,PC!B:D,3,FALSE)</f>
        <v>CPV</v>
      </c>
      <c r="C5574" s="22">
        <v>2024</v>
      </c>
      <c r="D5574" t="s">
        <v>102</v>
      </c>
      <c r="E5574" t="s">
        <v>129</v>
      </c>
      <c r="F5574" t="str">
        <f>VLOOKUP(G5574,PC!B:D,2,FALSE)</f>
        <v>SOBREMESA</v>
      </c>
      <c r="G5574" s="4" t="s">
        <v>75</v>
      </c>
      <c r="H5574" s="1">
        <v>1139.5999999999999</v>
      </c>
    </row>
    <row r="5575" spans="2:8" x14ac:dyDescent="0.2">
      <c r="B5575" t="str">
        <f>VLOOKUP(G5575,PC!B:D,3,FALSE)</f>
        <v>CPV</v>
      </c>
      <c r="C5575" s="22">
        <v>2024</v>
      </c>
      <c r="D5575" t="s">
        <v>102</v>
      </c>
      <c r="E5575" t="s">
        <v>129</v>
      </c>
      <c r="F5575" t="str">
        <f>VLOOKUP(G5575,PC!B:D,2,FALSE)</f>
        <v>OUTROS</v>
      </c>
      <c r="G5575" s="4" t="s">
        <v>37</v>
      </c>
      <c r="H5575" s="1">
        <v>574.91</v>
      </c>
    </row>
    <row r="5576" spans="2:8" x14ac:dyDescent="0.2">
      <c r="B5576" t="str">
        <f>VLOOKUP(G5576,PC!B:D,3,FALSE)</f>
        <v>CPV</v>
      </c>
      <c r="C5576" s="22">
        <v>2024</v>
      </c>
      <c r="D5576" t="s">
        <v>102</v>
      </c>
      <c r="E5576" t="s">
        <v>129</v>
      </c>
      <c r="F5576" t="str">
        <f>VLOOKUP(G5576,PC!B:D,2,FALSE)</f>
        <v>COMIDA</v>
      </c>
      <c r="G5576" s="4" t="s">
        <v>33</v>
      </c>
      <c r="H5576" s="1">
        <f>72+72</f>
        <v>144</v>
      </c>
    </row>
    <row r="5577" spans="2:8" x14ac:dyDescent="0.2">
      <c r="B5577" t="str">
        <f>VLOOKUP(G5577,PC!B:D,3,FALSE)</f>
        <v>CPV</v>
      </c>
      <c r="C5577" s="22">
        <v>2024</v>
      </c>
      <c r="D5577" t="s">
        <v>102</v>
      </c>
      <c r="E5577" t="s">
        <v>129</v>
      </c>
      <c r="F5577" t="str">
        <f>VLOOKUP(G5577,PC!B:D,2,FALSE)</f>
        <v>OUTROS</v>
      </c>
      <c r="G5577" s="4" t="s">
        <v>58</v>
      </c>
      <c r="H5577" s="1">
        <v>192</v>
      </c>
    </row>
    <row r="5578" spans="2:8" x14ac:dyDescent="0.2">
      <c r="B5578" t="str">
        <f>VLOOKUP(G5578,PC!B:D,3,FALSE)</f>
        <v>CPV</v>
      </c>
      <c r="C5578" s="22">
        <v>2024</v>
      </c>
      <c r="D5578" t="s">
        <v>102</v>
      </c>
      <c r="E5578" t="s">
        <v>129</v>
      </c>
      <c r="F5578" t="str">
        <f>VLOOKUP(G5578,PC!B:D,2,FALSE)</f>
        <v>OUTROS</v>
      </c>
      <c r="G5578" s="4" t="s">
        <v>37</v>
      </c>
      <c r="H5578" s="1">
        <v>120</v>
      </c>
    </row>
    <row r="5579" spans="2:8" x14ac:dyDescent="0.2">
      <c r="B5579" t="str">
        <f>VLOOKUP(G5579,PC!B:D,3,FALSE)</f>
        <v>CPV</v>
      </c>
      <c r="C5579" s="22">
        <v>2024</v>
      </c>
      <c r="D5579" t="s">
        <v>102</v>
      </c>
      <c r="E5579" t="s">
        <v>129</v>
      </c>
      <c r="F5579" t="str">
        <f>VLOOKUP(G5579,PC!B:D,2,FALSE)</f>
        <v>COMIDA</v>
      </c>
      <c r="G5579" s="4" t="s">
        <v>146</v>
      </c>
      <c r="H5579" s="1">
        <v>124</v>
      </c>
    </row>
    <row r="5580" spans="2:8" x14ac:dyDescent="0.2">
      <c r="B5580" t="str">
        <f>VLOOKUP(G5580,PC!B:D,3,FALSE)</f>
        <v>CPV</v>
      </c>
      <c r="C5580" s="22">
        <v>2024</v>
      </c>
      <c r="D5580" t="s">
        <v>102</v>
      </c>
      <c r="E5580" t="s">
        <v>129</v>
      </c>
      <c r="F5580" t="str">
        <f>VLOOKUP(G5580,PC!B:D,2,FALSE)</f>
        <v>BEBIDAS</v>
      </c>
      <c r="G5580" s="4" t="s">
        <v>48</v>
      </c>
      <c r="H5580" s="1">
        <v>223.4</v>
      </c>
    </row>
    <row r="5581" spans="2:8" x14ac:dyDescent="0.2">
      <c r="B5581" t="str">
        <f>VLOOKUP(G5581,PC!B:D,3,FALSE)</f>
        <v>CPV</v>
      </c>
      <c r="C5581" s="22">
        <v>2024</v>
      </c>
      <c r="D5581" t="s">
        <v>102</v>
      </c>
      <c r="E5581" t="s">
        <v>129</v>
      </c>
      <c r="F5581" t="str">
        <f>VLOOKUP(G5581,PC!B:D,2,FALSE)</f>
        <v>BEBIDAS</v>
      </c>
      <c r="G5581" s="4" t="s">
        <v>46</v>
      </c>
      <c r="H5581" s="1">
        <v>288.8</v>
      </c>
    </row>
    <row r="5582" spans="2:8" x14ac:dyDescent="0.2">
      <c r="B5582" t="str">
        <f>VLOOKUP(G5582,PC!B:D,3,FALSE)</f>
        <v>CPV</v>
      </c>
      <c r="C5582" s="22">
        <v>2024</v>
      </c>
      <c r="D5582" t="s">
        <v>102</v>
      </c>
      <c r="E5582" t="s">
        <v>129</v>
      </c>
      <c r="F5582" t="str">
        <f>VLOOKUP(G5582,PC!B:D,2,FALSE)</f>
        <v>SOBREMESA</v>
      </c>
      <c r="G5582" s="4" t="s">
        <v>7</v>
      </c>
      <c r="H5582" s="1">
        <v>96</v>
      </c>
    </row>
    <row r="5583" spans="2:8" x14ac:dyDescent="0.2">
      <c r="B5583" t="str">
        <f>VLOOKUP(G5583,PC!B:D,3,FALSE)</f>
        <v>CPV</v>
      </c>
      <c r="C5583" s="22">
        <v>2024</v>
      </c>
      <c r="D5583" t="s">
        <v>102</v>
      </c>
      <c r="E5583" t="s">
        <v>129</v>
      </c>
      <c r="F5583" t="str">
        <f>VLOOKUP(G5583,PC!B:D,2,FALSE)</f>
        <v>CIGARRO</v>
      </c>
      <c r="G5583" s="4" t="s">
        <v>57</v>
      </c>
      <c r="H5583" s="1">
        <v>1243</v>
      </c>
    </row>
    <row r="5584" spans="2:8" x14ac:dyDescent="0.2">
      <c r="B5584" t="str">
        <f>VLOOKUP(G5584,PC!B:D,3,FALSE)</f>
        <v>CPV</v>
      </c>
      <c r="C5584" s="22">
        <v>2024</v>
      </c>
      <c r="D5584" t="s">
        <v>102</v>
      </c>
      <c r="E5584" t="s">
        <v>129</v>
      </c>
      <c r="F5584" t="str">
        <f>VLOOKUP(G5584,PC!B:D,2,FALSE)</f>
        <v>BEBIDAS</v>
      </c>
      <c r="G5584" s="4" t="s">
        <v>39</v>
      </c>
      <c r="H5584" s="1">
        <v>60</v>
      </c>
    </row>
    <row r="5585" spans="2:8" x14ac:dyDescent="0.2">
      <c r="B5585" t="str">
        <f>VLOOKUP(G5585,PC!B:D,3,FALSE)</f>
        <v>CPV</v>
      </c>
      <c r="C5585" s="22">
        <v>2024</v>
      </c>
      <c r="D5585" t="s">
        <v>102</v>
      </c>
      <c r="E5585" t="s">
        <v>129</v>
      </c>
      <c r="F5585" t="str">
        <f>VLOOKUP(G5585,PC!B:D,2,FALSE)</f>
        <v>SOBREMESA</v>
      </c>
      <c r="G5585" s="4" t="s">
        <v>7</v>
      </c>
      <c r="H5585" s="1">
        <v>87</v>
      </c>
    </row>
    <row r="5586" spans="2:8" x14ac:dyDescent="0.2">
      <c r="B5586" t="str">
        <f>VLOOKUP(G5586,PC!B:D,3,FALSE)</f>
        <v>CPV</v>
      </c>
      <c r="C5586" s="22">
        <v>2024</v>
      </c>
      <c r="D5586" t="s">
        <v>102</v>
      </c>
      <c r="E5586" t="s">
        <v>129</v>
      </c>
      <c r="F5586" t="str">
        <f>VLOOKUP(G5586,PC!B:D,2,FALSE)</f>
        <v>OUTROS</v>
      </c>
      <c r="G5586" s="4" t="s">
        <v>37</v>
      </c>
      <c r="H5586" s="1">
        <v>196.77</v>
      </c>
    </row>
    <row r="5587" spans="2:8" x14ac:dyDescent="0.2">
      <c r="B5587" t="str">
        <f>VLOOKUP(G5587,PC!B:D,3,FALSE)</f>
        <v>CPV</v>
      </c>
      <c r="C5587" s="22">
        <v>2024</v>
      </c>
      <c r="D5587" t="s">
        <v>102</v>
      </c>
      <c r="E5587" t="s">
        <v>129</v>
      </c>
      <c r="F5587" t="str">
        <f>VLOOKUP(G5587,PC!B:D,2,FALSE)</f>
        <v>OUTROS</v>
      </c>
      <c r="G5587" s="4" t="s">
        <v>37</v>
      </c>
      <c r="H5587" s="1">
        <v>240</v>
      </c>
    </row>
    <row r="5588" spans="2:8" x14ac:dyDescent="0.2">
      <c r="B5588" t="str">
        <f>VLOOKUP(G5588,PC!B:D,3,FALSE)</f>
        <v>CPV</v>
      </c>
      <c r="C5588" s="22">
        <v>2024</v>
      </c>
      <c r="D5588" t="s">
        <v>102</v>
      </c>
      <c r="E5588" t="s">
        <v>129</v>
      </c>
      <c r="F5588" t="str">
        <f>VLOOKUP(G5588,PC!B:D,2,FALSE)</f>
        <v>OUTROS</v>
      </c>
      <c r="G5588" s="4" t="s">
        <v>37</v>
      </c>
      <c r="H5588" s="1">
        <v>99.8</v>
      </c>
    </row>
    <row r="5589" spans="2:8" x14ac:dyDescent="0.2">
      <c r="B5589" t="str">
        <f>VLOOKUP(G5589,PC!B:D,3,FALSE)</f>
        <v>CPV</v>
      </c>
      <c r="C5589" s="22">
        <v>2024</v>
      </c>
      <c r="D5589" t="s">
        <v>102</v>
      </c>
      <c r="E5589" t="s">
        <v>129</v>
      </c>
      <c r="F5589" t="str">
        <f>VLOOKUP(G5589,PC!B:D,2,FALSE)</f>
        <v>BEBIDAS</v>
      </c>
      <c r="G5589" s="4" t="s">
        <v>48</v>
      </c>
      <c r="H5589" s="1">
        <v>100</v>
      </c>
    </row>
    <row r="5590" spans="2:8" x14ac:dyDescent="0.2">
      <c r="B5590" t="str">
        <f>VLOOKUP(G5590,PC!B:D,3,FALSE)</f>
        <v>CPV</v>
      </c>
      <c r="C5590" s="22">
        <v>2024</v>
      </c>
      <c r="D5590" t="s">
        <v>102</v>
      </c>
      <c r="E5590" t="s">
        <v>129</v>
      </c>
      <c r="F5590" t="str">
        <f>VLOOKUP(G5590,PC!B:D,2,FALSE)</f>
        <v>COMIDA</v>
      </c>
      <c r="G5590" s="4" t="s">
        <v>146</v>
      </c>
      <c r="H5590" s="1">
        <v>450</v>
      </c>
    </row>
    <row r="5591" spans="2:8" x14ac:dyDescent="0.2">
      <c r="B5591" t="str">
        <f>VLOOKUP(G5591,PC!B:D,3,FALSE)</f>
        <v>CPV</v>
      </c>
      <c r="C5591" s="22">
        <v>2024</v>
      </c>
      <c r="D5591" t="s">
        <v>102</v>
      </c>
      <c r="E5591" t="s">
        <v>129</v>
      </c>
      <c r="F5591" t="str">
        <f>VLOOKUP(G5591,PC!B:D,2,FALSE)</f>
        <v>BEBIDAS</v>
      </c>
      <c r="G5591" s="4" t="s">
        <v>48</v>
      </c>
      <c r="H5591" s="1">
        <v>329.1</v>
      </c>
    </row>
    <row r="5592" spans="2:8" x14ac:dyDescent="0.2">
      <c r="B5592" t="str">
        <f>VLOOKUP(G5592,PC!B:D,3,FALSE)</f>
        <v>SERV. PUBLICOS</v>
      </c>
      <c r="C5592" s="22">
        <v>2024</v>
      </c>
      <c r="D5592" t="s">
        <v>102</v>
      </c>
      <c r="F5592" t="str">
        <f>VLOOKUP(G5592,PC!B:D,2,FALSE)</f>
        <v>SERV. PUBLICOS</v>
      </c>
      <c r="G5592" s="4" t="s">
        <v>104</v>
      </c>
      <c r="H5592" s="1">
        <v>250</v>
      </c>
    </row>
    <row r="5593" spans="2:8" x14ac:dyDescent="0.2">
      <c r="B5593" t="str">
        <f>VLOOKUP(G5593,PC!B:D,3,FALSE)</f>
        <v>CPV</v>
      </c>
      <c r="C5593" s="22">
        <v>2024</v>
      </c>
      <c r="D5593" t="s">
        <v>102</v>
      </c>
      <c r="E5593" t="s">
        <v>129</v>
      </c>
      <c r="F5593" t="str">
        <f>VLOOKUP(G5593,PC!B:D,2,FALSE)</f>
        <v>BEBIDAS</v>
      </c>
      <c r="G5593" s="4" t="s">
        <v>51</v>
      </c>
      <c r="H5593" s="1">
        <v>99.9</v>
      </c>
    </row>
    <row r="5594" spans="2:8" x14ac:dyDescent="0.2">
      <c r="B5594" t="str">
        <f>VLOOKUP(G5594,PC!B:D,3,FALSE)</f>
        <v>CPV</v>
      </c>
      <c r="C5594" s="22">
        <v>2024</v>
      </c>
      <c r="D5594" t="s">
        <v>102</v>
      </c>
      <c r="E5594" t="s">
        <v>129</v>
      </c>
      <c r="F5594" t="str">
        <f>VLOOKUP(G5594,PC!B:D,2,FALSE)</f>
        <v>OUTROS</v>
      </c>
      <c r="G5594" s="4" t="s">
        <v>58</v>
      </c>
      <c r="H5594" s="1">
        <v>192</v>
      </c>
    </row>
    <row r="5595" spans="2:8" x14ac:dyDescent="0.2">
      <c r="B5595" t="str">
        <f>VLOOKUP(G5595,PC!B:D,3,FALSE)</f>
        <v>CPV</v>
      </c>
      <c r="C5595" s="22">
        <v>2024</v>
      </c>
      <c r="D5595" t="s">
        <v>102</v>
      </c>
      <c r="E5595" t="s">
        <v>129</v>
      </c>
      <c r="F5595" t="str">
        <f>VLOOKUP(G5595,PC!B:D,2,FALSE)</f>
        <v>COMIDA</v>
      </c>
      <c r="G5595" s="4" t="s">
        <v>12</v>
      </c>
      <c r="H5595" s="1">
        <v>144</v>
      </c>
    </row>
    <row r="5596" spans="2:8" x14ac:dyDescent="0.2">
      <c r="B5596" t="str">
        <f>VLOOKUP(G5596,PC!B:D,3,FALSE)</f>
        <v>CPV</v>
      </c>
      <c r="C5596" s="22">
        <v>2024</v>
      </c>
      <c r="D5596" t="s">
        <v>102</v>
      </c>
      <c r="E5596" t="s">
        <v>129</v>
      </c>
      <c r="F5596" t="str">
        <f>VLOOKUP(G5596,PC!B:D,2,FALSE)</f>
        <v>COMIDA</v>
      </c>
      <c r="G5596" s="4" t="s">
        <v>12</v>
      </c>
      <c r="H5596" s="1">
        <v>175</v>
      </c>
    </row>
    <row r="5597" spans="2:8" x14ac:dyDescent="0.2">
      <c r="B5597" t="str">
        <f>VLOOKUP(G5597,PC!B:D,3,FALSE)</f>
        <v>CPV</v>
      </c>
      <c r="C5597" s="22">
        <v>2024</v>
      </c>
      <c r="D5597" t="s">
        <v>102</v>
      </c>
      <c r="E5597" t="s">
        <v>129</v>
      </c>
      <c r="F5597" t="str">
        <f>VLOOKUP(G5597,PC!B:D,2,FALSE)</f>
        <v>COMIDA</v>
      </c>
      <c r="G5597" s="4" t="s">
        <v>22</v>
      </c>
      <c r="H5597" s="1">
        <v>68</v>
      </c>
    </row>
    <row r="5598" spans="2:8" x14ac:dyDescent="0.2">
      <c r="B5598" t="str">
        <f>VLOOKUP(G5598,PC!B:D,3,FALSE)</f>
        <v>CPV</v>
      </c>
      <c r="C5598" s="22">
        <v>2024</v>
      </c>
      <c r="D5598" t="s">
        <v>102</v>
      </c>
      <c r="E5598" t="s">
        <v>129</v>
      </c>
      <c r="F5598" t="str">
        <f>VLOOKUP(G5598,PC!B:D,2,FALSE)</f>
        <v>CIGARRO</v>
      </c>
      <c r="G5598" s="4" t="s">
        <v>131</v>
      </c>
      <c r="H5598" s="1">
        <v>1145</v>
      </c>
    </row>
    <row r="5599" spans="2:8" x14ac:dyDescent="0.2">
      <c r="B5599" t="str">
        <f>VLOOKUP(G5599,PC!B:D,3,FALSE)</f>
        <v>CPV</v>
      </c>
      <c r="C5599" s="22">
        <v>2024</v>
      </c>
      <c r="D5599" t="s">
        <v>102</v>
      </c>
      <c r="E5599" t="s">
        <v>129</v>
      </c>
      <c r="F5599" t="str">
        <f>VLOOKUP(G5599,PC!B:D,2,FALSE)</f>
        <v>SOBREMESA</v>
      </c>
      <c r="G5599" s="4" t="s">
        <v>7</v>
      </c>
      <c r="H5599" s="1">
        <v>182</v>
      </c>
    </row>
    <row r="5600" spans="2:8" x14ac:dyDescent="0.2">
      <c r="B5600" t="str">
        <f>VLOOKUP(G5600,PC!B:D,3,FALSE)</f>
        <v>CPV</v>
      </c>
      <c r="C5600" s="22">
        <v>2024</v>
      </c>
      <c r="D5600" t="s">
        <v>102</v>
      </c>
      <c r="E5600" t="s">
        <v>129</v>
      </c>
      <c r="F5600" t="str">
        <f>VLOOKUP(G5600,PC!B:D,2,FALSE)</f>
        <v>BEBIDAS</v>
      </c>
      <c r="G5600" s="4" t="s">
        <v>48</v>
      </c>
      <c r="H5600" s="1">
        <v>342</v>
      </c>
    </row>
    <row r="5601" spans="2:8" x14ac:dyDescent="0.2">
      <c r="B5601" t="str">
        <f>VLOOKUP(G5601,PC!B:D,3,FALSE)</f>
        <v>CPV</v>
      </c>
      <c r="C5601" s="22">
        <v>2024</v>
      </c>
      <c r="D5601" t="s">
        <v>102</v>
      </c>
      <c r="E5601" t="s">
        <v>129</v>
      </c>
      <c r="F5601" t="str">
        <f>VLOOKUP(G5601,PC!B:D,2,FALSE)</f>
        <v>COMIDA</v>
      </c>
      <c r="G5601" s="4" t="s">
        <v>33</v>
      </c>
      <c r="H5601" s="1">
        <v>90</v>
      </c>
    </row>
    <row r="5602" spans="2:8" x14ac:dyDescent="0.2">
      <c r="B5602" t="str">
        <f>VLOOKUP(G5602,PC!B:D,3,FALSE)</f>
        <v>CPV</v>
      </c>
      <c r="C5602" s="22">
        <v>2024</v>
      </c>
      <c r="D5602" t="s">
        <v>102</v>
      </c>
      <c r="E5602" t="s">
        <v>129</v>
      </c>
      <c r="F5602" t="str">
        <f>VLOOKUP(G5602,PC!B:D,2,FALSE)</f>
        <v>SOBREMESA</v>
      </c>
      <c r="G5602" s="4" t="s">
        <v>7</v>
      </c>
      <c r="H5602" s="1">
        <v>182</v>
      </c>
    </row>
    <row r="5603" spans="2:8" x14ac:dyDescent="0.2">
      <c r="B5603" t="str">
        <f>VLOOKUP(G5603,PC!B:D,3,FALSE)</f>
        <v>CPV</v>
      </c>
      <c r="C5603" s="22">
        <v>2024</v>
      </c>
      <c r="D5603" t="s">
        <v>102</v>
      </c>
      <c r="E5603" t="s">
        <v>129</v>
      </c>
      <c r="F5603" t="str">
        <f>VLOOKUP(G5603,PC!B:D,2,FALSE)</f>
        <v>SOBREMESA</v>
      </c>
      <c r="G5603" s="4" t="s">
        <v>7</v>
      </c>
      <c r="H5603" s="1">
        <v>74</v>
      </c>
    </row>
    <row r="5604" spans="2:8" x14ac:dyDescent="0.2">
      <c r="B5604" t="str">
        <f>VLOOKUP(G5604,PC!B:D,3,FALSE)</f>
        <v>DESPESA PESSOAL</v>
      </c>
      <c r="C5604" s="22">
        <v>2024</v>
      </c>
      <c r="D5604" t="s">
        <v>102</v>
      </c>
      <c r="F5604" t="str">
        <f>VLOOKUP(G5604,PC!B:D,2,FALSE)</f>
        <v>DESPESA PESSOAL</v>
      </c>
      <c r="G5604" s="4" t="s">
        <v>68</v>
      </c>
      <c r="H5604" s="1">
        <v>219.87</v>
      </c>
    </row>
    <row r="5605" spans="2:8" x14ac:dyDescent="0.2">
      <c r="B5605" t="str">
        <f>VLOOKUP(G5605,PC!B:D,3,FALSE)</f>
        <v>SERV. PUBLICOS</v>
      </c>
      <c r="C5605" s="22">
        <v>2024</v>
      </c>
      <c r="D5605" t="s">
        <v>102</v>
      </c>
      <c r="F5605" t="str">
        <f>VLOOKUP(G5605,PC!B:D,2,FALSE)</f>
        <v>SERV. PUBLICOS</v>
      </c>
      <c r="G5605" s="4" t="s">
        <v>91</v>
      </c>
      <c r="H5605" s="1">
        <v>138.94</v>
      </c>
    </row>
    <row r="5606" spans="2:8" x14ac:dyDescent="0.2">
      <c r="B5606" t="str">
        <f>VLOOKUP(G5606,PC!B:D,3,FALSE)</f>
        <v>DESPESA PESSOAL</v>
      </c>
      <c r="C5606" s="22">
        <v>2024</v>
      </c>
      <c r="D5606" t="s">
        <v>102</v>
      </c>
      <c r="F5606" t="str">
        <f>VLOOKUP(G5606,PC!B:D,2,FALSE)</f>
        <v>DESPESA PESSOAL</v>
      </c>
      <c r="G5606" s="4" t="s">
        <v>68</v>
      </c>
      <c r="H5606" s="1">
        <v>1333.5</v>
      </c>
    </row>
    <row r="5607" spans="2:8" x14ac:dyDescent="0.2">
      <c r="B5607" t="str">
        <f>VLOOKUP(G5607,PC!B:D,3,FALSE)</f>
        <v>CPV</v>
      </c>
      <c r="C5607" s="22">
        <v>2024</v>
      </c>
      <c r="D5607" t="s">
        <v>102</v>
      </c>
      <c r="E5607" t="s">
        <v>129</v>
      </c>
      <c r="F5607" t="str">
        <f>VLOOKUP(G5607,PC!B:D,2,FALSE)</f>
        <v>SOBREMESA</v>
      </c>
      <c r="G5607" s="4" t="s">
        <v>7</v>
      </c>
      <c r="H5607" s="1">
        <v>62</v>
      </c>
    </row>
    <row r="5608" spans="2:8" x14ac:dyDescent="0.2">
      <c r="B5608" t="str">
        <f>VLOOKUP(G5608,PC!B:D,3,FALSE)</f>
        <v>CPV</v>
      </c>
      <c r="C5608" s="22">
        <v>2024</v>
      </c>
      <c r="D5608" t="s">
        <v>102</v>
      </c>
      <c r="E5608" t="s">
        <v>129</v>
      </c>
      <c r="F5608" t="str">
        <f>VLOOKUP(G5608,PC!B:D,2,FALSE)</f>
        <v>COMIDA</v>
      </c>
      <c r="G5608" s="4" t="s">
        <v>12</v>
      </c>
      <c r="H5608" s="1">
        <v>87.5</v>
      </c>
    </row>
    <row r="5609" spans="2:8" x14ac:dyDescent="0.2">
      <c r="B5609" t="str">
        <f>VLOOKUP(G5609,PC!B:D,3,FALSE)</f>
        <v>CPV</v>
      </c>
      <c r="C5609" s="22">
        <v>2024</v>
      </c>
      <c r="D5609" t="s">
        <v>102</v>
      </c>
      <c r="E5609" t="s">
        <v>129</v>
      </c>
      <c r="F5609" t="str">
        <f>VLOOKUP(G5609,PC!B:D,2,FALSE)</f>
        <v>BEBIDAS</v>
      </c>
      <c r="G5609" s="4" t="s">
        <v>48</v>
      </c>
      <c r="H5609" s="1">
        <v>100</v>
      </c>
    </row>
    <row r="5610" spans="2:8" x14ac:dyDescent="0.2">
      <c r="B5610" t="str">
        <f>VLOOKUP(G5610,PC!B:D,3,FALSE)</f>
        <v>CPV</v>
      </c>
      <c r="C5610" s="22">
        <v>2024</v>
      </c>
      <c r="D5610" t="s">
        <v>102</v>
      </c>
      <c r="E5610" t="s">
        <v>129</v>
      </c>
      <c r="F5610" t="str">
        <f>VLOOKUP(G5610,PC!B:D,2,FALSE)</f>
        <v>SOBREMESA</v>
      </c>
      <c r="G5610" s="4" t="s">
        <v>75</v>
      </c>
      <c r="H5610" s="1">
        <v>527</v>
      </c>
    </row>
    <row r="5611" spans="2:8" x14ac:dyDescent="0.2">
      <c r="B5611" t="str">
        <f>VLOOKUP(G5611,PC!B:D,3,FALSE)</f>
        <v>CPV</v>
      </c>
      <c r="C5611" s="22">
        <v>2024</v>
      </c>
      <c r="D5611" t="s">
        <v>102</v>
      </c>
      <c r="E5611" t="s">
        <v>129</v>
      </c>
      <c r="F5611" t="str">
        <f>VLOOKUP(G5611,PC!B:D,2,FALSE)</f>
        <v>BEBIDAS</v>
      </c>
      <c r="G5611" s="4" t="s">
        <v>46</v>
      </c>
      <c r="H5611" s="1">
        <v>324.8</v>
      </c>
    </row>
    <row r="5612" spans="2:8" x14ac:dyDescent="0.2">
      <c r="B5612" t="str">
        <f>VLOOKUP(G5612,PC!B:D,3,FALSE)</f>
        <v>CPV</v>
      </c>
      <c r="C5612" s="22">
        <v>2024</v>
      </c>
      <c r="D5612" t="s">
        <v>102</v>
      </c>
      <c r="E5612" t="s">
        <v>129</v>
      </c>
      <c r="F5612" t="str">
        <f>VLOOKUP(G5612,PC!B:D,2,FALSE)</f>
        <v>CIGARRO</v>
      </c>
      <c r="G5612" s="4" t="s">
        <v>131</v>
      </c>
      <c r="H5612" s="1">
        <v>1221</v>
      </c>
    </row>
    <row r="5613" spans="2:8" x14ac:dyDescent="0.2">
      <c r="B5613" t="str">
        <f>VLOOKUP(G5613,PC!B:D,3,FALSE)</f>
        <v>CPV</v>
      </c>
      <c r="C5613" s="22">
        <v>2024</v>
      </c>
      <c r="D5613" t="s">
        <v>102</v>
      </c>
      <c r="E5613" t="s">
        <v>129</v>
      </c>
      <c r="F5613" t="str">
        <f>VLOOKUP(G5613,PC!B:D,2,FALSE)</f>
        <v>BEBIDAS</v>
      </c>
      <c r="G5613" s="4" t="s">
        <v>26</v>
      </c>
      <c r="H5613" s="1">
        <v>129.9</v>
      </c>
    </row>
    <row r="5614" spans="2:8" x14ac:dyDescent="0.2">
      <c r="B5614" t="str">
        <f>VLOOKUP(G5614,PC!B:D,3,FALSE)</f>
        <v>CPV</v>
      </c>
      <c r="C5614" s="22">
        <v>2024</v>
      </c>
      <c r="D5614" t="s">
        <v>102</v>
      </c>
      <c r="E5614" t="s">
        <v>129</v>
      </c>
      <c r="F5614" t="str">
        <f>VLOOKUP(G5614,PC!B:D,2,FALSE)</f>
        <v>COMIDA</v>
      </c>
      <c r="G5614" s="4" t="s">
        <v>33</v>
      </c>
      <c r="H5614" s="1">
        <v>72</v>
      </c>
    </row>
    <row r="5615" spans="2:8" x14ac:dyDescent="0.2">
      <c r="B5615" t="str">
        <f>VLOOKUP(G5615,PC!B:D,3,FALSE)</f>
        <v>CPV</v>
      </c>
      <c r="C5615" s="22">
        <v>2024</v>
      </c>
      <c r="D5615" t="s">
        <v>102</v>
      </c>
      <c r="E5615" t="s">
        <v>129</v>
      </c>
      <c r="F5615" t="str">
        <f>VLOOKUP(G5615,PC!B:D,2,FALSE)</f>
        <v>BEBIDAS</v>
      </c>
      <c r="G5615" s="4" t="s">
        <v>39</v>
      </c>
      <c r="H5615" s="1">
        <v>60</v>
      </c>
    </row>
    <row r="5616" spans="2:8" x14ac:dyDescent="0.2">
      <c r="B5616" t="str">
        <f>VLOOKUP(G5616,PC!B:D,3,FALSE)</f>
        <v>CPV</v>
      </c>
      <c r="C5616" s="22">
        <v>2024</v>
      </c>
      <c r="D5616" t="s">
        <v>102</v>
      </c>
      <c r="E5616" t="s">
        <v>129</v>
      </c>
      <c r="F5616" t="str">
        <f>VLOOKUP(G5616,PC!B:D,2,FALSE)</f>
        <v>OUTROS</v>
      </c>
      <c r="G5616" s="4" t="s">
        <v>37</v>
      </c>
      <c r="H5616" s="1">
        <v>284.39999999999998</v>
      </c>
    </row>
    <row r="5617" spans="2:8" x14ac:dyDescent="0.2">
      <c r="B5617" t="str">
        <f>VLOOKUP(G5617,PC!B:D,3,FALSE)</f>
        <v>CPV</v>
      </c>
      <c r="C5617" s="22">
        <v>2024</v>
      </c>
      <c r="D5617" t="s">
        <v>102</v>
      </c>
      <c r="E5617" t="s">
        <v>129</v>
      </c>
      <c r="F5617" t="str">
        <f>VLOOKUP(G5617,PC!B:D,2,FALSE)</f>
        <v>OUTROS</v>
      </c>
      <c r="G5617" s="4" t="s">
        <v>37</v>
      </c>
      <c r="H5617" s="1">
        <v>229</v>
      </c>
    </row>
    <row r="5618" spans="2:8" x14ac:dyDescent="0.2">
      <c r="B5618" t="str">
        <f>VLOOKUP(G5618,PC!B:D,3,FALSE)</f>
        <v>CPV</v>
      </c>
      <c r="C5618" s="22">
        <v>2024</v>
      </c>
      <c r="D5618" t="s">
        <v>102</v>
      </c>
      <c r="E5618" t="s">
        <v>129</v>
      </c>
      <c r="F5618" t="str">
        <f>VLOOKUP(G5618,PC!B:D,2,FALSE)</f>
        <v>OUTROS</v>
      </c>
      <c r="G5618" s="4" t="s">
        <v>37</v>
      </c>
      <c r="H5618" s="1">
        <v>382</v>
      </c>
    </row>
    <row r="5619" spans="2:8" x14ac:dyDescent="0.2">
      <c r="B5619" t="str">
        <f>VLOOKUP(G5619,PC!B:D,3,FALSE)</f>
        <v>CPV</v>
      </c>
      <c r="C5619" s="22">
        <v>2024</v>
      </c>
      <c r="D5619" t="s">
        <v>102</v>
      </c>
      <c r="E5619" t="s">
        <v>129</v>
      </c>
      <c r="F5619" t="str">
        <f>VLOOKUP(G5619,PC!B:D,2,FALSE)</f>
        <v>OUTROS</v>
      </c>
      <c r="G5619" s="4" t="s">
        <v>37</v>
      </c>
      <c r="H5619" s="1">
        <v>393</v>
      </c>
    </row>
    <row r="5620" spans="2:8" x14ac:dyDescent="0.2">
      <c r="B5620" t="str">
        <f>VLOOKUP(G5620,PC!B:D,3,FALSE)</f>
        <v>CPV</v>
      </c>
      <c r="C5620" s="22">
        <v>2024</v>
      </c>
      <c r="D5620" t="s">
        <v>102</v>
      </c>
      <c r="E5620" t="s">
        <v>129</v>
      </c>
      <c r="F5620" t="str">
        <f>VLOOKUP(G5620,PC!B:D,2,FALSE)</f>
        <v>COMIDA</v>
      </c>
      <c r="G5620" s="4" t="s">
        <v>12</v>
      </c>
      <c r="H5620" s="1">
        <v>200</v>
      </c>
    </row>
    <row r="5621" spans="2:8" x14ac:dyDescent="0.2">
      <c r="B5621" t="str">
        <f>VLOOKUP(G5621,PC!B:D,3,FALSE)</f>
        <v>CPV</v>
      </c>
      <c r="C5621" s="22">
        <v>2024</v>
      </c>
      <c r="D5621" t="s">
        <v>102</v>
      </c>
      <c r="E5621" t="s">
        <v>129</v>
      </c>
      <c r="F5621" t="str">
        <f>VLOOKUP(G5621,PC!B:D,2,FALSE)</f>
        <v>SOBREMESA</v>
      </c>
      <c r="G5621" s="4" t="s">
        <v>7</v>
      </c>
      <c r="H5621" s="1">
        <v>201</v>
      </c>
    </row>
    <row r="5622" spans="2:8" x14ac:dyDescent="0.2">
      <c r="B5622" t="str">
        <f>VLOOKUP(G5622,PC!B:D,3,FALSE)</f>
        <v>CPV</v>
      </c>
      <c r="C5622" s="22">
        <v>2024</v>
      </c>
      <c r="D5622" t="s">
        <v>102</v>
      </c>
      <c r="E5622" t="s">
        <v>129</v>
      </c>
      <c r="F5622" t="str">
        <f>VLOOKUP(G5622,PC!B:D,2,FALSE)</f>
        <v>COMIDA</v>
      </c>
      <c r="G5622" s="4" t="s">
        <v>12</v>
      </c>
      <c r="H5622" s="1">
        <v>400</v>
      </c>
    </row>
    <row r="5623" spans="2:8" x14ac:dyDescent="0.2">
      <c r="B5623" t="str">
        <f>VLOOKUP(G5623,PC!B:D,3,FALSE)</f>
        <v>CPV</v>
      </c>
      <c r="C5623" s="22">
        <v>2024</v>
      </c>
      <c r="D5623" t="s">
        <v>102</v>
      </c>
      <c r="E5623" t="s">
        <v>129</v>
      </c>
      <c r="F5623" t="str">
        <f>VLOOKUP(G5623,PC!B:D,2,FALSE)</f>
        <v>COMIDA</v>
      </c>
      <c r="G5623" s="4" t="s">
        <v>12</v>
      </c>
      <c r="H5623" s="1">
        <v>154</v>
      </c>
    </row>
    <row r="5624" spans="2:8" x14ac:dyDescent="0.2">
      <c r="B5624" t="str">
        <f>VLOOKUP(G5624,PC!B:D,3,FALSE)</f>
        <v>CPV</v>
      </c>
      <c r="C5624" s="22">
        <v>2024</v>
      </c>
      <c r="D5624" t="s">
        <v>102</v>
      </c>
      <c r="E5624" t="s">
        <v>129</v>
      </c>
      <c r="F5624" t="str">
        <f>VLOOKUP(G5624,PC!B:D,2,FALSE)</f>
        <v>SOBREMESA</v>
      </c>
      <c r="G5624" s="4" t="s">
        <v>75</v>
      </c>
      <c r="H5624" s="1">
        <v>649.6</v>
      </c>
    </row>
    <row r="5625" spans="2:8" x14ac:dyDescent="0.2">
      <c r="B5625" t="str">
        <f>VLOOKUP(G5625,PC!B:D,3,FALSE)</f>
        <v>DESPESA OPERACIONAL</v>
      </c>
      <c r="C5625" s="22">
        <v>2024</v>
      </c>
      <c r="D5625" t="s">
        <v>102</v>
      </c>
      <c r="F5625" t="str">
        <f>VLOOKUP(G5625,PC!B:D,2,FALSE)</f>
        <v>DESPESA OPERACIONAL</v>
      </c>
      <c r="G5625" s="4" t="s">
        <v>76</v>
      </c>
      <c r="H5625" s="1">
        <v>36.25</v>
      </c>
    </row>
    <row r="5626" spans="2:8" x14ac:dyDescent="0.2">
      <c r="B5626" t="str">
        <f>VLOOKUP(G5626,PC!B:D,3,FALSE)</f>
        <v>CPV</v>
      </c>
      <c r="C5626" s="22">
        <v>2024</v>
      </c>
      <c r="D5626" t="s">
        <v>102</v>
      </c>
      <c r="E5626" t="s">
        <v>129</v>
      </c>
      <c r="F5626" t="str">
        <f>VLOOKUP(G5626,PC!B:D,2,FALSE)</f>
        <v>BEBIDAS</v>
      </c>
      <c r="G5626" s="4" t="s">
        <v>46</v>
      </c>
      <c r="H5626" s="1">
        <v>425</v>
      </c>
    </row>
    <row r="5627" spans="2:8" x14ac:dyDescent="0.2">
      <c r="B5627" t="str">
        <f>VLOOKUP(G5627,PC!B:D,3,FALSE)</f>
        <v>CPV</v>
      </c>
      <c r="C5627" s="22">
        <v>2024</v>
      </c>
      <c r="D5627" t="s">
        <v>102</v>
      </c>
      <c r="E5627" t="s">
        <v>129</v>
      </c>
      <c r="F5627" t="str">
        <f>VLOOKUP(G5627,PC!B:D,2,FALSE)</f>
        <v>CIGARRO</v>
      </c>
      <c r="G5627" s="4" t="s">
        <v>57</v>
      </c>
      <c r="H5627" s="1">
        <v>1106</v>
      </c>
    </row>
    <row r="5628" spans="2:8" x14ac:dyDescent="0.2">
      <c r="B5628" t="str">
        <f>VLOOKUP(G5628,PC!B:D,3,FALSE)</f>
        <v>CPV</v>
      </c>
      <c r="C5628" s="22">
        <v>2024</v>
      </c>
      <c r="D5628" t="s">
        <v>102</v>
      </c>
      <c r="E5628" t="s">
        <v>129</v>
      </c>
      <c r="F5628" t="str">
        <f>VLOOKUP(G5628,PC!B:D,2,FALSE)</f>
        <v>SOBREMESA</v>
      </c>
      <c r="G5628" s="4" t="s">
        <v>7</v>
      </c>
      <c r="H5628" s="1">
        <v>63</v>
      </c>
    </row>
    <row r="5629" spans="2:8" x14ac:dyDescent="0.2">
      <c r="B5629" t="str">
        <f>VLOOKUP(G5629,PC!B:D,3,FALSE)</f>
        <v>CPV</v>
      </c>
      <c r="C5629" s="22">
        <v>2024</v>
      </c>
      <c r="D5629" t="s">
        <v>102</v>
      </c>
      <c r="E5629" t="s">
        <v>129</v>
      </c>
      <c r="F5629" t="str">
        <f>VLOOKUP(G5629,PC!B:D,2,FALSE)</f>
        <v>OUTROS</v>
      </c>
      <c r="G5629" s="4" t="s">
        <v>58</v>
      </c>
      <c r="H5629" s="1">
        <v>192</v>
      </c>
    </row>
    <row r="5630" spans="2:8" x14ac:dyDescent="0.2">
      <c r="B5630" t="str">
        <f>VLOOKUP(G5630,PC!B:D,3,FALSE)</f>
        <v>CPV</v>
      </c>
      <c r="C5630" s="22">
        <v>2024</v>
      </c>
      <c r="D5630" t="s">
        <v>102</v>
      </c>
      <c r="E5630" t="s">
        <v>129</v>
      </c>
      <c r="F5630" t="str">
        <f>VLOOKUP(G5630,PC!B:D,2,FALSE)</f>
        <v>OUTROS</v>
      </c>
      <c r="G5630" s="4" t="s">
        <v>37</v>
      </c>
      <c r="H5630" s="1">
        <f>212+659</f>
        <v>871</v>
      </c>
    </row>
    <row r="5631" spans="2:8" x14ac:dyDescent="0.2">
      <c r="B5631" t="str">
        <f>VLOOKUP(G5631,PC!B:D,3,FALSE)</f>
        <v>CPV</v>
      </c>
      <c r="C5631" s="22">
        <v>2024</v>
      </c>
      <c r="D5631" t="s">
        <v>102</v>
      </c>
      <c r="E5631" t="s">
        <v>129</v>
      </c>
      <c r="F5631" t="str">
        <f>VLOOKUP(G5631,PC!B:D,2,FALSE)</f>
        <v>SOBREMESA</v>
      </c>
      <c r="G5631" s="4" t="s">
        <v>7</v>
      </c>
      <c r="H5631" s="1">
        <v>161</v>
      </c>
    </row>
    <row r="5632" spans="2:8" x14ac:dyDescent="0.2">
      <c r="B5632" t="str">
        <f>VLOOKUP(G5632,PC!B:D,3,FALSE)</f>
        <v>CPV</v>
      </c>
      <c r="C5632" s="22">
        <v>2024</v>
      </c>
      <c r="D5632" t="s">
        <v>102</v>
      </c>
      <c r="E5632" t="s">
        <v>129</v>
      </c>
      <c r="F5632" t="str">
        <f>VLOOKUP(G5632,PC!B:D,2,FALSE)</f>
        <v>COMIDA</v>
      </c>
      <c r="G5632" s="4" t="s">
        <v>12</v>
      </c>
      <c r="H5632" s="1">
        <v>400</v>
      </c>
    </row>
    <row r="5633" spans="2:8" x14ac:dyDescent="0.2">
      <c r="B5633" t="str">
        <f>VLOOKUP(G5633,PC!B:D,3,FALSE)</f>
        <v>CPV</v>
      </c>
      <c r="C5633" s="22">
        <v>2024</v>
      </c>
      <c r="D5633" t="s">
        <v>102</v>
      </c>
      <c r="E5633" t="s">
        <v>129</v>
      </c>
      <c r="F5633" t="str">
        <f>VLOOKUP(G5633,PC!B:D,2,FALSE)</f>
        <v>COMIDA</v>
      </c>
      <c r="G5633" s="4" t="s">
        <v>22</v>
      </c>
      <c r="H5633" s="1">
        <v>82</v>
      </c>
    </row>
    <row r="5634" spans="2:8" x14ac:dyDescent="0.2">
      <c r="B5634" t="str">
        <f>VLOOKUP(G5634,PC!B:D,3,FALSE)</f>
        <v>CPV</v>
      </c>
      <c r="C5634" s="22">
        <v>2024</v>
      </c>
      <c r="D5634" t="s">
        <v>102</v>
      </c>
      <c r="E5634" t="s">
        <v>129</v>
      </c>
      <c r="F5634" t="str">
        <f>VLOOKUP(G5634,PC!B:D,2,FALSE)</f>
        <v>BEBIDAS</v>
      </c>
      <c r="G5634" s="4" t="s">
        <v>48</v>
      </c>
      <c r="H5634" s="1">
        <v>228</v>
      </c>
    </row>
    <row r="5635" spans="2:8" x14ac:dyDescent="0.2">
      <c r="B5635" t="str">
        <f>VLOOKUP(G5635,PC!B:D,3,FALSE)</f>
        <v>CPV</v>
      </c>
      <c r="C5635" s="22">
        <v>2024</v>
      </c>
      <c r="D5635" t="s">
        <v>102</v>
      </c>
      <c r="E5635" t="s">
        <v>246</v>
      </c>
      <c r="F5635" t="str">
        <f>VLOOKUP(G5635,PC!B:D,2,FALSE)</f>
        <v>COMIDA</v>
      </c>
      <c r="G5635" s="4" t="s">
        <v>18</v>
      </c>
      <c r="H5635" s="1">
        <f>413+343</f>
        <v>756</v>
      </c>
    </row>
    <row r="5636" spans="2:8" x14ac:dyDescent="0.2">
      <c r="B5636" t="str">
        <f>VLOOKUP(G5636,PC!B:D,3,FALSE)</f>
        <v>CPV</v>
      </c>
      <c r="C5636" s="22">
        <v>2024</v>
      </c>
      <c r="D5636" t="s">
        <v>102</v>
      </c>
      <c r="E5636" t="s">
        <v>45</v>
      </c>
      <c r="F5636" t="str">
        <f>VLOOKUP(G5636,PC!B:D,2,FALSE)</f>
        <v>COMIDA</v>
      </c>
      <c r="G5636" s="4" t="s">
        <v>38</v>
      </c>
      <c r="H5636" s="1">
        <v>683.11</v>
      </c>
    </row>
    <row r="5637" spans="2:8" x14ac:dyDescent="0.2">
      <c r="B5637" t="str">
        <f>VLOOKUP(G5637,PC!B:D,3,FALSE)</f>
        <v>CPV</v>
      </c>
      <c r="C5637" s="22">
        <v>2024</v>
      </c>
      <c r="D5637" t="s">
        <v>102</v>
      </c>
      <c r="E5637" t="s">
        <v>227</v>
      </c>
      <c r="F5637" t="str">
        <f>VLOOKUP(G5637,PC!B:D,2,FALSE)</f>
        <v>HIGIENE</v>
      </c>
      <c r="G5637" s="4" t="s">
        <v>36</v>
      </c>
      <c r="H5637" s="1">
        <v>1247.47</v>
      </c>
    </row>
    <row r="5638" spans="2:8" x14ac:dyDescent="0.2">
      <c r="B5638" t="str">
        <f>VLOOKUP(G5638,PC!B:D,3,FALSE)</f>
        <v>CPV</v>
      </c>
      <c r="C5638" s="22">
        <v>2024</v>
      </c>
      <c r="D5638" t="s">
        <v>102</v>
      </c>
      <c r="E5638" t="s">
        <v>19</v>
      </c>
      <c r="F5638" t="str">
        <f>VLOOKUP(G5638,PC!B:D,2,FALSE)</f>
        <v>COMIDA</v>
      </c>
      <c r="G5638" s="4" t="s">
        <v>38</v>
      </c>
      <c r="H5638" s="1">
        <v>402</v>
      </c>
    </row>
    <row r="5639" spans="2:8" x14ac:dyDescent="0.2">
      <c r="B5639" t="str">
        <f>VLOOKUP(G5639,PC!B:D,3,FALSE)</f>
        <v>CPV</v>
      </c>
      <c r="C5639" s="22">
        <v>2024</v>
      </c>
      <c r="D5639" t="s">
        <v>102</v>
      </c>
      <c r="E5639" t="s">
        <v>20</v>
      </c>
      <c r="F5639" t="str">
        <f>VLOOKUP(G5639,PC!B:D,2,FALSE)</f>
        <v>COMIDA</v>
      </c>
      <c r="G5639" s="4" t="s">
        <v>29</v>
      </c>
      <c r="H5639" s="1">
        <v>180.6</v>
      </c>
    </row>
    <row r="5640" spans="2:8" x14ac:dyDescent="0.2">
      <c r="B5640" t="str">
        <f>VLOOKUP(G5640,PC!B:D,3,FALSE)</f>
        <v>CPV</v>
      </c>
      <c r="C5640" s="22">
        <v>2024</v>
      </c>
      <c r="D5640" t="s">
        <v>102</v>
      </c>
      <c r="E5640" t="s">
        <v>19</v>
      </c>
      <c r="F5640" t="str">
        <f>VLOOKUP(G5640,PC!B:D,2,FALSE)</f>
        <v>COMIDA</v>
      </c>
      <c r="G5640" s="4" t="s">
        <v>145</v>
      </c>
      <c r="H5640" s="1">
        <v>737</v>
      </c>
    </row>
    <row r="5641" spans="2:8" x14ac:dyDescent="0.2">
      <c r="B5641" t="str">
        <f>VLOOKUP(G5641,PC!B:D,3,FALSE)</f>
        <v>RECEITA</v>
      </c>
      <c r="C5641" s="22">
        <v>2024</v>
      </c>
      <c r="D5641" t="s">
        <v>102</v>
      </c>
      <c r="F5641" t="str">
        <f>VLOOKUP(G5641,PC!B:D,2,FALSE)</f>
        <v>RECEITA</v>
      </c>
      <c r="G5641" s="4" t="s">
        <v>83</v>
      </c>
      <c r="H5641" s="1">
        <v>16.98</v>
      </c>
    </row>
    <row r="5642" spans="2:8" x14ac:dyDescent="0.2">
      <c r="B5642" t="str">
        <f>VLOOKUP(G5642,PC!B:D,3,FALSE)</f>
        <v>CPV</v>
      </c>
      <c r="C5642" s="22">
        <v>2024</v>
      </c>
      <c r="D5642" t="s">
        <v>102</v>
      </c>
      <c r="E5642" t="s">
        <v>19</v>
      </c>
      <c r="F5642" t="str">
        <f>VLOOKUP(G5642,PC!B:D,2,FALSE)</f>
        <v>COMIDA</v>
      </c>
      <c r="G5642" s="4" t="s">
        <v>145</v>
      </c>
      <c r="H5642" s="1">
        <v>101.88</v>
      </c>
    </row>
    <row r="5643" spans="2:8" x14ac:dyDescent="0.2">
      <c r="B5643" t="str">
        <f>VLOOKUP(G5643,PC!B:D,3,FALSE)</f>
        <v>CPV</v>
      </c>
      <c r="C5643" s="22">
        <v>2024</v>
      </c>
      <c r="D5643" t="s">
        <v>102</v>
      </c>
      <c r="E5643" t="s">
        <v>237</v>
      </c>
      <c r="F5643" t="str">
        <f>VLOOKUP(G5643,PC!B:D,2,FALSE)</f>
        <v>SOBREMESA</v>
      </c>
      <c r="G5643" s="4" t="s">
        <v>23</v>
      </c>
      <c r="H5643" s="1">
        <v>549.29</v>
      </c>
    </row>
    <row r="5644" spans="2:8" x14ac:dyDescent="0.2">
      <c r="B5644" t="str">
        <f>VLOOKUP(G5644,PC!B:D,3,FALSE)</f>
        <v>CPV</v>
      </c>
      <c r="C5644" s="22">
        <v>2024</v>
      </c>
      <c r="D5644" t="s">
        <v>102</v>
      </c>
      <c r="E5644" t="s">
        <v>227</v>
      </c>
      <c r="F5644" t="str">
        <f>VLOOKUP(G5644,PC!B:D,2,FALSE)</f>
        <v>LIMPEZA</v>
      </c>
      <c r="G5644" s="4" t="s">
        <v>43</v>
      </c>
      <c r="H5644" s="1">
        <v>1545.02</v>
      </c>
    </row>
    <row r="5645" spans="2:8" x14ac:dyDescent="0.2">
      <c r="B5645" t="str">
        <f>VLOOKUP(G5645,PC!B:D,3,FALSE)</f>
        <v>RECEITA</v>
      </c>
      <c r="C5645" s="22">
        <v>2024</v>
      </c>
      <c r="D5645" t="s">
        <v>102</v>
      </c>
      <c r="F5645" t="str">
        <f>VLOOKUP(G5645,PC!B:D,2,FALSE)</f>
        <v>RECEITA</v>
      </c>
      <c r="G5645" s="4" t="s">
        <v>83</v>
      </c>
      <c r="H5645" s="1">
        <v>256.54000000000002</v>
      </c>
    </row>
    <row r="5646" spans="2:8" x14ac:dyDescent="0.2">
      <c r="B5646" t="str">
        <f>VLOOKUP(G5646,PC!B:D,3,FALSE)</f>
        <v>CPV</v>
      </c>
      <c r="C5646" s="22">
        <v>2024</v>
      </c>
      <c r="D5646" t="s">
        <v>102</v>
      </c>
      <c r="E5646" t="s">
        <v>208</v>
      </c>
      <c r="F5646" t="str">
        <f>VLOOKUP(G5646,PC!B:D,2,FALSE)</f>
        <v>SOBREMESA</v>
      </c>
      <c r="G5646" s="4" t="s">
        <v>8</v>
      </c>
      <c r="H5646" s="1">
        <v>153</v>
      </c>
    </row>
    <row r="5647" spans="2:8" x14ac:dyDescent="0.2">
      <c r="B5647" t="str">
        <f>VLOOKUP(G5647,PC!B:D,3,FALSE)</f>
        <v>CPV</v>
      </c>
      <c r="C5647" s="22">
        <v>2024</v>
      </c>
      <c r="D5647" t="s">
        <v>102</v>
      </c>
      <c r="E5647" t="s">
        <v>45</v>
      </c>
      <c r="F5647" t="str">
        <f>VLOOKUP(G5647,PC!B:D,2,FALSE)</f>
        <v>OUTROS</v>
      </c>
      <c r="G5647" s="4" t="s">
        <v>37</v>
      </c>
      <c r="H5647" s="1">
        <v>922</v>
      </c>
    </row>
    <row r="5648" spans="2:8" x14ac:dyDescent="0.2">
      <c r="B5648" t="str">
        <f>VLOOKUP(G5648,PC!B:D,3,FALSE)</f>
        <v>CPV</v>
      </c>
      <c r="C5648" s="22">
        <v>2024</v>
      </c>
      <c r="D5648" t="s">
        <v>102</v>
      </c>
      <c r="E5648" t="s">
        <v>45</v>
      </c>
      <c r="F5648" t="str">
        <f>VLOOKUP(G5648,PC!B:D,2,FALSE)</f>
        <v>SOBREMESA</v>
      </c>
      <c r="G5648" s="4" t="s">
        <v>23</v>
      </c>
      <c r="H5648" s="1">
        <v>392</v>
      </c>
    </row>
    <row r="5649" spans="2:8" x14ac:dyDescent="0.2">
      <c r="B5649" t="str">
        <f>VLOOKUP(G5649,PC!B:D,3,FALSE)</f>
        <v>CPV</v>
      </c>
      <c r="C5649" s="22">
        <v>2024</v>
      </c>
      <c r="D5649" t="s">
        <v>102</v>
      </c>
      <c r="E5649" t="s">
        <v>19</v>
      </c>
      <c r="F5649" t="str">
        <f>VLOOKUP(G5649,PC!B:D,2,FALSE)</f>
        <v>COMIDA</v>
      </c>
      <c r="G5649" s="4" t="s">
        <v>22</v>
      </c>
      <c r="H5649" s="1">
        <v>79</v>
      </c>
    </row>
    <row r="5650" spans="2:8" x14ac:dyDescent="0.2">
      <c r="B5650" t="str">
        <f>VLOOKUP(G5650,PC!B:D,3,FALSE)</f>
        <v>CPV</v>
      </c>
      <c r="C5650" s="22">
        <v>2024</v>
      </c>
      <c r="D5650" t="s">
        <v>102</v>
      </c>
      <c r="E5650" t="s">
        <v>19</v>
      </c>
      <c r="F5650" t="str">
        <f>VLOOKUP(G5650,PC!B:D,2,FALSE)</f>
        <v>COMIDA</v>
      </c>
      <c r="G5650" s="4" t="s">
        <v>34</v>
      </c>
      <c r="H5650" s="1">
        <v>264</v>
      </c>
    </row>
    <row r="5651" spans="2:8" x14ac:dyDescent="0.2">
      <c r="B5651" t="str">
        <f>VLOOKUP(G5651,PC!B:D,3,FALSE)</f>
        <v>CPV</v>
      </c>
      <c r="C5651" s="22">
        <v>2024</v>
      </c>
      <c r="D5651" t="s">
        <v>102</v>
      </c>
      <c r="E5651" t="s">
        <v>20</v>
      </c>
      <c r="F5651" t="str">
        <f>VLOOKUP(G5651,PC!B:D,2,FALSE)</f>
        <v>COMIDA</v>
      </c>
      <c r="G5651" s="4" t="s">
        <v>29</v>
      </c>
      <c r="H5651" s="1">
        <v>78</v>
      </c>
    </row>
    <row r="5652" spans="2:8" x14ac:dyDescent="0.2">
      <c r="B5652" t="str">
        <f>VLOOKUP(G5652,PC!B:D,3,FALSE)</f>
        <v>CPV</v>
      </c>
      <c r="C5652" s="22">
        <v>2024</v>
      </c>
      <c r="D5652" t="s">
        <v>102</v>
      </c>
      <c r="E5652" t="s">
        <v>237</v>
      </c>
      <c r="F5652" t="str">
        <f>VLOOKUP(G5652,PC!B:D,2,FALSE)</f>
        <v>OUTROS</v>
      </c>
      <c r="G5652" s="4" t="s">
        <v>37</v>
      </c>
      <c r="H5652" s="1">
        <v>530</v>
      </c>
    </row>
    <row r="5653" spans="2:8" x14ac:dyDescent="0.2">
      <c r="B5653" t="str">
        <f>VLOOKUP(G5653,PC!B:D,3,FALSE)</f>
        <v>CPV</v>
      </c>
      <c r="C5653" s="22">
        <v>2024</v>
      </c>
      <c r="D5653" t="s">
        <v>102</v>
      </c>
      <c r="E5653" t="s">
        <v>229</v>
      </c>
      <c r="F5653" t="str">
        <f>VLOOKUP(G5653,PC!B:D,2,FALSE)</f>
        <v>COMIDA</v>
      </c>
      <c r="G5653" s="4" t="s">
        <v>34</v>
      </c>
      <c r="H5653" s="1">
        <v>568</v>
      </c>
    </row>
    <row r="5654" spans="2:8" x14ac:dyDescent="0.2">
      <c r="B5654" t="str">
        <f>VLOOKUP(G5654,PC!B:D,3,FALSE)</f>
        <v>CPV</v>
      </c>
      <c r="C5654" s="22">
        <v>2024</v>
      </c>
      <c r="D5654" t="s">
        <v>102</v>
      </c>
      <c r="E5654" t="s">
        <v>6</v>
      </c>
      <c r="F5654" t="str">
        <f>VLOOKUP(G5654,PC!B:D,2,FALSE)</f>
        <v>COMIDA</v>
      </c>
      <c r="G5654" s="4" t="s">
        <v>18</v>
      </c>
      <c r="H5654" s="1">
        <v>110.1</v>
      </c>
    </row>
    <row r="5655" spans="2:8" x14ac:dyDescent="0.2">
      <c r="B5655" t="str">
        <f>VLOOKUP(G5655,PC!B:D,3,FALSE)</f>
        <v>CPV</v>
      </c>
      <c r="C5655" s="22">
        <v>2024</v>
      </c>
      <c r="D5655" t="s">
        <v>102</v>
      </c>
      <c r="E5655" t="s">
        <v>19</v>
      </c>
      <c r="F5655" t="str">
        <f>VLOOKUP(G5655,PC!B:D,2,FALSE)</f>
        <v>LIMPEZA</v>
      </c>
      <c r="G5655" s="4" t="s">
        <v>43</v>
      </c>
      <c r="H5655" s="1">
        <v>4</v>
      </c>
    </row>
    <row r="5656" spans="2:8" x14ac:dyDescent="0.2">
      <c r="B5656" t="str">
        <f>VLOOKUP(G5656,PC!B:D,3,FALSE)</f>
        <v>CPV</v>
      </c>
      <c r="C5656" s="22">
        <v>2024</v>
      </c>
      <c r="D5656" t="s">
        <v>102</v>
      </c>
      <c r="E5656" t="s">
        <v>100</v>
      </c>
      <c r="F5656" t="str">
        <f>VLOOKUP(G5656,PC!B:D,2,FALSE)</f>
        <v>SOBREMESA</v>
      </c>
      <c r="G5656" s="4" t="s">
        <v>23</v>
      </c>
      <c r="H5656" s="1">
        <v>301.29000000000002</v>
      </c>
    </row>
    <row r="5657" spans="2:8" x14ac:dyDescent="0.2">
      <c r="B5657" t="str">
        <f>VLOOKUP(G5657,PC!B:D,3,FALSE)</f>
        <v>CPV</v>
      </c>
      <c r="C5657" s="22">
        <v>2024</v>
      </c>
      <c r="D5657" t="s">
        <v>102</v>
      </c>
      <c r="E5657" t="s">
        <v>237</v>
      </c>
      <c r="F5657" t="str">
        <f>VLOOKUP(G5657,PC!B:D,2,FALSE)</f>
        <v>LIMPEZA</v>
      </c>
      <c r="G5657" s="4" t="s">
        <v>43</v>
      </c>
      <c r="H5657" s="1">
        <v>522.96</v>
      </c>
    </row>
    <row r="5658" spans="2:8" x14ac:dyDescent="0.2">
      <c r="B5658" t="str">
        <f>VLOOKUP(G5658,PC!B:D,3,FALSE)</f>
        <v>CPV</v>
      </c>
      <c r="C5658" s="22">
        <v>2024</v>
      </c>
      <c r="D5658" t="s">
        <v>102</v>
      </c>
      <c r="E5658" t="s">
        <v>227</v>
      </c>
      <c r="F5658" t="str">
        <f>VLOOKUP(G5658,PC!B:D,2,FALSE)</f>
        <v>OUTROS</v>
      </c>
      <c r="G5658" s="4" t="s">
        <v>37</v>
      </c>
      <c r="H5658" s="1">
        <v>793</v>
      </c>
    </row>
    <row r="5659" spans="2:8" x14ac:dyDescent="0.2">
      <c r="B5659" t="str">
        <f>VLOOKUP(G5659,PC!B:D,3,FALSE)</f>
        <v>CPV</v>
      </c>
      <c r="C5659" s="22">
        <v>2024</v>
      </c>
      <c r="D5659" t="s">
        <v>102</v>
      </c>
      <c r="E5659" t="s">
        <v>227</v>
      </c>
      <c r="F5659" t="str">
        <f>VLOOKUP(G5659,PC!B:D,2,FALSE)</f>
        <v>COMIDA</v>
      </c>
      <c r="G5659" s="4" t="s">
        <v>38</v>
      </c>
      <c r="H5659" s="1">
        <v>525</v>
      </c>
    </row>
    <row r="5660" spans="2:8" x14ac:dyDescent="0.2">
      <c r="B5660" t="str">
        <f>VLOOKUP(G5660,PC!B:D,3,FALSE)</f>
        <v>CPV</v>
      </c>
      <c r="C5660" s="22">
        <v>2024</v>
      </c>
      <c r="D5660" t="s">
        <v>102</v>
      </c>
      <c r="E5660" t="s">
        <v>227</v>
      </c>
      <c r="F5660" t="str">
        <f>VLOOKUP(G5660,PC!B:D,2,FALSE)</f>
        <v>COMIDA</v>
      </c>
      <c r="G5660" s="4" t="s">
        <v>38</v>
      </c>
      <c r="H5660" s="1">
        <v>525</v>
      </c>
    </row>
    <row r="5661" spans="2:8" x14ac:dyDescent="0.2">
      <c r="B5661" t="str">
        <f>VLOOKUP(G5661,PC!B:D,3,FALSE)</f>
        <v>CPV</v>
      </c>
      <c r="C5661" s="22">
        <v>2024</v>
      </c>
      <c r="D5661" t="s">
        <v>102</v>
      </c>
      <c r="E5661" t="s">
        <v>239</v>
      </c>
      <c r="F5661" t="str">
        <f>VLOOKUP(G5661,PC!B:D,2,FALSE)</f>
        <v>BEBIDAS</v>
      </c>
      <c r="G5661" s="4" t="s">
        <v>26</v>
      </c>
      <c r="H5661" s="1">
        <f>1706.75+820+441+1352</f>
        <v>4319.75</v>
      </c>
    </row>
    <row r="5662" spans="2:8" x14ac:dyDescent="0.2">
      <c r="B5662" t="str">
        <f>VLOOKUP(G5662,PC!B:D,3,FALSE)</f>
        <v>CPV</v>
      </c>
      <c r="C5662" s="22">
        <v>2024</v>
      </c>
      <c r="D5662" t="s">
        <v>102</v>
      </c>
      <c r="E5662" t="s">
        <v>156</v>
      </c>
      <c r="F5662" t="str">
        <f>VLOOKUP(G5662,PC!B:D,2,FALSE)</f>
        <v>BEBIDAS</v>
      </c>
      <c r="G5662" s="4" t="s">
        <v>26</v>
      </c>
      <c r="H5662" s="1">
        <f>565.5+789.6+473.8+228</f>
        <v>2056.8999999999996</v>
      </c>
    </row>
    <row r="5663" spans="2:8" x14ac:dyDescent="0.2">
      <c r="B5663" t="str">
        <f>VLOOKUP(G5663,PC!B:D,3,FALSE)</f>
        <v>CPV</v>
      </c>
      <c r="C5663" s="22">
        <v>2024</v>
      </c>
      <c r="D5663" t="s">
        <v>102</v>
      </c>
      <c r="E5663" t="s">
        <v>211</v>
      </c>
      <c r="F5663" t="str">
        <f>VLOOKUP(G5663,PC!B:D,2,FALSE)</f>
        <v>BEBIDAS</v>
      </c>
      <c r="G5663" s="4" t="s">
        <v>26</v>
      </c>
      <c r="H5663" s="1">
        <f>219+1943.77+323+1885.3+1279</f>
        <v>5650.07</v>
      </c>
    </row>
    <row r="5664" spans="2:8" x14ac:dyDescent="0.2">
      <c r="B5664" t="str">
        <f>VLOOKUP(G5664,PC!B:D,3,FALSE)</f>
        <v>CPV</v>
      </c>
      <c r="C5664" s="22">
        <v>2024</v>
      </c>
      <c r="D5664" t="s">
        <v>102</v>
      </c>
      <c r="E5664" t="s">
        <v>78</v>
      </c>
      <c r="F5664" t="str">
        <f>VLOOKUP(G5664,PC!B:D,2,FALSE)</f>
        <v>CIGARRO</v>
      </c>
      <c r="G5664" s="4" t="s">
        <v>82</v>
      </c>
      <c r="H5664" s="1">
        <f>954.42+1166+802+28</f>
        <v>2950.42</v>
      </c>
    </row>
    <row r="5665" spans="2:8" x14ac:dyDescent="0.2">
      <c r="B5665" t="str">
        <f>VLOOKUP(G5665,PC!B:D,3,FALSE)</f>
        <v>CPV</v>
      </c>
      <c r="C5665" s="22">
        <v>2024</v>
      </c>
      <c r="D5665" t="s">
        <v>102</v>
      </c>
      <c r="E5665" t="s">
        <v>30</v>
      </c>
      <c r="F5665" t="str">
        <f>VLOOKUP(G5665,PC!B:D,2,FALSE)</f>
        <v>SOBREMESA</v>
      </c>
      <c r="G5665" s="4" t="s">
        <v>23</v>
      </c>
      <c r="H5665" s="1">
        <v>477.7</v>
      </c>
    </row>
    <row r="5666" spans="2:8" x14ac:dyDescent="0.2">
      <c r="B5666" t="str">
        <f>VLOOKUP(G5666,PC!B:D,3,FALSE)</f>
        <v>CPV</v>
      </c>
      <c r="C5666" s="22">
        <v>2024</v>
      </c>
      <c r="D5666" t="s">
        <v>102</v>
      </c>
      <c r="E5666" t="s">
        <v>21</v>
      </c>
      <c r="F5666" t="str">
        <f>VLOOKUP(G5666,PC!B:D,2,FALSE)</f>
        <v>SOBREMESA</v>
      </c>
      <c r="G5666" s="4" t="s">
        <v>23</v>
      </c>
      <c r="H5666" s="1">
        <f>68+153+173+175</f>
        <v>569</v>
      </c>
    </row>
    <row r="5667" spans="2:8" x14ac:dyDescent="0.2">
      <c r="B5667" t="str">
        <f>VLOOKUP(G5667,PC!B:D,3,FALSE)</f>
        <v>CPV</v>
      </c>
      <c r="C5667" s="22">
        <v>2024</v>
      </c>
      <c r="D5667" t="s">
        <v>102</v>
      </c>
      <c r="E5667" t="s">
        <v>241</v>
      </c>
      <c r="F5667" t="str">
        <f>VLOOKUP(G5667,PC!B:D,2,FALSE)</f>
        <v>COMIDA</v>
      </c>
      <c r="G5667" s="4" t="s">
        <v>12</v>
      </c>
      <c r="H5667" s="1">
        <v>103.48</v>
      </c>
    </row>
    <row r="5668" spans="2:8" x14ac:dyDescent="0.2">
      <c r="B5668" t="str">
        <f>VLOOKUP(G5668,PC!B:D,3,FALSE)</f>
        <v>CPV</v>
      </c>
      <c r="C5668" s="22">
        <v>2024</v>
      </c>
      <c r="D5668" t="s">
        <v>102</v>
      </c>
      <c r="E5668" t="s">
        <v>27</v>
      </c>
      <c r="F5668" t="str">
        <f>VLOOKUP(G5668,PC!B:D,2,FALSE)</f>
        <v>COMIDA</v>
      </c>
      <c r="G5668" s="4" t="s">
        <v>12</v>
      </c>
      <c r="H5668" s="1">
        <f>208.57+154.26+208.74</f>
        <v>571.56999999999994</v>
      </c>
    </row>
    <row r="5669" spans="2:8" x14ac:dyDescent="0.2">
      <c r="B5669" t="str">
        <f>VLOOKUP(G5669,PC!B:D,3,FALSE)</f>
        <v>CPV</v>
      </c>
      <c r="C5669" s="22">
        <v>2024</v>
      </c>
      <c r="D5669" t="s">
        <v>102</v>
      </c>
      <c r="E5669" t="s">
        <v>228</v>
      </c>
      <c r="F5669" t="str">
        <f>VLOOKUP(G5669,PC!B:D,2,FALSE)</f>
        <v>COMIDA</v>
      </c>
      <c r="G5669" s="4" t="s">
        <v>12</v>
      </c>
      <c r="H5669" s="1">
        <f>332.3+583.39+746.67+244.33</f>
        <v>1906.69</v>
      </c>
    </row>
    <row r="5670" spans="2:8" x14ac:dyDescent="0.2">
      <c r="B5670" t="str">
        <f>VLOOKUP(G5670,PC!B:D,3,FALSE)</f>
        <v>CPV</v>
      </c>
      <c r="C5670" s="22">
        <v>2024</v>
      </c>
      <c r="D5670" t="s">
        <v>102</v>
      </c>
      <c r="E5670" t="s">
        <v>49</v>
      </c>
      <c r="F5670" t="str">
        <f>VLOOKUP(G5670,PC!B:D,2,FALSE)</f>
        <v>CIGARRO</v>
      </c>
      <c r="G5670" s="4" t="s">
        <v>52</v>
      </c>
      <c r="H5670" s="1">
        <f>6704.43+3594.42+24203</f>
        <v>34501.85</v>
      </c>
    </row>
    <row r="5671" spans="2:8" x14ac:dyDescent="0.2">
      <c r="B5671" t="str">
        <f>VLOOKUP(G5671,PC!B:D,3,FALSE)</f>
        <v>CPV</v>
      </c>
      <c r="C5671" s="22">
        <v>2024</v>
      </c>
      <c r="D5671" t="s">
        <v>102</v>
      </c>
      <c r="E5671" t="s">
        <v>28</v>
      </c>
      <c r="F5671" t="str">
        <f>VLOOKUP(G5671,PC!B:D,2,FALSE)</f>
        <v>BEBIDAS</v>
      </c>
      <c r="G5671" s="4" t="s">
        <v>26</v>
      </c>
      <c r="H5671" s="1">
        <f>1400.38+160+3393.8+1368.3+703+1110+4340+52+835+2034+2592+80+6357.7+2313.9+57+4424.12</f>
        <v>31221.200000000001</v>
      </c>
    </row>
    <row r="5672" spans="2:8" x14ac:dyDescent="0.2">
      <c r="B5672" t="str">
        <f>VLOOKUP(G5672,PC!B:D,3,FALSE)</f>
        <v>CPV</v>
      </c>
      <c r="C5672" s="22">
        <v>2024</v>
      </c>
      <c r="D5672" t="s">
        <v>102</v>
      </c>
      <c r="E5672" t="s">
        <v>226</v>
      </c>
      <c r="F5672" t="str">
        <f>VLOOKUP(G5672,PC!B:D,2,FALSE)</f>
        <v>BEBIDAS</v>
      </c>
      <c r="G5672" s="4" t="s">
        <v>25</v>
      </c>
      <c r="H5672" s="1">
        <f>626.11+34.23+270.62+915+17.8+74+909+1130+305+40+1257+849+167+31+914+722+209+858</f>
        <v>9328.76</v>
      </c>
    </row>
    <row r="5673" spans="2:8" x14ac:dyDescent="0.2">
      <c r="B5673" t="str">
        <f>VLOOKUP(G5673,PC!B:D,3,FALSE)</f>
        <v>CPV</v>
      </c>
      <c r="C5673" s="22">
        <v>2024</v>
      </c>
      <c r="D5673" t="s">
        <v>102</v>
      </c>
      <c r="E5673" t="s">
        <v>10</v>
      </c>
      <c r="F5673" t="str">
        <f>VLOOKUP(G5673,PC!B:D,2,FALSE)</f>
        <v>COMIDA</v>
      </c>
      <c r="G5673" s="4" t="s">
        <v>33</v>
      </c>
      <c r="H5673" s="1">
        <f>455.59+501.9+403.5+431.72+125+128+145+513+298+656</f>
        <v>3657.71</v>
      </c>
    </row>
    <row r="5674" spans="2:8" x14ac:dyDescent="0.2">
      <c r="B5674" t="str">
        <f>VLOOKUP(G5674,PC!B:D,3,FALSE)</f>
        <v>RECEITA</v>
      </c>
      <c r="C5674" s="22">
        <v>2024</v>
      </c>
      <c r="D5674" t="s">
        <v>102</v>
      </c>
      <c r="F5674" t="str">
        <f>VLOOKUP(G5674,PC!B:D,2,FALSE)</f>
        <v>RECEITA</v>
      </c>
      <c r="G5674" s="4" t="s">
        <v>137</v>
      </c>
      <c r="H5674" s="1">
        <v>40000</v>
      </c>
    </row>
    <row r="5675" spans="2:8" x14ac:dyDescent="0.2">
      <c r="B5675" t="str">
        <f>VLOOKUP(G5675,PC!B:D,3,FALSE)</f>
        <v>RECEITA</v>
      </c>
      <c r="C5675" s="22">
        <v>2024</v>
      </c>
      <c r="D5675" t="s">
        <v>102</v>
      </c>
      <c r="F5675" t="str">
        <f>VLOOKUP(G5675,PC!B:D,2,FALSE)</f>
        <v>RECEITA</v>
      </c>
      <c r="G5675" s="4" t="s">
        <v>136</v>
      </c>
      <c r="H5675" s="1">
        <f>68268.25-H5674</f>
        <v>28268.25</v>
      </c>
    </row>
    <row r="5676" spans="2:8" x14ac:dyDescent="0.2">
      <c r="B5676" t="str">
        <f>VLOOKUP(G5676,PC!B:D,3,FALSE)</f>
        <v>DESCONTO DE FATURAMENTO</v>
      </c>
      <c r="C5676" s="22">
        <v>2024</v>
      </c>
      <c r="D5676" t="s">
        <v>102</v>
      </c>
      <c r="F5676" t="str">
        <f>VLOOKUP(G5676,PC!B:D,2,FALSE)</f>
        <v>OUTROS DESCONTOS</v>
      </c>
      <c r="G5676" s="4" t="s">
        <v>63</v>
      </c>
      <c r="H5676" s="1">
        <f>H5674*0.015</f>
        <v>600</v>
      </c>
    </row>
    <row r="5677" spans="2:8" x14ac:dyDescent="0.2">
      <c r="B5677" t="str">
        <f>VLOOKUP(G5677,PC!B:D,3,FALSE)</f>
        <v>DESCONTO DE FATURAMENTO</v>
      </c>
      <c r="C5677" s="22">
        <v>2024</v>
      </c>
      <c r="D5677" t="s">
        <v>102</v>
      </c>
      <c r="F5677" t="str">
        <f>VLOOKUP(G5677,PC!B:D,2,FALSE)</f>
        <v>OUTROS DESCONTOS</v>
      </c>
      <c r="G5677" s="4" t="s">
        <v>63</v>
      </c>
      <c r="H5677" s="1">
        <f>H5675*0.008</f>
        <v>226.14600000000002</v>
      </c>
    </row>
    <row r="5678" spans="2:8" x14ac:dyDescent="0.2">
      <c r="B5678" t="str">
        <f>VLOOKUP(G5678,PC!B:D,3,FALSE)</f>
        <v>RECEITA</v>
      </c>
      <c r="C5678" s="22">
        <v>2024</v>
      </c>
      <c r="D5678" t="s">
        <v>102</v>
      </c>
      <c r="F5678" t="str">
        <f>VLOOKUP(G5678,PC!B:D,2,FALSE)</f>
        <v>RECEITA</v>
      </c>
      <c r="G5678" s="4" t="s">
        <v>54</v>
      </c>
      <c r="H5678" s="1">
        <f>300+182+290+70+87.5+200+65+2100+33+36+1145+192+400+1250+99.9+77.9+90+500+35.4+342+2300+144</f>
        <v>9939.6999999999989</v>
      </c>
    </row>
    <row r="5679" spans="2:8" x14ac:dyDescent="0.2">
      <c r="B5679" t="str">
        <f>VLOOKUP(G5679,PC!B:D,3,FALSE)</f>
        <v>CPV</v>
      </c>
      <c r="C5679" s="22">
        <v>2024</v>
      </c>
      <c r="D5679" t="s">
        <v>102</v>
      </c>
      <c r="E5679" t="s">
        <v>129</v>
      </c>
      <c r="F5679" t="str">
        <f>VLOOKUP(G5679,PC!B:D,2,FALSE)</f>
        <v>COMIDA</v>
      </c>
      <c r="G5679" s="4" t="s">
        <v>18</v>
      </c>
      <c r="H5679" s="1">
        <v>36</v>
      </c>
    </row>
    <row r="5680" spans="2:8" x14ac:dyDescent="0.2">
      <c r="B5680" t="str">
        <f>VLOOKUP(G5680,PC!B:D,3,FALSE)</f>
        <v>DESPESA PESSOAL</v>
      </c>
      <c r="C5680" s="22">
        <v>2024</v>
      </c>
      <c r="D5680" t="s">
        <v>102</v>
      </c>
      <c r="F5680" t="str">
        <f>VLOOKUP(G5680,PC!B:D,2,FALSE)</f>
        <v>DESPESA PESSOAL</v>
      </c>
      <c r="G5680" s="4" t="s">
        <v>68</v>
      </c>
      <c r="H5680" s="1">
        <v>90</v>
      </c>
    </row>
    <row r="5681" spans="2:8" x14ac:dyDescent="0.2">
      <c r="B5681" t="str">
        <f>VLOOKUP(G5681,PC!B:D,3,FALSE)</f>
        <v>DESPESA OPERACIONAL</v>
      </c>
      <c r="C5681" s="22">
        <v>2024</v>
      </c>
      <c r="D5681" t="s">
        <v>102</v>
      </c>
      <c r="F5681" t="str">
        <f>VLOOKUP(G5681,PC!B:D,2,FALSE)</f>
        <v>DESPESA OPERACIONAL</v>
      </c>
      <c r="G5681" s="4" t="s">
        <v>70</v>
      </c>
      <c r="H5681" s="1">
        <v>70</v>
      </c>
    </row>
    <row r="5682" spans="2:8" x14ac:dyDescent="0.2">
      <c r="B5682" t="str">
        <f>VLOOKUP(G5682,PC!B:D,3,FALSE)</f>
        <v>CPV</v>
      </c>
      <c r="C5682" s="22">
        <v>2024</v>
      </c>
      <c r="D5682" t="s">
        <v>102</v>
      </c>
      <c r="E5682" t="s">
        <v>129</v>
      </c>
      <c r="F5682" t="str">
        <f>VLOOKUP(G5682,PC!B:D,2,FALSE)</f>
        <v>COMIDA</v>
      </c>
      <c r="G5682" s="4" t="s">
        <v>146</v>
      </c>
      <c r="H5682" s="1">
        <v>33</v>
      </c>
    </row>
    <row r="5683" spans="2:8" x14ac:dyDescent="0.2">
      <c r="B5683" t="str">
        <f>VLOOKUP(G5683,PC!B:D,3,FALSE)</f>
        <v>CPV</v>
      </c>
      <c r="C5683" s="22">
        <v>2024</v>
      </c>
      <c r="D5683" t="s">
        <v>102</v>
      </c>
      <c r="E5683" t="s">
        <v>129</v>
      </c>
      <c r="F5683" t="str">
        <f>VLOOKUP(G5683,PC!B:D,2,FALSE)</f>
        <v>COMIDA</v>
      </c>
      <c r="G5683" s="4" t="s">
        <v>18</v>
      </c>
      <c r="H5683" s="1">
        <v>33</v>
      </c>
    </row>
    <row r="5684" spans="2:8" x14ac:dyDescent="0.2">
      <c r="B5684" t="str">
        <f>VLOOKUP(G5684,PC!B:D,3,FALSE)</f>
        <v>RECEITA</v>
      </c>
      <c r="C5684" s="22">
        <v>2024</v>
      </c>
      <c r="D5684" t="s">
        <v>102</v>
      </c>
      <c r="F5684" t="str">
        <f>VLOOKUP(G5684,PC!B:D,2,FALSE)</f>
        <v>RECEITA</v>
      </c>
      <c r="G5684" s="4" t="s">
        <v>54</v>
      </c>
      <c r="H5684" s="1">
        <f>155+350+900+72+1850+26+58+1700+1400+300+18+45+45+1400+45+600+30+55+1600+175+200+285+32+1500+45+20</f>
        <v>12906</v>
      </c>
    </row>
    <row r="5685" spans="2:8" x14ac:dyDescent="0.2">
      <c r="B5685" t="str">
        <f>VLOOKUP(G5685,PC!B:D,3,FALSE)</f>
        <v>DESPESA PESSOAL</v>
      </c>
      <c r="C5685" s="22">
        <v>2024</v>
      </c>
      <c r="D5685" t="s">
        <v>102</v>
      </c>
      <c r="F5685" t="str">
        <f>VLOOKUP(G5685,PC!B:D,2,FALSE)</f>
        <v>DESPESA PESSOAL</v>
      </c>
      <c r="G5685" s="4" t="s">
        <v>68</v>
      </c>
      <c r="H5685" s="1">
        <v>20</v>
      </c>
    </row>
    <row r="5686" spans="2:8" x14ac:dyDescent="0.2">
      <c r="B5686" t="str">
        <f>VLOOKUP(G5686,PC!B:D,3,FALSE)</f>
        <v>CPV</v>
      </c>
      <c r="C5686" s="22">
        <v>2024</v>
      </c>
      <c r="D5686" t="s">
        <v>102</v>
      </c>
      <c r="F5686" t="str">
        <f>VLOOKUP(G5686,PC!B:D,2,FALSE)</f>
        <v>COMIDA</v>
      </c>
      <c r="G5686" s="4" t="s">
        <v>12</v>
      </c>
      <c r="H5686" s="1">
        <v>45</v>
      </c>
    </row>
    <row r="5687" spans="2:8" x14ac:dyDescent="0.2">
      <c r="B5687" t="str">
        <f>VLOOKUP(G5687,PC!B:D,3,FALSE)</f>
        <v>CPV</v>
      </c>
      <c r="C5687" s="22">
        <v>2024</v>
      </c>
      <c r="D5687" t="s">
        <v>102</v>
      </c>
      <c r="F5687" t="str">
        <f>VLOOKUP(G5687,PC!B:D,2,FALSE)</f>
        <v>OUTROS</v>
      </c>
      <c r="G5687" s="4" t="s">
        <v>37</v>
      </c>
      <c r="H5687" s="1">
        <v>175</v>
      </c>
    </row>
    <row r="5688" spans="2:8" x14ac:dyDescent="0.2">
      <c r="B5688" t="e">
        <f>VLOOKUP(G5688,PC!B:D,3,FALSE)</f>
        <v>#N/A</v>
      </c>
      <c r="C5688" s="22">
        <v>2024</v>
      </c>
      <c r="D5688" t="s">
        <v>102</v>
      </c>
      <c r="F5688" t="e">
        <f>VLOOKUP(G5688,PC!B:D,2,FALSE)</f>
        <v>#N/A</v>
      </c>
      <c r="G5688" s="4" t="s">
        <v>231</v>
      </c>
      <c r="H5688" s="1">
        <v>45</v>
      </c>
    </row>
    <row r="5689" spans="2:8" x14ac:dyDescent="0.2">
      <c r="B5689" t="str">
        <f>VLOOKUP(G5689,PC!B:D,3,FALSE)</f>
        <v>RECEITAS NÃO OPERACIONAIS</v>
      </c>
      <c r="C5689" s="22">
        <v>2024</v>
      </c>
      <c r="D5689" t="s">
        <v>102</v>
      </c>
      <c r="F5689" t="str">
        <f>VLOOKUP(G5689,PC!B:D,2,FALSE)</f>
        <v>EMPRESTIMO</v>
      </c>
      <c r="G5689" s="4" t="s">
        <v>71</v>
      </c>
      <c r="H5689" s="1">
        <v>45</v>
      </c>
    </row>
    <row r="5690" spans="2:8" x14ac:dyDescent="0.2">
      <c r="B5690" t="str">
        <f>VLOOKUP(G5690,PC!B:D,3,FALSE)</f>
        <v>CPV</v>
      </c>
      <c r="C5690" s="22">
        <v>2024</v>
      </c>
      <c r="D5690" t="s">
        <v>102</v>
      </c>
      <c r="F5690" t="str">
        <f>VLOOKUP(G5690,PC!B:D,2,FALSE)</f>
        <v>COMIDA</v>
      </c>
      <c r="G5690" s="4" t="s">
        <v>18</v>
      </c>
      <c r="H5690" s="1">
        <v>100</v>
      </c>
    </row>
    <row r="5691" spans="2:8" x14ac:dyDescent="0.2">
      <c r="B5691" t="str">
        <f>VLOOKUP(G5691,PC!B:D,3,FALSE)</f>
        <v>CPV</v>
      </c>
      <c r="C5691" s="22">
        <v>2024</v>
      </c>
      <c r="D5691" t="s">
        <v>102</v>
      </c>
      <c r="F5691" t="str">
        <f>VLOOKUP(G5691,PC!B:D,2,FALSE)</f>
        <v>COMIDA</v>
      </c>
      <c r="G5691" s="4" t="s">
        <v>12</v>
      </c>
      <c r="H5691" s="1">
        <v>155</v>
      </c>
    </row>
    <row r="5692" spans="2:8" x14ac:dyDescent="0.2">
      <c r="B5692" t="str">
        <f>VLOOKUP(G5692,PC!B:D,3,FALSE)</f>
        <v>DESPESA PESSOAL</v>
      </c>
      <c r="C5692" s="22">
        <v>2024</v>
      </c>
      <c r="D5692" t="s">
        <v>102</v>
      </c>
      <c r="F5692" t="str">
        <f>VLOOKUP(G5692,PC!B:D,2,FALSE)</f>
        <v>DESPESA PESSOAL</v>
      </c>
      <c r="G5692" s="4" t="s">
        <v>56</v>
      </c>
      <c r="H5692" s="1">
        <v>350</v>
      </c>
    </row>
    <row r="5693" spans="2:8" x14ac:dyDescent="0.2">
      <c r="B5693" t="str">
        <f>VLOOKUP(G5693,PC!B:D,3,FALSE)</f>
        <v>RECEITA</v>
      </c>
      <c r="C5693" s="22">
        <v>2024</v>
      </c>
      <c r="D5693" t="s">
        <v>102</v>
      </c>
      <c r="F5693" t="str">
        <f>VLOOKUP(G5693,PC!B:D,2,FALSE)</f>
        <v>RECEITA</v>
      </c>
      <c r="G5693" s="4" t="s">
        <v>54</v>
      </c>
      <c r="H5693" s="1">
        <f>324+76+40+25+130+300+72+700+1250+60+540+36+100+800+1000+60+144+36+1000+308+700+1000+15+2100+450+45+96+2000</f>
        <v>13407</v>
      </c>
    </row>
    <row r="5694" spans="2:8" x14ac:dyDescent="0.2">
      <c r="B5694" t="e">
        <f>VLOOKUP(G5694,PC!B:D,3,FALSE)</f>
        <v>#N/A</v>
      </c>
      <c r="C5694" s="22">
        <v>2024</v>
      </c>
      <c r="D5694" t="s">
        <v>102</v>
      </c>
      <c r="F5694" t="e">
        <f>VLOOKUP(G5694,PC!B:D,2,FALSE)</f>
        <v>#N/A</v>
      </c>
      <c r="G5694" s="4" t="s">
        <v>231</v>
      </c>
      <c r="H5694" s="1">
        <v>45</v>
      </c>
    </row>
    <row r="5695" spans="2:8" x14ac:dyDescent="0.2">
      <c r="B5695" t="str">
        <f>VLOOKUP(G5695,PC!B:D,3,FALSE)</f>
        <v>DESPESA PESSOAL</v>
      </c>
      <c r="C5695" s="22">
        <v>2024</v>
      </c>
      <c r="D5695" t="s">
        <v>102</v>
      </c>
      <c r="F5695" t="str">
        <f>VLOOKUP(G5695,PC!B:D,2,FALSE)</f>
        <v>DESPESA PESSOAL</v>
      </c>
      <c r="G5695" s="4" t="s">
        <v>56</v>
      </c>
      <c r="H5695" s="1">
        <v>700</v>
      </c>
    </row>
    <row r="5696" spans="2:8" x14ac:dyDescent="0.2">
      <c r="B5696" t="str">
        <f>VLOOKUP(G5696,PC!B:D,3,FALSE)</f>
        <v>DESPESA OPERACIONAL</v>
      </c>
      <c r="C5696" s="22">
        <v>2024</v>
      </c>
      <c r="D5696" t="s">
        <v>102</v>
      </c>
      <c r="F5696" t="str">
        <f>VLOOKUP(G5696,PC!B:D,2,FALSE)</f>
        <v>DESPESA OPERACIONAL</v>
      </c>
      <c r="G5696" s="4" t="s">
        <v>79</v>
      </c>
      <c r="H5696" s="1">
        <v>36</v>
      </c>
    </row>
    <row r="5697" spans="2:8" x14ac:dyDescent="0.2">
      <c r="B5697" t="str">
        <f>VLOOKUP(G5697,PC!B:D,3,FALSE)</f>
        <v>RECEITAS NÃO OPERACIONAIS</v>
      </c>
      <c r="C5697" s="22">
        <v>2024</v>
      </c>
      <c r="D5697" t="s">
        <v>102</v>
      </c>
      <c r="F5697" t="str">
        <f>VLOOKUP(G5697,PC!B:D,2,FALSE)</f>
        <v>EMPRESTIMO</v>
      </c>
      <c r="G5697" s="4" t="s">
        <v>71</v>
      </c>
      <c r="H5697" s="1">
        <v>60</v>
      </c>
    </row>
    <row r="5698" spans="2:8" x14ac:dyDescent="0.2">
      <c r="B5698" t="str">
        <f>VLOOKUP(G5698,PC!B:D,3,FALSE)</f>
        <v>CPV</v>
      </c>
      <c r="C5698" s="22">
        <v>2024</v>
      </c>
      <c r="D5698" t="s">
        <v>102</v>
      </c>
      <c r="F5698" t="str">
        <f>VLOOKUP(G5698,PC!B:D,2,FALSE)</f>
        <v>COMIDA</v>
      </c>
      <c r="G5698" s="4" t="s">
        <v>12</v>
      </c>
      <c r="H5698" s="1">
        <v>36</v>
      </c>
    </row>
    <row r="5699" spans="2:8" x14ac:dyDescent="0.2">
      <c r="B5699" t="str">
        <f>VLOOKUP(G5699,PC!B:D,3,FALSE)</f>
        <v>DESPESA PESSOAL</v>
      </c>
      <c r="C5699" s="22">
        <v>2024</v>
      </c>
      <c r="D5699" t="s">
        <v>102</v>
      </c>
      <c r="F5699" t="str">
        <f>VLOOKUP(G5699,PC!B:D,2,FALSE)</f>
        <v>DESPESA PESSOAL</v>
      </c>
      <c r="G5699" s="4" t="s">
        <v>68</v>
      </c>
      <c r="H5699" s="1">
        <v>40</v>
      </c>
    </row>
    <row r="5700" spans="2:8" x14ac:dyDescent="0.2">
      <c r="B5700" t="str">
        <f>VLOOKUP(G5700,PC!B:D,3,FALSE)</f>
        <v>CPV</v>
      </c>
      <c r="C5700" s="22">
        <v>2024</v>
      </c>
      <c r="D5700" t="s">
        <v>102</v>
      </c>
      <c r="F5700" t="str">
        <f>VLOOKUP(G5700,PC!B:D,2,FALSE)</f>
        <v>COMIDA</v>
      </c>
      <c r="G5700" s="4" t="s">
        <v>146</v>
      </c>
      <c r="H5700" s="1">
        <v>25</v>
      </c>
    </row>
    <row r="5701" spans="2:8" x14ac:dyDescent="0.2">
      <c r="B5701" t="str">
        <f>VLOOKUP(G5701,PC!B:D,3,FALSE)</f>
        <v>RECEITA</v>
      </c>
      <c r="C5701" s="22">
        <v>2024</v>
      </c>
      <c r="D5701" t="s">
        <v>102</v>
      </c>
      <c r="F5701" t="str">
        <f>VLOOKUP(G5701,PC!B:D,2,FALSE)</f>
        <v>RECEITA</v>
      </c>
      <c r="G5701" s="4" t="s">
        <v>54</v>
      </c>
      <c r="H5701" s="1">
        <f>84+500+39+74+290+1850+40+182+950+200+1800+133+153+60+250+14+1900+300+70+1850+500+500+300+300+300+27</f>
        <v>12666</v>
      </c>
    </row>
    <row r="5702" spans="2:8" x14ac:dyDescent="0.2">
      <c r="B5702" t="str">
        <f>VLOOKUP(G5702,PC!B:D,3,FALSE)</f>
        <v>DESPESA PESSOAL</v>
      </c>
      <c r="C5702" s="22">
        <v>2024</v>
      </c>
      <c r="D5702" t="s">
        <v>102</v>
      </c>
      <c r="F5702" t="str">
        <f>VLOOKUP(G5702,PC!B:D,2,FALSE)</f>
        <v>DESPESA PESSOAL</v>
      </c>
      <c r="G5702" s="4" t="s">
        <v>68</v>
      </c>
      <c r="H5702" s="1">
        <v>60</v>
      </c>
    </row>
    <row r="5703" spans="2:8" x14ac:dyDescent="0.2">
      <c r="B5703" t="str">
        <f>VLOOKUP(G5703,PC!B:D,3,FALSE)</f>
        <v>CPV</v>
      </c>
      <c r="C5703" s="22">
        <v>2024</v>
      </c>
      <c r="D5703" t="s">
        <v>102</v>
      </c>
      <c r="F5703" t="str">
        <f>VLOOKUP(G5703,PC!B:D,2,FALSE)</f>
        <v>COMIDA</v>
      </c>
      <c r="G5703" s="4" t="s">
        <v>18</v>
      </c>
      <c r="H5703" s="1">
        <v>153</v>
      </c>
    </row>
    <row r="5704" spans="2:8" x14ac:dyDescent="0.2">
      <c r="B5704" t="e">
        <f>VLOOKUP(G5704,PC!B:D,3,FALSE)</f>
        <v>#N/A</v>
      </c>
      <c r="C5704" s="22">
        <v>2024</v>
      </c>
      <c r="D5704" t="s">
        <v>102</v>
      </c>
      <c r="F5704" t="e">
        <f>VLOOKUP(G5704,PC!B:D,2,FALSE)</f>
        <v>#N/A</v>
      </c>
      <c r="G5704" s="4" t="s">
        <v>231</v>
      </c>
      <c r="H5704" s="1">
        <v>40</v>
      </c>
    </row>
    <row r="5705" spans="2:8" x14ac:dyDescent="0.2">
      <c r="B5705" t="str">
        <f>VLOOKUP(G5705,PC!B:D,3,FALSE)</f>
        <v>CPV</v>
      </c>
      <c r="C5705" s="22">
        <v>2024</v>
      </c>
      <c r="D5705" t="s">
        <v>102</v>
      </c>
      <c r="F5705" t="str">
        <f>VLOOKUP(G5705,PC!B:D,2,FALSE)</f>
        <v>COMIDA</v>
      </c>
      <c r="G5705" s="4" t="s">
        <v>33</v>
      </c>
      <c r="H5705" s="1">
        <v>290</v>
      </c>
    </row>
    <row r="5706" spans="2:8" x14ac:dyDescent="0.2">
      <c r="B5706" t="str">
        <f>VLOOKUP(G5706,PC!B:D,3,FALSE)</f>
        <v>RECEITA</v>
      </c>
      <c r="C5706" s="22">
        <v>2024</v>
      </c>
      <c r="D5706" t="s">
        <v>102</v>
      </c>
      <c r="F5706" t="str">
        <f>VLOOKUP(G5706,PC!B:D,2,FALSE)</f>
        <v>RECEITA</v>
      </c>
      <c r="G5706" s="4" t="s">
        <v>54</v>
      </c>
      <c r="H5706" s="1">
        <f>2000+1000+800+840+45+18+1300+116+700+1000+96+41+156+650+300+36+87+80+18+1250+45+250+60+100+850</f>
        <v>11838</v>
      </c>
    </row>
    <row r="5707" spans="2:8" x14ac:dyDescent="0.2">
      <c r="B5707" t="str">
        <f>VLOOKUP(G5707,PC!B:D,3,FALSE)</f>
        <v>DESPESA PESSOAL</v>
      </c>
      <c r="C5707" s="22">
        <v>2024</v>
      </c>
      <c r="D5707" t="s">
        <v>102</v>
      </c>
      <c r="F5707" t="str">
        <f>VLOOKUP(G5707,PC!B:D,2,FALSE)</f>
        <v>DESPESA PESSOAL</v>
      </c>
      <c r="G5707" s="4" t="s">
        <v>68</v>
      </c>
      <c r="H5707" s="1">
        <v>60</v>
      </c>
    </row>
    <row r="5708" spans="2:8" x14ac:dyDescent="0.2">
      <c r="B5708" t="str">
        <f>VLOOKUP(G5708,PC!B:D,3,FALSE)</f>
        <v>CPV</v>
      </c>
      <c r="C5708" s="22">
        <v>2024</v>
      </c>
      <c r="D5708" t="s">
        <v>102</v>
      </c>
      <c r="F5708" t="str">
        <f>VLOOKUP(G5708,PC!B:D,2,FALSE)</f>
        <v>OUTROS</v>
      </c>
      <c r="G5708" s="4" t="s">
        <v>37</v>
      </c>
      <c r="H5708" s="1">
        <v>80</v>
      </c>
    </row>
    <row r="5709" spans="2:8" x14ac:dyDescent="0.2">
      <c r="B5709" t="str">
        <f>VLOOKUP(G5709,PC!B:D,3,FALSE)</f>
        <v>RECEITAS NÃO OPERACIONAIS</v>
      </c>
      <c r="C5709" s="22">
        <v>2024</v>
      </c>
      <c r="D5709" t="s">
        <v>102</v>
      </c>
      <c r="F5709" t="str">
        <f>VLOOKUP(G5709,PC!B:D,2,FALSE)</f>
        <v>EMPRESTIMO</v>
      </c>
      <c r="G5709" s="4" t="s">
        <v>71</v>
      </c>
      <c r="H5709" s="1">
        <v>36</v>
      </c>
    </row>
    <row r="5710" spans="2:8" x14ac:dyDescent="0.2">
      <c r="B5710" t="str">
        <f>VLOOKUP(G5710,PC!B:D,3,FALSE)</f>
        <v>DESPESA OPERACIONAL</v>
      </c>
      <c r="C5710" s="22">
        <v>2024</v>
      </c>
      <c r="D5710" t="s">
        <v>102</v>
      </c>
      <c r="F5710" t="str">
        <f>VLOOKUP(G5710,PC!B:D,2,FALSE)</f>
        <v>DESPESA OPERACIONAL</v>
      </c>
      <c r="G5710" s="4" t="s">
        <v>70</v>
      </c>
      <c r="H5710" s="1">
        <v>156</v>
      </c>
    </row>
    <row r="5711" spans="2:8" x14ac:dyDescent="0.2">
      <c r="B5711" t="e">
        <f>VLOOKUP(G5711,PC!B:D,3,FALSE)</f>
        <v>#N/A</v>
      </c>
      <c r="C5711" s="22">
        <v>2024</v>
      </c>
      <c r="D5711" t="s">
        <v>102</v>
      </c>
      <c r="F5711" t="e">
        <f>VLOOKUP(G5711,PC!B:D,2,FALSE)</f>
        <v>#N/A</v>
      </c>
      <c r="G5711" s="4" t="s">
        <v>231</v>
      </c>
      <c r="H5711" s="1">
        <v>45</v>
      </c>
    </row>
    <row r="5712" spans="2:8" x14ac:dyDescent="0.2">
      <c r="B5712" t="str">
        <f>VLOOKUP(G5712,PC!B:D,3,FALSE)</f>
        <v>RECEITA</v>
      </c>
      <c r="C5712" s="22">
        <v>2024</v>
      </c>
      <c r="D5712" t="s">
        <v>102</v>
      </c>
      <c r="F5712" t="str">
        <f>VLOOKUP(G5712,PC!B:D,2,FALSE)</f>
        <v>RECEITA</v>
      </c>
      <c r="G5712" s="4" t="s">
        <v>54</v>
      </c>
      <c r="H5712" s="1">
        <f>72+292+100+51+200+250+35.4+36+115+300+600+1150+600+950+350+1000+1600+200+50+400+600+45+1000+700+45+82+1250</f>
        <v>12073.4</v>
      </c>
    </row>
    <row r="5713" spans="2:8" x14ac:dyDescent="0.2">
      <c r="B5713" t="e">
        <f>VLOOKUP(G5713,PC!B:D,3,FALSE)</f>
        <v>#N/A</v>
      </c>
      <c r="C5713" s="22">
        <v>2024</v>
      </c>
      <c r="D5713" t="s">
        <v>102</v>
      </c>
      <c r="F5713" t="e">
        <f>VLOOKUP(G5713,PC!B:D,2,FALSE)</f>
        <v>#N/A</v>
      </c>
      <c r="G5713" s="4" t="s">
        <v>231</v>
      </c>
      <c r="H5713" s="1">
        <v>45</v>
      </c>
    </row>
    <row r="5714" spans="2:8" x14ac:dyDescent="0.2">
      <c r="B5714" t="str">
        <f>VLOOKUP(G5714,PC!B:D,3,FALSE)</f>
        <v>DESPESA PESSOAL</v>
      </c>
      <c r="C5714" s="22">
        <v>2024</v>
      </c>
      <c r="D5714" t="s">
        <v>102</v>
      </c>
      <c r="F5714" t="str">
        <f>VLOOKUP(G5714,PC!B:D,2,FALSE)</f>
        <v>DESPESA PESSOAL</v>
      </c>
      <c r="G5714" s="4" t="s">
        <v>56</v>
      </c>
      <c r="H5714" s="1">
        <v>350</v>
      </c>
    </row>
    <row r="5715" spans="2:8" x14ac:dyDescent="0.2">
      <c r="B5715" t="str">
        <f>VLOOKUP(G5715,PC!B:D,3,FALSE)</f>
        <v>RECEITA</v>
      </c>
      <c r="C5715" s="22">
        <v>2024</v>
      </c>
      <c r="D5715" t="s">
        <v>102</v>
      </c>
      <c r="F5715" t="str">
        <f>VLOOKUP(G5715,PC!B:D,2,FALSE)</f>
        <v>RECEITA</v>
      </c>
      <c r="G5715" s="4" t="s">
        <v>54</v>
      </c>
      <c r="H5715" s="1">
        <f>161+120+150+63+180+300+42+600+55+24+192+95+100+400+1900</f>
        <v>4382</v>
      </c>
    </row>
    <row r="5716" spans="2:8" x14ac:dyDescent="0.2">
      <c r="B5716" t="str">
        <f>VLOOKUP(G5716,PC!B:D,3,FALSE)</f>
        <v>RECEITAS NÃO OPERACIONAIS</v>
      </c>
      <c r="C5716" s="22">
        <v>2024</v>
      </c>
      <c r="D5716" t="s">
        <v>102</v>
      </c>
      <c r="F5716" t="str">
        <f>VLOOKUP(G5716,PC!B:D,2,FALSE)</f>
        <v>EMPRESTIMO</v>
      </c>
      <c r="G5716" s="4" t="s">
        <v>71</v>
      </c>
      <c r="H5716" s="1">
        <v>204</v>
      </c>
    </row>
    <row r="5717" spans="2:8" x14ac:dyDescent="0.2">
      <c r="B5717" t="str">
        <f>VLOOKUP(G5717,PC!B:D,3,FALSE)</f>
        <v>DESPESA OPERACIONAL</v>
      </c>
      <c r="C5717" s="22">
        <v>2024</v>
      </c>
      <c r="D5717" t="s">
        <v>102</v>
      </c>
      <c r="F5717" t="str">
        <f>VLOOKUP(G5717,PC!B:D,2,FALSE)</f>
        <v>DESPESA OPERACIONAL</v>
      </c>
      <c r="G5717" s="4" t="s">
        <v>70</v>
      </c>
      <c r="H5717" s="1">
        <v>120</v>
      </c>
    </row>
    <row r="5718" spans="2:8" x14ac:dyDescent="0.2">
      <c r="B5718" t="str">
        <f>VLOOKUP(G5718,PC!B:D,3,FALSE)</f>
        <v>DESPESA PESSOAL</v>
      </c>
      <c r="C5718" s="22">
        <v>2024</v>
      </c>
      <c r="D5718" t="s">
        <v>102</v>
      </c>
      <c r="F5718" t="str">
        <f>VLOOKUP(G5718,PC!B:D,2,FALSE)</f>
        <v>DESPESA PESSOAL</v>
      </c>
      <c r="G5718" s="4" t="s">
        <v>124</v>
      </c>
      <c r="H5718" s="1">
        <v>2400</v>
      </c>
    </row>
    <row r="5719" spans="2:8" x14ac:dyDescent="0.2">
      <c r="B5719" t="str">
        <f>VLOOKUP(G5719,PC!B:D,3,FALSE)</f>
        <v>DESPESA PESSOAL</v>
      </c>
      <c r="C5719" s="22">
        <v>2024</v>
      </c>
      <c r="D5719" t="s">
        <v>102</v>
      </c>
      <c r="F5719" t="str">
        <f>VLOOKUP(G5719,PC!B:D,2,FALSE)</f>
        <v>DESPESA PESSOAL</v>
      </c>
      <c r="G5719" s="4" t="s">
        <v>56</v>
      </c>
      <c r="H5719" s="1">
        <v>1299</v>
      </c>
    </row>
    <row r="5720" spans="2:8" x14ac:dyDescent="0.2">
      <c r="B5720" t="str">
        <f>VLOOKUP(G5720,PC!B:D,3,FALSE)</f>
        <v>DESPESA PESSOAL</v>
      </c>
      <c r="C5720" s="22">
        <v>2024</v>
      </c>
      <c r="D5720" t="s">
        <v>102</v>
      </c>
      <c r="F5720" t="str">
        <f>VLOOKUP(G5720,PC!B:D,2,FALSE)</f>
        <v>DESPESA PESSOAL</v>
      </c>
      <c r="G5720" s="4" t="s">
        <v>56</v>
      </c>
      <c r="H5720" s="1">
        <f>4*450</f>
        <v>1800</v>
      </c>
    </row>
    <row r="5721" spans="2:8" x14ac:dyDescent="0.2">
      <c r="B5721" t="str">
        <f>VLOOKUP(G5721,PC!B:D,3,FALSE)</f>
        <v>INVESTIMENTO</v>
      </c>
      <c r="C5721" s="22">
        <v>2024</v>
      </c>
      <c r="D5721" t="s">
        <v>102</v>
      </c>
      <c r="F5721" t="str">
        <f>VLOOKUP(G5721,PC!B:D,2,FALSE)</f>
        <v>INVESTIMENTO</v>
      </c>
      <c r="G5721" s="4" t="s">
        <v>130</v>
      </c>
      <c r="H5721" s="1">
        <v>660</v>
      </c>
    </row>
    <row r="5722" spans="2:8" x14ac:dyDescent="0.2">
      <c r="B5722" t="str">
        <f>VLOOKUP(G5722,PC!B:D,3,FALSE)</f>
        <v>RECEITA</v>
      </c>
      <c r="C5722" s="22">
        <v>2024</v>
      </c>
      <c r="D5722" t="s">
        <v>106</v>
      </c>
      <c r="F5722" t="str">
        <f>VLOOKUP(G5722,PC!B:D,2,FALSE)</f>
        <v>RECEITA</v>
      </c>
      <c r="G5722" s="4" t="s">
        <v>54</v>
      </c>
      <c r="H5722" s="1">
        <f>31+1000+23+100+1500+35.4+308+800+153+700+1000+95+90+60+38+800+800+1200+1700+1900+1200+850+280+450+1480+84+50+300+50</f>
        <v>17077.400000000001</v>
      </c>
    </row>
    <row r="5723" spans="2:8" x14ac:dyDescent="0.2">
      <c r="B5723" t="str">
        <f>VLOOKUP(G5723,PC!B:D,3,FALSE)</f>
        <v>DESPESA PESSOAL</v>
      </c>
      <c r="C5723" s="22">
        <v>2024</v>
      </c>
      <c r="D5723" t="s">
        <v>106</v>
      </c>
      <c r="F5723" t="str">
        <f>VLOOKUP(G5723,PC!B:D,2,FALSE)</f>
        <v>DESPESA PESSOAL</v>
      </c>
      <c r="G5723" s="4" t="s">
        <v>68</v>
      </c>
      <c r="H5723" s="1">
        <v>23</v>
      </c>
    </row>
    <row r="5724" spans="2:8" x14ac:dyDescent="0.2">
      <c r="B5724" t="str">
        <f>VLOOKUP(G5724,PC!B:D,3,FALSE)</f>
        <v>CPV</v>
      </c>
      <c r="C5724" s="22">
        <v>2024</v>
      </c>
      <c r="D5724" t="s">
        <v>106</v>
      </c>
      <c r="F5724" t="str">
        <f>VLOOKUP(G5724,PC!B:D,2,FALSE)</f>
        <v>OUTROS</v>
      </c>
      <c r="G5724" s="4" t="s">
        <v>37</v>
      </c>
      <c r="H5724" s="1">
        <v>100</v>
      </c>
    </row>
    <row r="5725" spans="2:8" x14ac:dyDescent="0.2">
      <c r="B5725" t="str">
        <f>VLOOKUP(G5725,PC!B:D,3,FALSE)</f>
        <v>CPV</v>
      </c>
      <c r="C5725" s="22">
        <v>2024</v>
      </c>
      <c r="D5725" t="s">
        <v>106</v>
      </c>
      <c r="F5725" t="str">
        <f>VLOOKUP(G5725,PC!B:D,2,FALSE)</f>
        <v>COMIDA</v>
      </c>
      <c r="G5725" s="4" t="s">
        <v>18</v>
      </c>
      <c r="H5725" s="1">
        <v>36</v>
      </c>
    </row>
    <row r="5726" spans="2:8" x14ac:dyDescent="0.2">
      <c r="B5726" t="str">
        <f>VLOOKUP(G5726,PC!B:D,3,FALSE)</f>
        <v>CPV</v>
      </c>
      <c r="C5726" s="22">
        <v>2024</v>
      </c>
      <c r="D5726" t="s">
        <v>106</v>
      </c>
      <c r="F5726" t="str">
        <f>VLOOKUP(G5726,PC!B:D,2,FALSE)</f>
        <v>COMIDA</v>
      </c>
      <c r="G5726" s="4" t="s">
        <v>12</v>
      </c>
      <c r="H5726" s="1">
        <v>90</v>
      </c>
    </row>
    <row r="5727" spans="2:8" x14ac:dyDescent="0.2">
      <c r="B5727" t="str">
        <f>VLOOKUP(G5727,PC!B:D,3,FALSE)</f>
        <v>CPV</v>
      </c>
      <c r="C5727" s="22">
        <v>2024</v>
      </c>
      <c r="D5727" t="s">
        <v>106</v>
      </c>
      <c r="F5727" t="str">
        <f>VLOOKUP(G5727,PC!B:D,2,FALSE)</f>
        <v>OUTROS</v>
      </c>
      <c r="G5727" s="4" t="s">
        <v>37</v>
      </c>
      <c r="H5727" s="1">
        <v>95</v>
      </c>
    </row>
    <row r="5728" spans="2:8" x14ac:dyDescent="0.2">
      <c r="B5728" t="str">
        <f>VLOOKUP(G5728,PC!B:D,3,FALSE)</f>
        <v>RECEITA</v>
      </c>
      <c r="C5728" s="22">
        <v>2024</v>
      </c>
      <c r="D5728" t="s">
        <v>106</v>
      </c>
      <c r="F5728" t="str">
        <f>VLOOKUP(G5728,PC!B:D,2,FALSE)</f>
        <v>RECEITA</v>
      </c>
      <c r="G5728" s="4" t="s">
        <v>54</v>
      </c>
      <c r="H5728" s="1">
        <f>228+175+29.5+33+450+100+1000+1400+1400+350+36+1600</f>
        <v>6801.5</v>
      </c>
    </row>
    <row r="5729" spans="2:8" x14ac:dyDescent="0.2">
      <c r="B5729" t="str">
        <f>VLOOKUP(G5729,PC!B:D,3,FALSE)</f>
        <v>CPV</v>
      </c>
      <c r="C5729" s="22">
        <v>2024</v>
      </c>
      <c r="D5729" t="s">
        <v>106</v>
      </c>
      <c r="F5729" t="str">
        <f>VLOOKUP(G5729,PC!B:D,2,FALSE)</f>
        <v>COMIDA</v>
      </c>
      <c r="G5729" s="4" t="s">
        <v>18</v>
      </c>
      <c r="H5729" s="1">
        <v>30</v>
      </c>
    </row>
    <row r="5730" spans="2:8" x14ac:dyDescent="0.2">
      <c r="B5730" t="str">
        <f>VLOOKUP(G5730,PC!B:D,3,FALSE)</f>
        <v>DESPESA PESSOAL</v>
      </c>
      <c r="C5730" s="22">
        <v>2024</v>
      </c>
      <c r="D5730" t="s">
        <v>106</v>
      </c>
      <c r="F5730" t="str">
        <f>VLOOKUP(G5730,PC!B:D,2,FALSE)</f>
        <v>DESPESA PESSOAL</v>
      </c>
      <c r="G5730" s="4" t="s">
        <v>56</v>
      </c>
      <c r="H5730" s="1">
        <v>350</v>
      </c>
    </row>
    <row r="5731" spans="2:8" x14ac:dyDescent="0.2">
      <c r="B5731" t="str">
        <f>VLOOKUP(G5731,PC!B:D,3,FALSE)</f>
        <v>RECEITA</v>
      </c>
      <c r="C5731" s="22">
        <v>2024</v>
      </c>
      <c r="D5731" t="s">
        <v>106</v>
      </c>
      <c r="F5731" t="str">
        <f>VLOOKUP(G5731,PC!B:D,2,FALSE)</f>
        <v>RECEITA</v>
      </c>
      <c r="G5731" s="4" t="s">
        <v>54</v>
      </c>
      <c r="H5731" s="1">
        <f>2400+522.5+350+30+45+1250+600+100+80+180+67+200+1750+108+750+132.8+175+56+140+500+1350+138+33+26+117+750</f>
        <v>11850.3</v>
      </c>
    </row>
    <row r="5732" spans="2:8" x14ac:dyDescent="0.2">
      <c r="B5732" t="str">
        <f>VLOOKUP(G5732,PC!B:D,3,FALSE)</f>
        <v>RECEITA</v>
      </c>
      <c r="C5732" s="22">
        <v>2024</v>
      </c>
      <c r="D5732" t="s">
        <v>106</v>
      </c>
      <c r="F5732" t="str">
        <f>VLOOKUP(G5732,PC!B:D,2,FALSE)</f>
        <v>RECEITA</v>
      </c>
      <c r="G5732" s="4" t="s">
        <v>59</v>
      </c>
      <c r="H5732" s="1">
        <v>3090</v>
      </c>
    </row>
    <row r="5733" spans="2:8" x14ac:dyDescent="0.2">
      <c r="B5733" t="str">
        <f>VLOOKUP(G5733,PC!B:D,3,FALSE)</f>
        <v>CPV</v>
      </c>
      <c r="C5733" s="22">
        <v>2024</v>
      </c>
      <c r="D5733" t="s">
        <v>106</v>
      </c>
      <c r="F5733" t="str">
        <f>VLOOKUP(G5733,PC!B:D,2,FALSE)</f>
        <v>OUTROS</v>
      </c>
      <c r="G5733" s="4" t="s">
        <v>37</v>
      </c>
      <c r="H5733" s="1">
        <v>30</v>
      </c>
    </row>
    <row r="5734" spans="2:8" x14ac:dyDescent="0.2">
      <c r="B5734" t="e">
        <f>VLOOKUP(G5734,PC!B:D,3,FALSE)</f>
        <v>#N/A</v>
      </c>
      <c r="C5734" s="22">
        <v>2024</v>
      </c>
      <c r="D5734" t="s">
        <v>106</v>
      </c>
      <c r="F5734" t="e">
        <f>VLOOKUP(G5734,PC!B:D,2,FALSE)</f>
        <v>#N/A</v>
      </c>
      <c r="G5734" s="4" t="s">
        <v>231</v>
      </c>
      <c r="H5734" s="1">
        <v>45</v>
      </c>
    </row>
    <row r="5735" spans="2:8" x14ac:dyDescent="0.2">
      <c r="B5735" t="str">
        <f>VLOOKUP(G5735,PC!B:D,3,FALSE)</f>
        <v>DESPESA PESSOAL</v>
      </c>
      <c r="C5735" s="22">
        <v>2024</v>
      </c>
      <c r="D5735" t="s">
        <v>106</v>
      </c>
      <c r="F5735" t="str">
        <f>VLOOKUP(G5735,PC!B:D,2,FALSE)</f>
        <v>DESPESA PESSOAL</v>
      </c>
      <c r="G5735" s="4" t="s">
        <v>68</v>
      </c>
      <c r="H5735" s="1">
        <v>100</v>
      </c>
    </row>
    <row r="5736" spans="2:8" x14ac:dyDescent="0.2">
      <c r="B5736" t="e">
        <f>VLOOKUP(G5736,PC!B:D,3,FALSE)</f>
        <v>#N/A</v>
      </c>
      <c r="C5736" s="22">
        <v>2024</v>
      </c>
      <c r="D5736" t="s">
        <v>106</v>
      </c>
      <c r="F5736" t="e">
        <f>VLOOKUP(G5736,PC!B:D,2,FALSE)</f>
        <v>#N/A</v>
      </c>
      <c r="G5736" s="4" t="s">
        <v>247</v>
      </c>
      <c r="H5736" s="1">
        <v>80</v>
      </c>
    </row>
    <row r="5737" spans="2:8" x14ac:dyDescent="0.2">
      <c r="B5737" t="str">
        <f>VLOOKUP(G5737,PC!B:D,3,FALSE)</f>
        <v>SERV.TERCEIROS</v>
      </c>
      <c r="C5737" s="22">
        <v>2024</v>
      </c>
      <c r="D5737" t="s">
        <v>106</v>
      </c>
      <c r="F5737" t="str">
        <f>VLOOKUP(G5737,PC!B:D,2,FALSE)</f>
        <v>SERV.TERCEIROS</v>
      </c>
      <c r="G5737" s="4" t="s">
        <v>121</v>
      </c>
      <c r="H5737" s="1">
        <v>140</v>
      </c>
    </row>
    <row r="5738" spans="2:8" x14ac:dyDescent="0.2">
      <c r="B5738" t="str">
        <f>VLOOKUP(G5738,PC!B:D,3,FALSE)</f>
        <v>RECEITAS NÃO OPERACIONAIS</v>
      </c>
      <c r="C5738" s="22">
        <v>2024</v>
      </c>
      <c r="D5738" t="s">
        <v>106</v>
      </c>
      <c r="F5738" t="str">
        <f>VLOOKUP(G5738,PC!B:D,2,FALSE)</f>
        <v>EMPRESTIMO</v>
      </c>
      <c r="G5738" s="4" t="s">
        <v>71</v>
      </c>
      <c r="H5738" s="1">
        <v>33</v>
      </c>
    </row>
    <row r="5739" spans="2:8" x14ac:dyDescent="0.2">
      <c r="B5739" t="str">
        <f>VLOOKUP(G5739,PC!B:D,3,FALSE)</f>
        <v>DESPESA PESSOAL</v>
      </c>
      <c r="C5739" s="22">
        <v>2024</v>
      </c>
      <c r="D5739" t="s">
        <v>106</v>
      </c>
      <c r="F5739" t="str">
        <f>VLOOKUP(G5739,PC!B:D,2,FALSE)</f>
        <v>DESPESA PESSOAL</v>
      </c>
      <c r="G5739" s="4" t="s">
        <v>68</v>
      </c>
      <c r="H5739" s="1">
        <v>26</v>
      </c>
    </row>
    <row r="5740" spans="2:8" x14ac:dyDescent="0.2">
      <c r="B5740" t="str">
        <f>VLOOKUP(G5740,PC!B:D,3,FALSE)</f>
        <v>RECEITA</v>
      </c>
      <c r="C5740" s="22">
        <v>2024</v>
      </c>
      <c r="D5740" t="s">
        <v>106</v>
      </c>
      <c r="F5740" t="str">
        <f>VLOOKUP(G5740,PC!B:D,2,FALSE)</f>
        <v>RECEITA</v>
      </c>
      <c r="G5740" s="4" t="s">
        <v>54</v>
      </c>
      <c r="H5740" s="1">
        <f>290+80+2350+120+48+206+1550+500+200+1000+1200+72+350+234+1100+2000+750+900+1100+45+280+80+144+900</f>
        <v>15499</v>
      </c>
    </row>
    <row r="5741" spans="2:8" x14ac:dyDescent="0.2">
      <c r="B5741" t="str">
        <f>VLOOKUP(G5741,PC!B:D,3,FALSE)</f>
        <v>DESPESA PESSOAL</v>
      </c>
      <c r="C5741" s="22">
        <v>2024</v>
      </c>
      <c r="D5741" t="s">
        <v>106</v>
      </c>
      <c r="F5741" t="str">
        <f>VLOOKUP(G5741,PC!B:D,2,FALSE)</f>
        <v>DESPESA PESSOAL</v>
      </c>
      <c r="G5741" s="4" t="s">
        <v>68</v>
      </c>
      <c r="H5741" s="1">
        <v>80</v>
      </c>
    </row>
    <row r="5742" spans="2:8" x14ac:dyDescent="0.2">
      <c r="B5742" t="str">
        <f>VLOOKUP(G5742,PC!B:D,3,FALSE)</f>
        <v>CPV</v>
      </c>
      <c r="C5742" s="22">
        <v>2024</v>
      </c>
      <c r="D5742" t="s">
        <v>106</v>
      </c>
      <c r="F5742" t="str">
        <f>VLOOKUP(G5742,PC!B:D,2,FALSE)</f>
        <v>OUTROS</v>
      </c>
      <c r="G5742" s="4" t="s">
        <v>37</v>
      </c>
      <c r="H5742" s="1">
        <v>234</v>
      </c>
    </row>
    <row r="5743" spans="2:8" x14ac:dyDescent="0.2">
      <c r="B5743" t="str">
        <f>VLOOKUP(G5743,PC!B:D,3,FALSE)</f>
        <v>DESPESA PESSOAL</v>
      </c>
      <c r="C5743" s="22">
        <v>2024</v>
      </c>
      <c r="D5743" t="s">
        <v>106</v>
      </c>
      <c r="F5743" t="str">
        <f>VLOOKUP(G5743,PC!B:D,2,FALSE)</f>
        <v>DESPESA PESSOAL</v>
      </c>
      <c r="G5743" s="4" t="s">
        <v>56</v>
      </c>
      <c r="H5743" s="1">
        <v>350</v>
      </c>
    </row>
    <row r="5744" spans="2:8" x14ac:dyDescent="0.2">
      <c r="B5744" t="str">
        <f>VLOOKUP(G5744,PC!B:D,3,FALSE)</f>
        <v>CPV</v>
      </c>
      <c r="C5744" s="22">
        <v>2024</v>
      </c>
      <c r="D5744" t="s">
        <v>106</v>
      </c>
      <c r="F5744" t="str">
        <f>VLOOKUP(G5744,PC!B:D,2,FALSE)</f>
        <v>COMIDA</v>
      </c>
      <c r="G5744" s="4" t="s">
        <v>12</v>
      </c>
      <c r="H5744" s="1">
        <v>48</v>
      </c>
    </row>
    <row r="5745" spans="2:8" x14ac:dyDescent="0.2">
      <c r="B5745" t="str">
        <f>VLOOKUP(G5745,PC!B:D,3,FALSE)</f>
        <v>CPV</v>
      </c>
      <c r="C5745" s="22">
        <v>2024</v>
      </c>
      <c r="D5745" t="s">
        <v>106</v>
      </c>
      <c r="F5745" t="str">
        <f>VLOOKUP(G5745,PC!B:D,2,FALSE)</f>
        <v>OUTROS</v>
      </c>
      <c r="G5745" s="4" t="s">
        <v>37</v>
      </c>
      <c r="H5745" s="1">
        <v>80</v>
      </c>
    </row>
    <row r="5746" spans="2:8" x14ac:dyDescent="0.2">
      <c r="B5746" t="str">
        <f>VLOOKUP(G5746,PC!B:D,3,FALSE)</f>
        <v>RECEITA</v>
      </c>
      <c r="C5746" s="22">
        <v>2024</v>
      </c>
      <c r="D5746" t="s">
        <v>106</v>
      </c>
      <c r="F5746" t="str">
        <f>VLOOKUP(G5746,PC!B:D,2,FALSE)</f>
        <v>RECEITA</v>
      </c>
      <c r="G5746" s="4" t="s">
        <v>54</v>
      </c>
      <c r="H5746" s="1">
        <f>40+300+98+250+20+81+25+700+1000+45+30+33+400+192+1600+250+80+59+120+350+42+55+2200+200+300+800+350+1650+400</f>
        <v>11670</v>
      </c>
    </row>
    <row r="5747" spans="2:8" x14ac:dyDescent="0.2">
      <c r="B5747" t="str">
        <f>VLOOKUP(G5747,PC!B:D,3,FALSE)</f>
        <v>DESPESA PESSOAL</v>
      </c>
      <c r="C5747" s="22">
        <v>2024</v>
      </c>
      <c r="D5747" t="s">
        <v>106</v>
      </c>
      <c r="F5747" t="str">
        <f>VLOOKUP(G5747,PC!B:D,2,FALSE)</f>
        <v>DESPESA PESSOAL</v>
      </c>
      <c r="G5747" s="4" t="s">
        <v>56</v>
      </c>
      <c r="H5747" s="1">
        <v>350</v>
      </c>
    </row>
    <row r="5748" spans="2:8" x14ac:dyDescent="0.2">
      <c r="B5748" t="str">
        <f>VLOOKUP(G5748,PC!B:D,3,FALSE)</f>
        <v>DESPESA PESSOAL</v>
      </c>
      <c r="C5748" s="22">
        <v>2024</v>
      </c>
      <c r="D5748" t="s">
        <v>106</v>
      </c>
      <c r="F5748" t="str">
        <f>VLOOKUP(G5748,PC!B:D,2,FALSE)</f>
        <v>DESPESA PESSOAL</v>
      </c>
      <c r="G5748" s="4" t="s">
        <v>56</v>
      </c>
      <c r="H5748" s="1">
        <v>200</v>
      </c>
    </row>
    <row r="5749" spans="2:8" x14ac:dyDescent="0.2">
      <c r="B5749" t="str">
        <f>VLOOKUP(G5749,PC!B:D,3,FALSE)</f>
        <v>CPV</v>
      </c>
      <c r="C5749" s="22">
        <v>2024</v>
      </c>
      <c r="D5749" t="s">
        <v>106</v>
      </c>
      <c r="F5749" t="str">
        <f>VLOOKUP(G5749,PC!B:D,2,FALSE)</f>
        <v>COMIDA</v>
      </c>
      <c r="G5749" s="4" t="s">
        <v>12</v>
      </c>
      <c r="H5749" s="1">
        <v>42</v>
      </c>
    </row>
    <row r="5750" spans="2:8" x14ac:dyDescent="0.2">
      <c r="B5750" t="str">
        <f>VLOOKUP(G5750,PC!B:D,3,FALSE)</f>
        <v>DESPESA PESSOAL</v>
      </c>
      <c r="C5750" s="22">
        <v>2024</v>
      </c>
      <c r="D5750" t="s">
        <v>106</v>
      </c>
      <c r="F5750" t="str">
        <f>VLOOKUP(G5750,PC!B:D,2,FALSE)</f>
        <v>DESPESA PESSOAL</v>
      </c>
      <c r="G5750" s="4" t="s">
        <v>68</v>
      </c>
      <c r="H5750" s="1">
        <v>120</v>
      </c>
    </row>
    <row r="5751" spans="2:8" x14ac:dyDescent="0.2">
      <c r="B5751" t="str">
        <f>VLOOKUP(G5751,PC!B:D,3,FALSE)</f>
        <v>CPV</v>
      </c>
      <c r="C5751" s="22">
        <v>2024</v>
      </c>
      <c r="D5751" t="s">
        <v>106</v>
      </c>
      <c r="F5751" t="str">
        <f>VLOOKUP(G5751,PC!B:D,2,FALSE)</f>
        <v>COMIDA</v>
      </c>
      <c r="G5751" s="4" t="s">
        <v>18</v>
      </c>
      <c r="H5751" s="1">
        <v>59</v>
      </c>
    </row>
    <row r="5752" spans="2:8" x14ac:dyDescent="0.2">
      <c r="B5752" t="str">
        <f>VLOOKUP(G5752,PC!B:D,3,FALSE)</f>
        <v>DESPESA PESSOAL</v>
      </c>
      <c r="C5752" s="22">
        <v>2024</v>
      </c>
      <c r="D5752" t="s">
        <v>106</v>
      </c>
      <c r="F5752" t="str">
        <f>VLOOKUP(G5752,PC!B:D,2,FALSE)</f>
        <v>DESPESA PESSOAL</v>
      </c>
      <c r="G5752" s="4" t="s">
        <v>68</v>
      </c>
      <c r="H5752" s="1">
        <v>30</v>
      </c>
    </row>
    <row r="5753" spans="2:8" x14ac:dyDescent="0.2">
      <c r="B5753" t="str">
        <f>VLOOKUP(G5753,PC!B:D,3,FALSE)</f>
        <v>CPV</v>
      </c>
      <c r="C5753" s="22">
        <v>2024</v>
      </c>
      <c r="D5753" t="s">
        <v>106</v>
      </c>
      <c r="F5753" t="str">
        <f>VLOOKUP(G5753,PC!B:D,2,FALSE)</f>
        <v>LIMPEZA</v>
      </c>
      <c r="G5753" s="4" t="s">
        <v>43</v>
      </c>
      <c r="H5753" s="1">
        <v>20</v>
      </c>
    </row>
    <row r="5754" spans="2:8" x14ac:dyDescent="0.2">
      <c r="B5754" t="str">
        <f>VLOOKUP(G5754,PC!B:D,3,FALSE)</f>
        <v>RECEITA</v>
      </c>
      <c r="C5754" s="22">
        <v>2024</v>
      </c>
      <c r="D5754" t="s">
        <v>106</v>
      </c>
      <c r="F5754" t="str">
        <f>VLOOKUP(G5754,PC!B:D,2,FALSE)</f>
        <v>RECEITA</v>
      </c>
      <c r="G5754" s="4" t="s">
        <v>54</v>
      </c>
      <c r="H5754" s="1">
        <f>1550+450+200+500+200+400+280+45+71+850+270+45+100+84+1200+52+80+132+85+210+400+98+900+100+51+300+56+300</f>
        <v>9009</v>
      </c>
    </row>
    <row r="5755" spans="2:8" x14ac:dyDescent="0.2">
      <c r="B5755" t="str">
        <f>VLOOKUP(G5755,PC!B:D,3,FALSE)</f>
        <v>CPV</v>
      </c>
      <c r="C5755" s="22">
        <v>2024</v>
      </c>
      <c r="D5755" t="s">
        <v>106</v>
      </c>
      <c r="F5755" t="str">
        <f>VLOOKUP(G5755,PC!B:D,2,FALSE)</f>
        <v>OUTROS</v>
      </c>
      <c r="G5755" s="4" t="s">
        <v>37</v>
      </c>
      <c r="H5755" s="1">
        <v>85</v>
      </c>
    </row>
    <row r="5756" spans="2:8" x14ac:dyDescent="0.2">
      <c r="B5756" t="str">
        <f>VLOOKUP(G5756,PC!B:D,3,FALSE)</f>
        <v>CPV</v>
      </c>
      <c r="C5756" s="22">
        <v>2024</v>
      </c>
      <c r="D5756" t="s">
        <v>106</v>
      </c>
      <c r="F5756" t="str">
        <f>VLOOKUP(G5756,PC!B:D,2,FALSE)</f>
        <v>HIGIENE</v>
      </c>
      <c r="G5756" s="4" t="s">
        <v>36</v>
      </c>
      <c r="H5756" s="1">
        <v>285</v>
      </c>
    </row>
    <row r="5757" spans="2:8" x14ac:dyDescent="0.2">
      <c r="B5757" t="str">
        <f>VLOOKUP(G5757,PC!B:D,3,FALSE)</f>
        <v>CPV</v>
      </c>
      <c r="C5757" s="22">
        <v>2024</v>
      </c>
      <c r="D5757" t="s">
        <v>106</v>
      </c>
      <c r="F5757" t="str">
        <f>VLOOKUP(G5757,PC!B:D,2,FALSE)</f>
        <v>COMIDA</v>
      </c>
      <c r="G5757" s="4" t="s">
        <v>33</v>
      </c>
      <c r="H5757" s="1">
        <v>100</v>
      </c>
    </row>
    <row r="5758" spans="2:8" x14ac:dyDescent="0.2">
      <c r="B5758" t="e">
        <f>VLOOKUP(G5758,PC!B:D,3,FALSE)</f>
        <v>#N/A</v>
      </c>
      <c r="C5758" s="22">
        <v>2024</v>
      </c>
      <c r="D5758" t="s">
        <v>106</v>
      </c>
      <c r="F5758" t="e">
        <f>VLOOKUP(G5758,PC!B:D,2,FALSE)</f>
        <v>#N/A</v>
      </c>
      <c r="G5758" s="4" t="s">
        <v>231</v>
      </c>
      <c r="H5758" s="1">
        <v>45</v>
      </c>
    </row>
    <row r="5759" spans="2:8" x14ac:dyDescent="0.2">
      <c r="B5759" t="str">
        <f>VLOOKUP(G5759,PC!B:D,3,FALSE)</f>
        <v>DESPESA PESSOAL</v>
      </c>
      <c r="C5759" s="22">
        <v>2024</v>
      </c>
      <c r="D5759" t="s">
        <v>106</v>
      </c>
      <c r="F5759" t="str">
        <f>VLOOKUP(G5759,PC!B:D,2,FALSE)</f>
        <v>DESPESA PESSOAL</v>
      </c>
      <c r="G5759" s="4" t="s">
        <v>68</v>
      </c>
      <c r="H5759" s="1">
        <v>200</v>
      </c>
    </row>
    <row r="5760" spans="2:8" x14ac:dyDescent="0.2">
      <c r="B5760" t="str">
        <f>VLOOKUP(G5760,PC!B:D,3,FALSE)</f>
        <v>RECEITA</v>
      </c>
      <c r="C5760" s="22">
        <v>2024</v>
      </c>
      <c r="D5760" t="s">
        <v>106</v>
      </c>
      <c r="F5760" t="str">
        <f>VLOOKUP(G5760,PC!B:D,2,FALSE)</f>
        <v>RECEITA</v>
      </c>
      <c r="G5760" s="4" t="s">
        <v>54</v>
      </c>
      <c r="H5760" s="1">
        <f>90+800+800+650+2400+45+36+600+3000+350+1300+90+1800+1300+2100+15</f>
        <v>15376</v>
      </c>
    </row>
    <row r="5761" spans="2:8" x14ac:dyDescent="0.2">
      <c r="B5761" t="e">
        <f>VLOOKUP(G5761,PC!B:D,3,FALSE)</f>
        <v>#N/A</v>
      </c>
      <c r="C5761" s="22">
        <v>2024</v>
      </c>
      <c r="D5761" t="s">
        <v>106</v>
      </c>
      <c r="F5761" t="e">
        <f>VLOOKUP(G5761,PC!B:D,2,FALSE)</f>
        <v>#N/A</v>
      </c>
      <c r="G5761" s="4" t="s">
        <v>231</v>
      </c>
      <c r="H5761" s="1">
        <v>15</v>
      </c>
    </row>
    <row r="5762" spans="2:8" x14ac:dyDescent="0.2">
      <c r="B5762" t="str">
        <f>VLOOKUP(G5762,PC!B:D,3,FALSE)</f>
        <v>CPV</v>
      </c>
      <c r="C5762" s="22">
        <v>2024</v>
      </c>
      <c r="D5762" t="s">
        <v>106</v>
      </c>
      <c r="F5762" t="str">
        <f>VLOOKUP(G5762,PC!B:D,2,FALSE)</f>
        <v>COMIDA</v>
      </c>
      <c r="G5762" s="4" t="s">
        <v>12</v>
      </c>
      <c r="H5762" s="1">
        <v>90</v>
      </c>
    </row>
    <row r="5763" spans="2:8" x14ac:dyDescent="0.2">
      <c r="B5763" t="str">
        <f>VLOOKUP(G5763,PC!B:D,3,FALSE)</f>
        <v>DESPESA PESSOAL</v>
      </c>
      <c r="C5763" s="22">
        <v>2024</v>
      </c>
      <c r="D5763" t="s">
        <v>106</v>
      </c>
      <c r="F5763" t="str">
        <f>VLOOKUP(G5763,PC!B:D,2,FALSE)</f>
        <v>DESPESA PESSOAL</v>
      </c>
      <c r="G5763" s="4" t="s">
        <v>56</v>
      </c>
      <c r="H5763" s="1">
        <v>350</v>
      </c>
    </row>
    <row r="5764" spans="2:8" x14ac:dyDescent="0.2">
      <c r="B5764" t="str">
        <f>VLOOKUP(G5764,PC!B:D,3,FALSE)</f>
        <v>CPV</v>
      </c>
      <c r="C5764" s="22">
        <v>2024</v>
      </c>
      <c r="D5764" t="s">
        <v>106</v>
      </c>
      <c r="F5764" t="str">
        <f>VLOOKUP(G5764,PC!B:D,2,FALSE)</f>
        <v>COMIDA</v>
      </c>
      <c r="G5764" s="4" t="s">
        <v>18</v>
      </c>
      <c r="H5764" s="1">
        <v>36</v>
      </c>
    </row>
    <row r="5765" spans="2:8" x14ac:dyDescent="0.2">
      <c r="B5765" t="e">
        <f>VLOOKUP(G5765,PC!B:D,3,FALSE)</f>
        <v>#N/A</v>
      </c>
      <c r="C5765" s="22">
        <v>2024</v>
      </c>
      <c r="D5765" t="s">
        <v>106</v>
      </c>
      <c r="F5765" t="e">
        <f>VLOOKUP(G5765,PC!B:D,2,FALSE)</f>
        <v>#N/A</v>
      </c>
      <c r="G5765" s="4" t="s">
        <v>231</v>
      </c>
      <c r="H5765" s="1">
        <v>45</v>
      </c>
    </row>
    <row r="5766" spans="2:8" x14ac:dyDescent="0.2">
      <c r="B5766" t="str">
        <f>VLOOKUP(G5766,PC!B:D,3,FALSE)</f>
        <v>RECEITA</v>
      </c>
      <c r="C5766" s="22">
        <v>2024</v>
      </c>
      <c r="D5766" t="s">
        <v>106</v>
      </c>
      <c r="F5766" t="str">
        <f>VLOOKUP(G5766,PC!B:D,2,FALSE)</f>
        <v>RECEITA</v>
      </c>
      <c r="G5766" s="4" t="s">
        <v>136</v>
      </c>
      <c r="H5766" s="1">
        <v>40000</v>
      </c>
    </row>
    <row r="5767" spans="2:8" x14ac:dyDescent="0.2">
      <c r="B5767" t="str">
        <f>VLOOKUP(G5767,PC!B:D,3,FALSE)</f>
        <v>RECEITA</v>
      </c>
      <c r="C5767" s="22">
        <v>2024</v>
      </c>
      <c r="D5767" t="s">
        <v>106</v>
      </c>
      <c r="F5767" t="str">
        <f>VLOOKUP(G5767,PC!B:D,2,FALSE)</f>
        <v>RECEITA</v>
      </c>
      <c r="G5767" s="4" t="s">
        <v>137</v>
      </c>
      <c r="H5767" s="1">
        <f>67659-H5766</f>
        <v>27659</v>
      </c>
    </row>
    <row r="5768" spans="2:8" x14ac:dyDescent="0.2">
      <c r="B5768" t="str">
        <f>VLOOKUP(G5768,PC!B:D,3,FALSE)</f>
        <v>RECEITA</v>
      </c>
      <c r="C5768" s="22">
        <v>2024</v>
      </c>
      <c r="D5768" t="s">
        <v>106</v>
      </c>
      <c r="F5768" t="str">
        <f>VLOOKUP(G5768,PC!B:D,2,FALSE)</f>
        <v>RECEITA</v>
      </c>
      <c r="G5768" s="4" t="s">
        <v>137</v>
      </c>
      <c r="H5768" s="1">
        <v>3199.2</v>
      </c>
    </row>
    <row r="5769" spans="2:8" x14ac:dyDescent="0.2">
      <c r="B5769" t="str">
        <f>VLOOKUP(G5769,PC!B:D,3,FALSE)</f>
        <v>DESCONTO DE FATURAMENTO</v>
      </c>
      <c r="C5769" s="22">
        <v>2024</v>
      </c>
      <c r="D5769" t="s">
        <v>106</v>
      </c>
      <c r="F5769" t="str">
        <f>VLOOKUP(G5769,PC!B:D,2,FALSE)</f>
        <v>OUTROS DESCONTOS</v>
      </c>
      <c r="G5769" s="4" t="s">
        <v>63</v>
      </c>
      <c r="H5769" s="1">
        <f>H5768-3150.52</f>
        <v>48.679999999999836</v>
      </c>
    </row>
    <row r="5770" spans="2:8" x14ac:dyDescent="0.2">
      <c r="B5770" t="str">
        <f>VLOOKUP(G5770,PC!B:D,3,FALSE)</f>
        <v>RECEITA</v>
      </c>
      <c r="C5770" s="22">
        <v>2024</v>
      </c>
      <c r="D5770" t="s">
        <v>106</v>
      </c>
      <c r="F5770" t="str">
        <f>VLOOKUP(G5770,PC!B:D,2,FALSE)</f>
        <v>RECEITA</v>
      </c>
      <c r="G5770" s="4" t="s">
        <v>136</v>
      </c>
      <c r="H5770" s="1">
        <v>160</v>
      </c>
    </row>
    <row r="5771" spans="2:8" x14ac:dyDescent="0.2">
      <c r="B5771" t="str">
        <f>VLOOKUP(G5771,PC!B:D,3,FALSE)</f>
        <v>DESCONTO DE FATURAMENTO</v>
      </c>
      <c r="C5771" s="22">
        <v>2024</v>
      </c>
      <c r="D5771" t="s">
        <v>106</v>
      </c>
      <c r="F5771" t="str">
        <f>VLOOKUP(G5771,PC!B:D,2,FALSE)</f>
        <v>OUTROS DESCONTOS</v>
      </c>
      <c r="G5771" s="4" t="s">
        <v>63</v>
      </c>
      <c r="H5771" s="1">
        <f>H5770-158.71</f>
        <v>1.289999999999992</v>
      </c>
    </row>
    <row r="5772" spans="2:8" x14ac:dyDescent="0.2">
      <c r="B5772" t="e">
        <f>VLOOKUP(G5772,PC!B:D,3,FALSE)</f>
        <v>#N/A</v>
      </c>
      <c r="C5772" s="22">
        <v>2024</v>
      </c>
      <c r="D5772" t="s">
        <v>106</v>
      </c>
      <c r="F5772" t="e">
        <f>VLOOKUP(G5772,PC!B:D,2,FALSE)</f>
        <v>#N/A</v>
      </c>
      <c r="G5772" s="4" t="s">
        <v>232</v>
      </c>
      <c r="H5772" s="1">
        <v>1629.75</v>
      </c>
    </row>
    <row r="5773" spans="2:8" x14ac:dyDescent="0.2">
      <c r="B5773" t="str">
        <f>VLOOKUP(G5773,PC!B:D,3,FALSE)</f>
        <v>CPV</v>
      </c>
      <c r="C5773" s="22">
        <v>2024</v>
      </c>
      <c r="D5773" t="s">
        <v>106</v>
      </c>
      <c r="E5773" t="s">
        <v>5</v>
      </c>
      <c r="F5773" t="str">
        <f>VLOOKUP(G5773,PC!B:D,2,FALSE)</f>
        <v>COMIDA</v>
      </c>
      <c r="G5773" s="4" t="s">
        <v>18</v>
      </c>
      <c r="H5773" s="1">
        <v>204.33</v>
      </c>
    </row>
    <row r="5774" spans="2:8" x14ac:dyDescent="0.2">
      <c r="B5774" t="str">
        <f>VLOOKUP(G5774,PC!B:D,3,FALSE)</f>
        <v>SERV. PUBLICOS</v>
      </c>
      <c r="C5774" s="22">
        <v>2024</v>
      </c>
      <c r="D5774" t="s">
        <v>106</v>
      </c>
      <c r="F5774" t="str">
        <f>VLOOKUP(G5774,PC!B:D,2,FALSE)</f>
        <v>SERV. PUBLICOS</v>
      </c>
      <c r="G5774" s="4" t="s">
        <v>104</v>
      </c>
      <c r="H5774" s="1">
        <v>300</v>
      </c>
    </row>
    <row r="5775" spans="2:8" x14ac:dyDescent="0.2">
      <c r="B5775" t="str">
        <f>VLOOKUP(G5775,PC!B:D,3,FALSE)</f>
        <v>CPV</v>
      </c>
      <c r="C5775" s="22">
        <v>2024</v>
      </c>
      <c r="D5775" t="s">
        <v>106</v>
      </c>
      <c r="E5775" t="s">
        <v>129</v>
      </c>
      <c r="F5775" t="str">
        <f>VLOOKUP(G5775,PC!B:D,2,FALSE)</f>
        <v>OUTROS</v>
      </c>
      <c r="G5775" s="4" t="s">
        <v>37</v>
      </c>
      <c r="H5775" s="1">
        <v>208</v>
      </c>
    </row>
    <row r="5776" spans="2:8" x14ac:dyDescent="0.2">
      <c r="B5776" t="str">
        <f>VLOOKUP(G5776,PC!B:D,3,FALSE)</f>
        <v>CPV</v>
      </c>
      <c r="C5776" s="22">
        <v>2024</v>
      </c>
      <c r="D5776" t="s">
        <v>106</v>
      </c>
      <c r="E5776" t="s">
        <v>77</v>
      </c>
      <c r="F5776" t="str">
        <f>VLOOKUP(G5776,PC!B:D,2,FALSE)</f>
        <v>COMIDA</v>
      </c>
      <c r="G5776" s="4" t="s">
        <v>146</v>
      </c>
      <c r="H5776" s="1">
        <v>150</v>
      </c>
    </row>
    <row r="5777" spans="2:8" x14ac:dyDescent="0.2">
      <c r="B5777" t="str">
        <f>VLOOKUP(G5777,PC!B:D,3,FALSE)</f>
        <v>CPV</v>
      </c>
      <c r="C5777" s="22">
        <v>2024</v>
      </c>
      <c r="D5777" t="s">
        <v>106</v>
      </c>
      <c r="E5777" t="s">
        <v>77</v>
      </c>
      <c r="F5777" t="str">
        <f>VLOOKUP(G5777,PC!B:D,2,FALSE)</f>
        <v>OUTROS</v>
      </c>
      <c r="G5777" s="4" t="s">
        <v>37</v>
      </c>
      <c r="H5777" s="1">
        <f>46+101+30</f>
        <v>177</v>
      </c>
    </row>
    <row r="5778" spans="2:8" x14ac:dyDescent="0.2">
      <c r="B5778" t="str">
        <f>VLOOKUP(G5778,PC!B:D,3,FALSE)</f>
        <v>CPV</v>
      </c>
      <c r="C5778" s="22">
        <v>2024</v>
      </c>
      <c r="D5778" t="s">
        <v>106</v>
      </c>
      <c r="E5778" t="s">
        <v>129</v>
      </c>
      <c r="F5778" t="str">
        <f>VLOOKUP(G5778,PC!B:D,2,FALSE)</f>
        <v>CIGARRO</v>
      </c>
      <c r="G5778" s="4" t="s">
        <v>57</v>
      </c>
      <c r="H5778" s="1">
        <v>2798</v>
      </c>
    </row>
    <row r="5779" spans="2:8" x14ac:dyDescent="0.2">
      <c r="B5779" t="str">
        <f>VLOOKUP(G5779,PC!B:D,3,FALSE)</f>
        <v>CPV</v>
      </c>
      <c r="C5779" s="22">
        <v>2024</v>
      </c>
      <c r="D5779" t="s">
        <v>106</v>
      </c>
      <c r="E5779" t="s">
        <v>234</v>
      </c>
      <c r="F5779" t="str">
        <f>VLOOKUP(G5779,PC!B:D,2,FALSE)</f>
        <v>LIMPEZA</v>
      </c>
      <c r="G5779" s="4" t="s">
        <v>43</v>
      </c>
      <c r="H5779" s="1">
        <v>646.57000000000005</v>
      </c>
    </row>
    <row r="5780" spans="2:8" x14ac:dyDescent="0.2">
      <c r="B5780" t="str">
        <f>VLOOKUP(G5780,PC!B:D,3,FALSE)</f>
        <v>CPV</v>
      </c>
      <c r="C5780" s="22">
        <v>2024</v>
      </c>
      <c r="D5780" t="s">
        <v>106</v>
      </c>
      <c r="E5780" t="s">
        <v>16</v>
      </c>
      <c r="F5780" t="str">
        <f>VLOOKUP(G5780,PC!B:D,2,FALSE)</f>
        <v>COMIDA</v>
      </c>
      <c r="G5780" s="4" t="s">
        <v>33</v>
      </c>
      <c r="H5780" s="1">
        <v>855.86</v>
      </c>
    </row>
    <row r="5781" spans="2:8" x14ac:dyDescent="0.2">
      <c r="B5781" t="str">
        <f>VLOOKUP(G5781,PC!B:D,3,FALSE)</f>
        <v>CPV</v>
      </c>
      <c r="C5781" s="22">
        <v>2024</v>
      </c>
      <c r="D5781" t="s">
        <v>106</v>
      </c>
      <c r="E5781" t="s">
        <v>227</v>
      </c>
      <c r="F5781" t="str">
        <f>VLOOKUP(G5781,PC!B:D,2,FALSE)</f>
        <v>OUTROS</v>
      </c>
      <c r="G5781" s="4" t="s">
        <v>37</v>
      </c>
      <c r="H5781" s="1">
        <v>782.86</v>
      </c>
    </row>
    <row r="5782" spans="2:8" x14ac:dyDescent="0.2">
      <c r="B5782" t="str">
        <f>VLOOKUP(G5782,PC!B:D,3,FALSE)</f>
        <v>CPV</v>
      </c>
      <c r="C5782" s="22">
        <v>2024</v>
      </c>
      <c r="D5782" t="s">
        <v>106</v>
      </c>
      <c r="E5782" t="s">
        <v>45</v>
      </c>
      <c r="F5782" t="str">
        <f>VLOOKUP(G5782,PC!B:D,2,FALSE)</f>
        <v>OUTROS</v>
      </c>
      <c r="G5782" s="4" t="s">
        <v>37</v>
      </c>
      <c r="H5782" s="1">
        <v>455.36</v>
      </c>
    </row>
    <row r="5783" spans="2:8" x14ac:dyDescent="0.2">
      <c r="B5783" t="str">
        <f>VLOOKUP(G5783,PC!B:D,3,FALSE)</f>
        <v>CPV</v>
      </c>
      <c r="C5783" s="22">
        <v>2024</v>
      </c>
      <c r="D5783" t="s">
        <v>106</v>
      </c>
      <c r="E5783" t="s">
        <v>233</v>
      </c>
      <c r="F5783" t="str">
        <f>VLOOKUP(G5783,PC!B:D,2,FALSE)</f>
        <v>BEBIDAS</v>
      </c>
      <c r="G5783" s="4" t="s">
        <v>39</v>
      </c>
      <c r="H5783" s="1">
        <v>497.7</v>
      </c>
    </row>
    <row r="5784" spans="2:8" x14ac:dyDescent="0.2">
      <c r="B5784" t="str">
        <f>VLOOKUP(G5784,PC!B:D,3,FALSE)</f>
        <v>CPV</v>
      </c>
      <c r="C5784" s="22">
        <v>2024</v>
      </c>
      <c r="D5784" t="s">
        <v>106</v>
      </c>
      <c r="E5784" t="s">
        <v>239</v>
      </c>
      <c r="F5784" t="str">
        <f>VLOOKUP(G5784,PC!B:D,2,FALSE)</f>
        <v>BEBIDAS</v>
      </c>
      <c r="G5784" s="4" t="s">
        <v>26</v>
      </c>
      <c r="H5784" s="1">
        <f>4625.23+106</f>
        <v>4731.2299999999996</v>
      </c>
    </row>
    <row r="5785" spans="2:8" x14ac:dyDescent="0.2">
      <c r="B5785" t="str">
        <f>VLOOKUP(G5785,PC!B:D,3,FALSE)</f>
        <v>CPV</v>
      </c>
      <c r="C5785" s="22">
        <v>2024</v>
      </c>
      <c r="D5785" t="s">
        <v>106</v>
      </c>
      <c r="E5785" t="s">
        <v>129</v>
      </c>
      <c r="F5785" t="str">
        <f>VLOOKUP(G5785,PC!B:D,2,FALSE)</f>
        <v>COMIDA</v>
      </c>
      <c r="G5785" s="4" t="s">
        <v>33</v>
      </c>
      <c r="H5785" s="1">
        <v>90</v>
      </c>
    </row>
    <row r="5786" spans="2:8" x14ac:dyDescent="0.2">
      <c r="B5786" t="str">
        <f>VLOOKUP(G5786,PC!B:D,3,FALSE)</f>
        <v>CPV</v>
      </c>
      <c r="C5786" s="22">
        <v>2024</v>
      </c>
      <c r="D5786" t="s">
        <v>106</v>
      </c>
      <c r="E5786" t="s">
        <v>228</v>
      </c>
      <c r="F5786" t="str">
        <f>VLOOKUP(G5786,PC!B:D,2,FALSE)</f>
        <v>COMIDA</v>
      </c>
      <c r="G5786" s="4" t="s">
        <v>12</v>
      </c>
      <c r="H5786" s="1">
        <v>241.32</v>
      </c>
    </row>
    <row r="5787" spans="2:8" x14ac:dyDescent="0.2">
      <c r="B5787" t="str">
        <f>VLOOKUP(G5787,PC!B:D,3,FALSE)</f>
        <v>CPV</v>
      </c>
      <c r="C5787" s="22">
        <v>2024</v>
      </c>
      <c r="D5787" t="s">
        <v>106</v>
      </c>
      <c r="E5787" t="s">
        <v>129</v>
      </c>
      <c r="F5787" t="str">
        <f>VLOOKUP(G5787,PC!B:D,2,FALSE)</f>
        <v>COMIDA</v>
      </c>
      <c r="G5787" s="4" t="s">
        <v>155</v>
      </c>
      <c r="H5787" s="1">
        <v>280</v>
      </c>
    </row>
    <row r="5788" spans="2:8" x14ac:dyDescent="0.2">
      <c r="B5788" t="str">
        <f>VLOOKUP(G5788,PC!B:D,3,FALSE)</f>
        <v>DESPESA OPERACIONAL</v>
      </c>
      <c r="C5788" s="22">
        <v>2024</v>
      </c>
      <c r="D5788" t="s">
        <v>106</v>
      </c>
      <c r="E5788" t="s">
        <v>129</v>
      </c>
      <c r="F5788" t="str">
        <f>VLOOKUP(G5788,PC!B:D,2,FALSE)</f>
        <v>DESPESA OPERACIONAL</v>
      </c>
      <c r="G5788" s="4" t="s">
        <v>70</v>
      </c>
      <c r="H5788" s="1">
        <v>168</v>
      </c>
    </row>
    <row r="5789" spans="2:8" x14ac:dyDescent="0.2">
      <c r="B5789" t="str">
        <f>VLOOKUP(G5789,PC!B:D,3,FALSE)</f>
        <v>CPV</v>
      </c>
      <c r="C5789" s="22">
        <v>2024</v>
      </c>
      <c r="D5789" t="s">
        <v>106</v>
      </c>
      <c r="E5789" t="s">
        <v>129</v>
      </c>
      <c r="F5789" t="str">
        <f>VLOOKUP(G5789,PC!B:D,2,FALSE)</f>
        <v>COMIDA</v>
      </c>
      <c r="G5789" s="4" t="s">
        <v>12</v>
      </c>
      <c r="H5789" s="1">
        <v>40</v>
      </c>
    </row>
    <row r="5790" spans="2:8" x14ac:dyDescent="0.2">
      <c r="B5790" t="str">
        <f>VLOOKUP(G5790,PC!B:D,3,FALSE)</f>
        <v>CPV</v>
      </c>
      <c r="C5790" s="22">
        <v>2024</v>
      </c>
      <c r="D5790" t="s">
        <v>106</v>
      </c>
      <c r="E5790" t="s">
        <v>211</v>
      </c>
      <c r="F5790" t="str">
        <f>VLOOKUP(G5790,PC!B:D,2,FALSE)</f>
        <v>BEBIDAS</v>
      </c>
      <c r="G5790" s="4" t="s">
        <v>26</v>
      </c>
      <c r="H5790" s="1">
        <v>1109.95</v>
      </c>
    </row>
    <row r="5791" spans="2:8" x14ac:dyDescent="0.2">
      <c r="B5791" t="str">
        <f>VLOOKUP(G5791,PC!B:D,3,FALSE)</f>
        <v>CPV</v>
      </c>
      <c r="C5791" s="22">
        <v>2024</v>
      </c>
      <c r="D5791" t="s">
        <v>106</v>
      </c>
      <c r="E5791" t="s">
        <v>78</v>
      </c>
      <c r="F5791" t="str">
        <f>VLOOKUP(G5791,PC!B:D,2,FALSE)</f>
        <v>CIGARRO</v>
      </c>
      <c r="G5791" s="4" t="s">
        <v>82</v>
      </c>
      <c r="H5791" s="1">
        <v>961.25</v>
      </c>
    </row>
    <row r="5792" spans="2:8" x14ac:dyDescent="0.2">
      <c r="B5792" t="str">
        <f>VLOOKUP(G5792,PC!B:D,3,FALSE)</f>
        <v>CPV</v>
      </c>
      <c r="C5792" s="22">
        <v>2024</v>
      </c>
      <c r="D5792" t="s">
        <v>106</v>
      </c>
      <c r="E5792" t="s">
        <v>77</v>
      </c>
      <c r="F5792" t="str">
        <f>VLOOKUP(G5792,PC!B:D,2,FALSE)</f>
        <v>OUTROS</v>
      </c>
      <c r="G5792" s="4" t="s">
        <v>37</v>
      </c>
      <c r="H5792" s="1">
        <f>287.55+235</f>
        <v>522.54999999999995</v>
      </c>
    </row>
    <row r="5793" spans="2:8" x14ac:dyDescent="0.2">
      <c r="B5793" t="str">
        <f>VLOOKUP(G5793,PC!B:D,3,FALSE)</f>
        <v>CPV</v>
      </c>
      <c r="C5793" s="22">
        <v>2024</v>
      </c>
      <c r="D5793" t="s">
        <v>106</v>
      </c>
      <c r="E5793" t="s">
        <v>227</v>
      </c>
      <c r="F5793" t="str">
        <f>VLOOKUP(G5793,PC!B:D,2,FALSE)</f>
        <v>LIMPEZA</v>
      </c>
      <c r="G5793" s="4" t="s">
        <v>43</v>
      </c>
      <c r="H5793" s="1">
        <v>1486.91</v>
      </c>
    </row>
    <row r="5794" spans="2:8" x14ac:dyDescent="0.2">
      <c r="B5794" t="str">
        <f>VLOOKUP(G5794,PC!B:D,3,FALSE)</f>
        <v>CPV</v>
      </c>
      <c r="C5794" s="22">
        <v>2024</v>
      </c>
      <c r="D5794" t="s">
        <v>106</v>
      </c>
      <c r="E5794" t="s">
        <v>129</v>
      </c>
      <c r="F5794" t="str">
        <f>VLOOKUP(G5794,PC!B:D,2,FALSE)</f>
        <v>OUTROS</v>
      </c>
      <c r="G5794" s="4" t="s">
        <v>37</v>
      </c>
      <c r="H5794" s="1">
        <f>945.9+296.1</f>
        <v>1242</v>
      </c>
    </row>
    <row r="5795" spans="2:8" x14ac:dyDescent="0.2">
      <c r="B5795" t="str">
        <f>VLOOKUP(G5795,PC!B:D,3,FALSE)</f>
        <v>CPV</v>
      </c>
      <c r="C5795" s="22">
        <v>2024</v>
      </c>
      <c r="D5795" t="s">
        <v>106</v>
      </c>
      <c r="E5795" t="s">
        <v>129</v>
      </c>
      <c r="F5795" t="str">
        <f>VLOOKUP(G5795,PC!B:D,2,FALSE)</f>
        <v>BEBIDAS</v>
      </c>
      <c r="G5795" s="4" t="s">
        <v>48</v>
      </c>
      <c r="H5795" s="1">
        <v>558</v>
      </c>
    </row>
    <row r="5796" spans="2:8" x14ac:dyDescent="0.2">
      <c r="B5796" t="str">
        <f>VLOOKUP(G5796,PC!B:D,3,FALSE)</f>
        <v>CPV</v>
      </c>
      <c r="C5796" s="22">
        <v>2024</v>
      </c>
      <c r="D5796" t="s">
        <v>106</v>
      </c>
      <c r="E5796" t="s">
        <v>156</v>
      </c>
      <c r="F5796" t="str">
        <f>VLOOKUP(G5796,PC!B:D,2,FALSE)</f>
        <v>BEBIDAS</v>
      </c>
      <c r="G5796" s="4" t="s">
        <v>26</v>
      </c>
      <c r="H5796" s="1">
        <v>229.35</v>
      </c>
    </row>
    <row r="5797" spans="2:8" x14ac:dyDescent="0.2">
      <c r="B5797" t="str">
        <f>VLOOKUP(G5797,PC!B:D,3,FALSE)</f>
        <v>CPV</v>
      </c>
      <c r="C5797" s="22">
        <v>2024</v>
      </c>
      <c r="D5797" t="s">
        <v>106</v>
      </c>
      <c r="E5797" t="s">
        <v>20</v>
      </c>
      <c r="F5797" t="str">
        <f>VLOOKUP(G5797,PC!B:D,2,FALSE)</f>
        <v>COMIDA</v>
      </c>
      <c r="G5797" s="4" t="s">
        <v>29</v>
      </c>
      <c r="H5797" s="1">
        <v>171</v>
      </c>
    </row>
    <row r="5798" spans="2:8" x14ac:dyDescent="0.2">
      <c r="B5798" t="str">
        <f>VLOOKUP(G5798,PC!B:D,3,FALSE)</f>
        <v>CPV</v>
      </c>
      <c r="C5798" s="22">
        <v>2024</v>
      </c>
      <c r="D5798" t="s">
        <v>106</v>
      </c>
      <c r="E5798" t="s">
        <v>129</v>
      </c>
      <c r="F5798" t="str">
        <f>VLOOKUP(G5798,PC!B:D,2,FALSE)</f>
        <v>OUTROS</v>
      </c>
      <c r="G5798" s="4" t="s">
        <v>37</v>
      </c>
      <c r="H5798" s="1">
        <v>308</v>
      </c>
    </row>
    <row r="5799" spans="2:8" x14ac:dyDescent="0.2">
      <c r="B5799" t="str">
        <f>VLOOKUP(G5799,PC!B:D,3,FALSE)</f>
        <v>CPV</v>
      </c>
      <c r="C5799" s="22">
        <v>2024</v>
      </c>
      <c r="D5799" t="s">
        <v>106</v>
      </c>
      <c r="E5799" t="s">
        <v>45</v>
      </c>
      <c r="F5799" t="str">
        <f>VLOOKUP(G5799,PC!B:D,2,FALSE)</f>
        <v>HIGIENE</v>
      </c>
      <c r="G5799" s="4" t="s">
        <v>36</v>
      </c>
      <c r="H5799" s="1">
        <v>381.68</v>
      </c>
    </row>
    <row r="5800" spans="2:8" x14ac:dyDescent="0.2">
      <c r="B5800" t="str">
        <f>VLOOKUP(G5800,PC!B:D,3,FALSE)</f>
        <v>CPV</v>
      </c>
      <c r="C5800" s="22">
        <v>2024</v>
      </c>
      <c r="D5800" t="s">
        <v>106</v>
      </c>
      <c r="E5800" t="s">
        <v>45</v>
      </c>
      <c r="F5800" t="str">
        <f>VLOOKUP(G5800,PC!B:D,2,FALSE)</f>
        <v>LIMPEZA</v>
      </c>
      <c r="G5800" s="4" t="s">
        <v>43</v>
      </c>
      <c r="H5800" s="1">
        <v>393</v>
      </c>
    </row>
    <row r="5801" spans="2:8" x14ac:dyDescent="0.2">
      <c r="B5801" t="str">
        <f>VLOOKUP(G5801,PC!B:D,3,FALSE)</f>
        <v>CPV</v>
      </c>
      <c r="C5801" s="22">
        <v>2024</v>
      </c>
      <c r="D5801" t="s">
        <v>106</v>
      </c>
      <c r="E5801" t="s">
        <v>129</v>
      </c>
      <c r="F5801" t="str">
        <f>VLOOKUP(G5801,PC!B:D,2,FALSE)</f>
        <v>CIGARRO</v>
      </c>
      <c r="G5801" s="4" t="s">
        <v>57</v>
      </c>
      <c r="H5801" s="1">
        <v>1663</v>
      </c>
    </row>
    <row r="5802" spans="2:8" x14ac:dyDescent="0.2">
      <c r="B5802" t="str">
        <f>VLOOKUP(G5802,PC!B:D,3,FALSE)</f>
        <v>CPV</v>
      </c>
      <c r="C5802" s="22">
        <v>2024</v>
      </c>
      <c r="D5802" t="s">
        <v>106</v>
      </c>
      <c r="E5802" t="s">
        <v>78</v>
      </c>
      <c r="F5802" t="str">
        <f>VLOOKUP(G5802,PC!B:D,2,FALSE)</f>
        <v>CIGARRO</v>
      </c>
      <c r="G5802" s="4" t="s">
        <v>82</v>
      </c>
      <c r="H5802" s="1">
        <v>1275.53</v>
      </c>
    </row>
    <row r="5803" spans="2:8" x14ac:dyDescent="0.2">
      <c r="B5803" t="str">
        <f>VLOOKUP(G5803,PC!B:D,3,FALSE)</f>
        <v>CPV</v>
      </c>
      <c r="C5803" s="22">
        <v>2024</v>
      </c>
      <c r="D5803" t="s">
        <v>106</v>
      </c>
      <c r="E5803" t="s">
        <v>16</v>
      </c>
      <c r="F5803" t="str">
        <f>VLOOKUP(G5803,PC!B:D,2,FALSE)</f>
        <v>COMIDA</v>
      </c>
      <c r="G5803" s="4" t="s">
        <v>33</v>
      </c>
      <c r="H5803" s="1">
        <v>740</v>
      </c>
    </row>
    <row r="5804" spans="2:8" x14ac:dyDescent="0.2">
      <c r="B5804" t="str">
        <f>VLOOKUP(G5804,PC!B:D,3,FALSE)</f>
        <v>CPV</v>
      </c>
      <c r="C5804" s="22">
        <v>2024</v>
      </c>
      <c r="D5804" t="s">
        <v>106</v>
      </c>
      <c r="E5804" t="s">
        <v>10</v>
      </c>
      <c r="F5804" t="str">
        <f>VLOOKUP(G5804,PC!B:D,2,FALSE)</f>
        <v>COMIDA</v>
      </c>
      <c r="G5804" s="4" t="s">
        <v>33</v>
      </c>
      <c r="H5804" s="1">
        <v>266</v>
      </c>
    </row>
    <row r="5805" spans="2:8" x14ac:dyDescent="0.2">
      <c r="B5805" t="str">
        <f>VLOOKUP(G5805,PC!B:D,3,FALSE)</f>
        <v>CPV</v>
      </c>
      <c r="C5805" s="22">
        <v>2024</v>
      </c>
      <c r="D5805" t="s">
        <v>106</v>
      </c>
      <c r="E5805" t="s">
        <v>239</v>
      </c>
      <c r="F5805" t="str">
        <f>VLOOKUP(G5805,PC!B:D,2,FALSE)</f>
        <v>BEBIDAS</v>
      </c>
      <c r="G5805" s="4" t="s">
        <v>26</v>
      </c>
      <c r="H5805" s="1">
        <v>970</v>
      </c>
    </row>
    <row r="5806" spans="2:8" x14ac:dyDescent="0.2">
      <c r="B5806" t="str">
        <f>VLOOKUP(G5806,PC!B:D,3,FALSE)</f>
        <v>CPV</v>
      </c>
      <c r="C5806" s="22">
        <v>2024</v>
      </c>
      <c r="D5806" t="s">
        <v>106</v>
      </c>
      <c r="E5806" t="s">
        <v>129</v>
      </c>
      <c r="F5806" t="str">
        <f>VLOOKUP(G5806,PC!B:D,2,FALSE)</f>
        <v>COMIDA</v>
      </c>
      <c r="G5806" s="4" t="s">
        <v>155</v>
      </c>
      <c r="H5806" s="1">
        <v>280</v>
      </c>
    </row>
    <row r="5807" spans="2:8" x14ac:dyDescent="0.2">
      <c r="B5807" t="str">
        <f>VLOOKUP(G5807,PC!B:D,3,FALSE)</f>
        <v>CPV</v>
      </c>
      <c r="C5807" s="22">
        <v>2024</v>
      </c>
      <c r="D5807" t="s">
        <v>106</v>
      </c>
      <c r="E5807" t="s">
        <v>129</v>
      </c>
      <c r="F5807" t="str">
        <f>VLOOKUP(G5807,PC!B:D,2,FALSE)</f>
        <v>CIGARRO</v>
      </c>
      <c r="G5807" s="4" t="s">
        <v>57</v>
      </c>
      <c r="H5807" s="1">
        <v>952</v>
      </c>
    </row>
    <row r="5808" spans="2:8" x14ac:dyDescent="0.2">
      <c r="B5808" t="str">
        <f>VLOOKUP(G5808,PC!B:D,3,FALSE)</f>
        <v>CPV</v>
      </c>
      <c r="C5808" s="22">
        <v>2024</v>
      </c>
      <c r="D5808" t="s">
        <v>106</v>
      </c>
      <c r="E5808" t="s">
        <v>129</v>
      </c>
      <c r="F5808" t="str">
        <f>VLOOKUP(G5808,PC!B:D,2,FALSE)</f>
        <v>CIGARRO</v>
      </c>
      <c r="G5808" s="4" t="s">
        <v>57</v>
      </c>
      <c r="H5808" s="1">
        <v>1292</v>
      </c>
    </row>
    <row r="5809" spans="2:8" x14ac:dyDescent="0.2">
      <c r="B5809" t="str">
        <f>VLOOKUP(G5809,PC!B:D,3,FALSE)</f>
        <v>CPV</v>
      </c>
      <c r="C5809" s="22">
        <v>2024</v>
      </c>
      <c r="D5809" t="s">
        <v>106</v>
      </c>
      <c r="E5809" t="s">
        <v>129</v>
      </c>
      <c r="F5809" t="str">
        <f>VLOOKUP(G5809,PC!B:D,2,FALSE)</f>
        <v>BEBIDAS</v>
      </c>
      <c r="G5809" s="4" t="s">
        <v>48</v>
      </c>
      <c r="H5809" s="1">
        <v>329.2</v>
      </c>
    </row>
    <row r="5810" spans="2:8" x14ac:dyDescent="0.2">
      <c r="B5810" t="str">
        <f>VLOOKUP(G5810,PC!B:D,3,FALSE)</f>
        <v>CPV</v>
      </c>
      <c r="C5810" s="22">
        <v>2024</v>
      </c>
      <c r="D5810" t="s">
        <v>106</v>
      </c>
      <c r="E5810" t="s">
        <v>129</v>
      </c>
      <c r="F5810" t="str">
        <f>VLOOKUP(G5810,PC!B:D,2,FALSE)</f>
        <v>BEBIDAS</v>
      </c>
      <c r="G5810" s="4" t="s">
        <v>26</v>
      </c>
      <c r="H5810" s="1">
        <v>320</v>
      </c>
    </row>
    <row r="5811" spans="2:8" x14ac:dyDescent="0.2">
      <c r="B5811" t="str">
        <f>VLOOKUP(G5811,PC!B:D,3,FALSE)</f>
        <v>CPV</v>
      </c>
      <c r="C5811" s="22">
        <v>2024</v>
      </c>
      <c r="D5811" t="s">
        <v>106</v>
      </c>
      <c r="E5811" t="s">
        <v>227</v>
      </c>
      <c r="F5811" t="str">
        <f>VLOOKUP(G5811,PC!B:D,2,FALSE)</f>
        <v>LIMPEZA</v>
      </c>
      <c r="G5811" s="4" t="s">
        <v>43</v>
      </c>
      <c r="H5811" s="1">
        <v>1581.94</v>
      </c>
    </row>
    <row r="5812" spans="2:8" x14ac:dyDescent="0.2">
      <c r="B5812" t="str">
        <f>VLOOKUP(G5812,PC!B:D,3,FALSE)</f>
        <v>CPV</v>
      </c>
      <c r="C5812" s="22">
        <v>2024</v>
      </c>
      <c r="D5812" t="s">
        <v>106</v>
      </c>
      <c r="E5812" t="s">
        <v>21</v>
      </c>
      <c r="F5812" t="str">
        <f>VLOOKUP(G5812,PC!B:D,2,FALSE)</f>
        <v>SOBREMESA</v>
      </c>
      <c r="G5812" s="4" t="s">
        <v>23</v>
      </c>
      <c r="H5812" s="1">
        <v>188</v>
      </c>
    </row>
    <row r="5813" spans="2:8" x14ac:dyDescent="0.2">
      <c r="B5813" t="str">
        <f>VLOOKUP(G5813,PC!B:D,3,FALSE)</f>
        <v>CPV</v>
      </c>
      <c r="C5813" s="22">
        <v>2024</v>
      </c>
      <c r="D5813" t="s">
        <v>106</v>
      </c>
      <c r="E5813" t="s">
        <v>228</v>
      </c>
      <c r="F5813" t="str">
        <f>VLOOKUP(G5813,PC!B:D,2,FALSE)</f>
        <v>COMIDA</v>
      </c>
      <c r="G5813" s="4" t="s">
        <v>12</v>
      </c>
      <c r="H5813" s="1">
        <v>444.94</v>
      </c>
    </row>
    <row r="5814" spans="2:8" x14ac:dyDescent="0.2">
      <c r="B5814" t="str">
        <f>VLOOKUP(G5814,PC!B:D,3,FALSE)</f>
        <v>CPV</v>
      </c>
      <c r="C5814" s="22">
        <v>2024</v>
      </c>
      <c r="D5814" t="s">
        <v>106</v>
      </c>
      <c r="E5814" t="s">
        <v>10</v>
      </c>
      <c r="F5814" t="str">
        <f>VLOOKUP(G5814,PC!B:D,2,FALSE)</f>
        <v>COMIDA</v>
      </c>
      <c r="G5814" s="4" t="s">
        <v>33</v>
      </c>
      <c r="H5814" s="1">
        <v>397</v>
      </c>
    </row>
    <row r="5815" spans="2:8" x14ac:dyDescent="0.2">
      <c r="B5815" t="str">
        <f>VLOOKUP(G5815,PC!B:D,3,FALSE)</f>
        <v>CPV</v>
      </c>
      <c r="C5815" s="22">
        <v>2024</v>
      </c>
      <c r="D5815" t="s">
        <v>106</v>
      </c>
      <c r="E5815" t="s">
        <v>30</v>
      </c>
      <c r="F5815" t="str">
        <f>VLOOKUP(G5815,PC!B:D,2,FALSE)</f>
        <v>SOBREMESA</v>
      </c>
      <c r="G5815" s="4" t="s">
        <v>23</v>
      </c>
      <c r="H5815" s="1">
        <v>577</v>
      </c>
    </row>
    <row r="5816" spans="2:8" x14ac:dyDescent="0.2">
      <c r="B5816" t="str">
        <f>VLOOKUP(G5816,PC!B:D,3,FALSE)</f>
        <v>CPV</v>
      </c>
      <c r="C5816" s="22">
        <v>2024</v>
      </c>
      <c r="D5816" t="s">
        <v>106</v>
      </c>
      <c r="E5816" t="s">
        <v>129</v>
      </c>
      <c r="F5816" t="str">
        <f>VLOOKUP(G5816,PC!B:D,2,FALSE)</f>
        <v>SOBREMESA</v>
      </c>
      <c r="G5816" s="4" t="s">
        <v>8</v>
      </c>
      <c r="H5816" s="1">
        <v>322</v>
      </c>
    </row>
    <row r="5817" spans="2:8" x14ac:dyDescent="0.2">
      <c r="B5817" t="str">
        <f>VLOOKUP(G5817,PC!B:D,3,FALSE)</f>
        <v>CPV</v>
      </c>
      <c r="C5817" s="22">
        <v>2024</v>
      </c>
      <c r="D5817" t="s">
        <v>106</v>
      </c>
      <c r="E5817" t="s">
        <v>212</v>
      </c>
      <c r="F5817" t="str">
        <f>VLOOKUP(G5817,PC!B:D,2,FALSE)</f>
        <v>COMIDA</v>
      </c>
      <c r="G5817" s="4" t="s">
        <v>33</v>
      </c>
      <c r="H5817" s="1">
        <v>314</v>
      </c>
    </row>
    <row r="5818" spans="2:8" x14ac:dyDescent="0.2">
      <c r="B5818" t="str">
        <f>VLOOKUP(G5818,PC!B:D,3,FALSE)</f>
        <v>CPV</v>
      </c>
      <c r="C5818" s="22">
        <v>2024</v>
      </c>
      <c r="D5818" t="s">
        <v>106</v>
      </c>
      <c r="E5818" t="s">
        <v>45</v>
      </c>
      <c r="F5818" t="str">
        <f>VLOOKUP(G5818,PC!B:D,2,FALSE)</f>
        <v>HIGIENE</v>
      </c>
      <c r="G5818" s="4" t="s">
        <v>36</v>
      </c>
      <c r="H5818" s="1">
        <v>400</v>
      </c>
    </row>
    <row r="5819" spans="2:8" x14ac:dyDescent="0.2">
      <c r="B5819" t="str">
        <f>VLOOKUP(G5819,PC!B:D,3,FALSE)</f>
        <v>CPV</v>
      </c>
      <c r="C5819" s="22">
        <v>2024</v>
      </c>
      <c r="D5819" t="s">
        <v>106</v>
      </c>
      <c r="E5819" t="s">
        <v>19</v>
      </c>
      <c r="F5819" t="str">
        <f>VLOOKUP(G5819,PC!B:D,2,FALSE)</f>
        <v>COMIDA</v>
      </c>
      <c r="G5819" s="4" t="s">
        <v>145</v>
      </c>
      <c r="H5819" s="1">
        <v>160</v>
      </c>
    </row>
    <row r="5820" spans="2:8" x14ac:dyDescent="0.2">
      <c r="B5820" t="str">
        <f>VLOOKUP(G5820,PC!B:D,3,FALSE)</f>
        <v>CPV</v>
      </c>
      <c r="C5820" s="22">
        <v>2024</v>
      </c>
      <c r="D5820" t="s">
        <v>106</v>
      </c>
      <c r="E5820" t="s">
        <v>95</v>
      </c>
      <c r="F5820" t="str">
        <f>VLOOKUP(G5820,PC!B:D,2,FALSE)</f>
        <v>BEBIDAS</v>
      </c>
      <c r="G5820" s="4" t="s">
        <v>144</v>
      </c>
      <c r="H5820" s="1">
        <v>316.2</v>
      </c>
    </row>
    <row r="5821" spans="2:8" x14ac:dyDescent="0.2">
      <c r="B5821" t="str">
        <f>VLOOKUP(G5821,PC!B:D,3,FALSE)</f>
        <v>CPV</v>
      </c>
      <c r="C5821" s="22">
        <v>2024</v>
      </c>
      <c r="D5821" t="s">
        <v>106</v>
      </c>
      <c r="E5821" t="s">
        <v>24</v>
      </c>
      <c r="F5821" t="str">
        <f>VLOOKUP(G5821,PC!B:D,2,FALSE)</f>
        <v>COMIDA</v>
      </c>
      <c r="G5821" s="4" t="s">
        <v>33</v>
      </c>
      <c r="H5821" s="1">
        <v>458.32</v>
      </c>
    </row>
    <row r="5822" spans="2:8" x14ac:dyDescent="0.2">
      <c r="B5822" t="str">
        <f>VLOOKUP(G5822,PC!B:D,3,FALSE)</f>
        <v>CPV</v>
      </c>
      <c r="C5822" s="22">
        <v>2024</v>
      </c>
      <c r="D5822" t="s">
        <v>106</v>
      </c>
      <c r="E5822" t="s">
        <v>19</v>
      </c>
      <c r="F5822" t="str">
        <f>VLOOKUP(G5822,PC!B:D,2,FALSE)</f>
        <v>COMIDA</v>
      </c>
      <c r="G5822" s="4" t="s">
        <v>34</v>
      </c>
      <c r="H5822" s="1">
        <v>100</v>
      </c>
    </row>
    <row r="5823" spans="2:8" x14ac:dyDescent="0.2">
      <c r="B5823" t="str">
        <f>VLOOKUP(G5823,PC!B:D,3,FALSE)</f>
        <v>CPV</v>
      </c>
      <c r="C5823" s="22">
        <v>2024</v>
      </c>
      <c r="D5823" t="s">
        <v>106</v>
      </c>
      <c r="E5823" t="s">
        <v>19</v>
      </c>
      <c r="F5823" t="str">
        <f>VLOOKUP(G5823,PC!B:D,2,FALSE)</f>
        <v>LIMPEZA</v>
      </c>
      <c r="G5823" s="4" t="s">
        <v>43</v>
      </c>
      <c r="H5823" s="1">
        <v>144.72</v>
      </c>
    </row>
    <row r="5824" spans="2:8" x14ac:dyDescent="0.2">
      <c r="B5824" t="str">
        <f>VLOOKUP(G5824,PC!B:D,3,FALSE)</f>
        <v>CPV</v>
      </c>
      <c r="C5824" s="22">
        <v>2024</v>
      </c>
      <c r="D5824" t="s">
        <v>106</v>
      </c>
      <c r="E5824" t="s">
        <v>45</v>
      </c>
      <c r="F5824" t="str">
        <f>VLOOKUP(G5824,PC!B:D,2,FALSE)</f>
        <v>OUTROS</v>
      </c>
      <c r="G5824" s="4" t="s">
        <v>37</v>
      </c>
      <c r="H5824" s="1">
        <v>456.53</v>
      </c>
    </row>
    <row r="5825" spans="2:8" x14ac:dyDescent="0.2">
      <c r="B5825" t="str">
        <f>VLOOKUP(G5825,PC!B:D,3,FALSE)</f>
        <v>CPV</v>
      </c>
      <c r="C5825" s="22">
        <v>2024</v>
      </c>
      <c r="D5825" t="s">
        <v>106</v>
      </c>
      <c r="E5825" t="s">
        <v>237</v>
      </c>
      <c r="F5825" t="str">
        <f>VLOOKUP(G5825,PC!B:D,2,FALSE)</f>
        <v>SOBREMESA</v>
      </c>
      <c r="G5825" s="4" t="s">
        <v>8</v>
      </c>
      <c r="H5825" s="1">
        <v>305.52</v>
      </c>
    </row>
    <row r="5826" spans="2:8" x14ac:dyDescent="0.2">
      <c r="B5826" t="str">
        <f>VLOOKUP(G5826,PC!B:D,3,FALSE)</f>
        <v>CPV</v>
      </c>
      <c r="C5826" s="22">
        <v>2024</v>
      </c>
      <c r="D5826" t="s">
        <v>106</v>
      </c>
      <c r="E5826" t="s">
        <v>27</v>
      </c>
      <c r="F5826" t="str">
        <f>VLOOKUP(G5826,PC!B:D,2,FALSE)</f>
        <v>COMIDA</v>
      </c>
      <c r="G5826" s="4" t="s">
        <v>12</v>
      </c>
      <c r="H5826" s="1">
        <v>384.36</v>
      </c>
    </row>
    <row r="5827" spans="2:8" x14ac:dyDescent="0.2">
      <c r="B5827" t="str">
        <f>VLOOKUP(G5827,PC!B:D,3,FALSE)</f>
        <v>CPV</v>
      </c>
      <c r="C5827" s="22">
        <v>2024</v>
      </c>
      <c r="D5827" t="s">
        <v>106</v>
      </c>
      <c r="E5827" t="s">
        <v>156</v>
      </c>
      <c r="F5827" t="str">
        <f>VLOOKUP(G5827,PC!B:D,2,FALSE)</f>
        <v>BEBIDAS</v>
      </c>
      <c r="G5827" s="4" t="s">
        <v>26</v>
      </c>
      <c r="H5827" s="1">
        <v>1947.24</v>
      </c>
    </row>
    <row r="5828" spans="2:8" x14ac:dyDescent="0.2">
      <c r="B5828" t="str">
        <f>VLOOKUP(G5828,PC!B:D,3,FALSE)</f>
        <v>CPV</v>
      </c>
      <c r="C5828" s="22">
        <v>2024</v>
      </c>
      <c r="D5828" t="s">
        <v>106</v>
      </c>
      <c r="E5828" t="s">
        <v>208</v>
      </c>
      <c r="F5828" t="str">
        <f>VLOOKUP(G5828,PC!B:D,2,FALSE)</f>
        <v>SOBREMESA</v>
      </c>
      <c r="G5828" s="4" t="s">
        <v>8</v>
      </c>
      <c r="H5828" s="1">
        <v>302</v>
      </c>
    </row>
    <row r="5829" spans="2:8" x14ac:dyDescent="0.2">
      <c r="B5829" t="str">
        <f>VLOOKUP(G5829,PC!B:D,3,FALSE)</f>
        <v>CPV</v>
      </c>
      <c r="C5829" s="22">
        <v>2024</v>
      </c>
      <c r="D5829" t="s">
        <v>106</v>
      </c>
      <c r="E5829" t="s">
        <v>211</v>
      </c>
      <c r="F5829" t="str">
        <f>VLOOKUP(G5829,PC!B:D,2,FALSE)</f>
        <v>BEBIDAS</v>
      </c>
      <c r="G5829" s="4" t="s">
        <v>26</v>
      </c>
      <c r="H5829" s="1">
        <v>2309.88</v>
      </c>
    </row>
    <row r="5830" spans="2:8" x14ac:dyDescent="0.2">
      <c r="B5830" t="str">
        <f>VLOOKUP(G5830,PC!B:D,3,FALSE)</f>
        <v>CPV</v>
      </c>
      <c r="C5830" s="22">
        <v>2024</v>
      </c>
      <c r="D5830" t="s">
        <v>106</v>
      </c>
      <c r="E5830" t="s">
        <v>228</v>
      </c>
      <c r="F5830" t="str">
        <f>VLOOKUP(G5830,PC!B:D,2,FALSE)</f>
        <v>COMIDA</v>
      </c>
      <c r="G5830" s="4" t="s">
        <v>12</v>
      </c>
      <c r="H5830" s="1">
        <v>239.99</v>
      </c>
    </row>
    <row r="5831" spans="2:8" x14ac:dyDescent="0.2">
      <c r="B5831" t="str">
        <f>VLOOKUP(G5831,PC!B:D,3,FALSE)</f>
        <v>CPV</v>
      </c>
      <c r="C5831" s="22">
        <v>2024</v>
      </c>
      <c r="D5831" t="s">
        <v>106</v>
      </c>
      <c r="E5831" t="s">
        <v>6</v>
      </c>
      <c r="F5831" t="str">
        <f>VLOOKUP(G5831,PC!B:D,2,FALSE)</f>
        <v>COMIDA</v>
      </c>
      <c r="G5831" s="4" t="s">
        <v>18</v>
      </c>
      <c r="H5831" s="1">
        <v>221.12</v>
      </c>
    </row>
    <row r="5832" spans="2:8" x14ac:dyDescent="0.2">
      <c r="B5832" t="str">
        <f>VLOOKUP(G5832,PC!B:D,3,FALSE)</f>
        <v>CPV</v>
      </c>
      <c r="C5832" s="22">
        <v>2024</v>
      </c>
      <c r="D5832" t="s">
        <v>106</v>
      </c>
      <c r="E5832" t="s">
        <v>239</v>
      </c>
      <c r="F5832" t="str">
        <f>VLOOKUP(G5832,PC!B:D,2,FALSE)</f>
        <v>BEBIDAS</v>
      </c>
      <c r="G5832" s="4" t="s">
        <v>26</v>
      </c>
      <c r="H5832" s="1">
        <v>798</v>
      </c>
    </row>
    <row r="5833" spans="2:8" x14ac:dyDescent="0.2">
      <c r="B5833" t="str">
        <f>VLOOKUP(G5833,PC!B:D,3,FALSE)</f>
        <v>DESPESA PESSOAL</v>
      </c>
      <c r="C5833" s="22">
        <v>2024</v>
      </c>
      <c r="D5833" t="s">
        <v>106</v>
      </c>
      <c r="F5833" t="str">
        <f>VLOOKUP(G5833,PC!B:D,2,FALSE)</f>
        <v>DESPESA PESSOAL</v>
      </c>
      <c r="G5833" s="4" t="s">
        <v>68</v>
      </c>
      <c r="H5833" s="1">
        <v>250</v>
      </c>
    </row>
    <row r="5834" spans="2:8" x14ac:dyDescent="0.2">
      <c r="B5834" t="str">
        <f>VLOOKUP(G5834,PC!B:D,3,FALSE)</f>
        <v>SERV. PUBLICOS</v>
      </c>
      <c r="C5834" s="22">
        <v>2024</v>
      </c>
      <c r="D5834" t="s">
        <v>106</v>
      </c>
      <c r="F5834" t="str">
        <f>VLOOKUP(G5834,PC!B:D,2,FALSE)</f>
        <v>SERV. PUBLICOS</v>
      </c>
      <c r="G5834" s="4" t="s">
        <v>91</v>
      </c>
      <c r="H5834" s="1">
        <v>114.19</v>
      </c>
    </row>
    <row r="5835" spans="2:8" x14ac:dyDescent="0.2">
      <c r="B5835" t="str">
        <f>VLOOKUP(G5835,PC!B:D,3,FALSE)</f>
        <v>CPV</v>
      </c>
      <c r="C5835" s="22">
        <v>2024</v>
      </c>
      <c r="D5835" t="s">
        <v>106</v>
      </c>
      <c r="E5835" t="s">
        <v>227</v>
      </c>
      <c r="F5835" t="str">
        <f>VLOOKUP(G5835,PC!B:D,2,FALSE)</f>
        <v>BEBIDAS</v>
      </c>
      <c r="G5835" s="4" t="s">
        <v>39</v>
      </c>
      <c r="H5835" s="1">
        <v>850</v>
      </c>
    </row>
    <row r="5836" spans="2:8" x14ac:dyDescent="0.2">
      <c r="B5836" t="str">
        <f>VLOOKUP(G5836,PC!B:D,3,FALSE)</f>
        <v>DESPESA PESSOAL</v>
      </c>
      <c r="C5836" s="22">
        <v>2024</v>
      </c>
      <c r="D5836" t="s">
        <v>106</v>
      </c>
      <c r="F5836" t="str">
        <f>VLOOKUP(G5836,PC!B:D,2,FALSE)</f>
        <v>DESPESA PESSOAL</v>
      </c>
      <c r="G5836" s="4" t="s">
        <v>68</v>
      </c>
      <c r="H5836" s="1">
        <v>1414.5</v>
      </c>
    </row>
    <row r="5837" spans="2:8" x14ac:dyDescent="0.2">
      <c r="B5837" t="str">
        <f>VLOOKUP(G5837,PC!B:D,3,FALSE)</f>
        <v>CPV</v>
      </c>
      <c r="C5837" s="22">
        <v>2024</v>
      </c>
      <c r="D5837" t="s">
        <v>106</v>
      </c>
      <c r="E5837" t="s">
        <v>129</v>
      </c>
      <c r="F5837" t="str">
        <f>VLOOKUP(G5837,PC!B:D,2,FALSE)</f>
        <v>OUTROS</v>
      </c>
      <c r="G5837" s="4" t="s">
        <v>37</v>
      </c>
      <c r="H5837" s="1">
        <v>280</v>
      </c>
    </row>
    <row r="5838" spans="2:8" x14ac:dyDescent="0.2">
      <c r="B5838" t="str">
        <f>VLOOKUP(G5838,PC!B:D,3,FALSE)</f>
        <v>CPV</v>
      </c>
      <c r="C5838" s="22">
        <v>2024</v>
      </c>
      <c r="D5838" t="s">
        <v>106</v>
      </c>
      <c r="E5838" t="s">
        <v>129</v>
      </c>
      <c r="F5838" t="str">
        <f>VLOOKUP(G5838,PC!B:D,2,FALSE)</f>
        <v>SOBREMESA</v>
      </c>
      <c r="G5838" s="4" t="s">
        <v>75</v>
      </c>
      <c r="H5838" s="1">
        <v>500</v>
      </c>
    </row>
    <row r="5839" spans="2:8" x14ac:dyDescent="0.2">
      <c r="B5839" t="str">
        <f>VLOOKUP(G5839,PC!B:D,3,FALSE)</f>
        <v>CPV</v>
      </c>
      <c r="C5839" s="22">
        <v>2024</v>
      </c>
      <c r="D5839" t="s">
        <v>106</v>
      </c>
      <c r="E5839" t="s">
        <v>45</v>
      </c>
      <c r="F5839" t="str">
        <f>VLOOKUP(G5839,PC!B:D,2,FALSE)</f>
        <v>COMIDA</v>
      </c>
      <c r="G5839" s="4" t="s">
        <v>38</v>
      </c>
      <c r="H5839" s="1">
        <v>554.5</v>
      </c>
    </row>
    <row r="5840" spans="2:8" x14ac:dyDescent="0.2">
      <c r="B5840" t="str">
        <f>VLOOKUP(G5840,PC!B:D,3,FALSE)</f>
        <v>CPV</v>
      </c>
      <c r="C5840" s="22">
        <v>2024</v>
      </c>
      <c r="D5840" t="s">
        <v>106</v>
      </c>
      <c r="E5840" t="s">
        <v>49</v>
      </c>
      <c r="F5840" t="str">
        <f>VLOOKUP(G5840,PC!B:D,2,FALSE)</f>
        <v>CIGARRO</v>
      </c>
      <c r="G5840" s="4" t="s">
        <v>52</v>
      </c>
      <c r="H5840" s="1">
        <f>4461.49+15836</f>
        <v>20297.489999999998</v>
      </c>
    </row>
    <row r="5841" spans="2:8" x14ac:dyDescent="0.2">
      <c r="B5841" t="str">
        <f>VLOOKUP(G5841,PC!B:D,3,FALSE)</f>
        <v>CPV</v>
      </c>
      <c r="C5841" s="22">
        <v>2024</v>
      </c>
      <c r="D5841" t="s">
        <v>106</v>
      </c>
      <c r="E5841" t="s">
        <v>21</v>
      </c>
      <c r="F5841" t="str">
        <f>VLOOKUP(G5841,PC!B:D,2,FALSE)</f>
        <v>SOBREMESA</v>
      </c>
      <c r="G5841" s="4" t="s">
        <v>23</v>
      </c>
      <c r="H5841" s="1">
        <v>221.47</v>
      </c>
    </row>
    <row r="5842" spans="2:8" x14ac:dyDescent="0.2">
      <c r="B5842" t="str">
        <f>VLOOKUP(G5842,PC!B:D,3,FALSE)</f>
        <v>CPV</v>
      </c>
      <c r="C5842" s="22">
        <v>2024</v>
      </c>
      <c r="D5842" t="s">
        <v>106</v>
      </c>
      <c r="E5842" t="s">
        <v>24</v>
      </c>
      <c r="F5842" t="str">
        <f>VLOOKUP(G5842,PC!B:D,2,FALSE)</f>
        <v>COMIDA</v>
      </c>
      <c r="G5842" s="4" t="s">
        <v>33</v>
      </c>
      <c r="H5842" s="1">
        <v>553.20000000000005</v>
      </c>
    </row>
    <row r="5843" spans="2:8" x14ac:dyDescent="0.2">
      <c r="B5843" t="str">
        <f>VLOOKUP(G5843,PC!B:D,3,FALSE)</f>
        <v>CPV</v>
      </c>
      <c r="C5843" s="22">
        <v>2024</v>
      </c>
      <c r="D5843" t="s">
        <v>106</v>
      </c>
      <c r="E5843" t="s">
        <v>19</v>
      </c>
      <c r="F5843" t="str">
        <f>VLOOKUP(G5843,PC!B:D,2,FALSE)</f>
        <v>COMIDA</v>
      </c>
      <c r="G5843" s="4" t="s">
        <v>145</v>
      </c>
      <c r="H5843" s="1">
        <v>427</v>
      </c>
    </row>
    <row r="5844" spans="2:8" x14ac:dyDescent="0.2">
      <c r="B5844" t="str">
        <f>VLOOKUP(G5844,PC!B:D,3,FALSE)</f>
        <v>CPV</v>
      </c>
      <c r="C5844" s="22">
        <v>2024</v>
      </c>
      <c r="D5844" t="s">
        <v>106</v>
      </c>
      <c r="E5844" t="s">
        <v>19</v>
      </c>
      <c r="F5844" t="str">
        <f>VLOOKUP(G5844,PC!B:D,2,FALSE)</f>
        <v>COMIDA</v>
      </c>
      <c r="G5844" s="4" t="s">
        <v>22</v>
      </c>
      <c r="H5844" s="1">
        <v>197.68</v>
      </c>
    </row>
    <row r="5845" spans="2:8" x14ac:dyDescent="0.2">
      <c r="B5845" t="str">
        <f>VLOOKUP(G5845,PC!B:D,3,FALSE)</f>
        <v>CPV</v>
      </c>
      <c r="C5845" s="22">
        <v>2024</v>
      </c>
      <c r="D5845" t="s">
        <v>106</v>
      </c>
      <c r="E5845" t="s">
        <v>241</v>
      </c>
      <c r="F5845" t="str">
        <f>VLOOKUP(G5845,PC!B:D,2,FALSE)</f>
        <v>COMIDA</v>
      </c>
      <c r="G5845" s="4" t="s">
        <v>12</v>
      </c>
      <c r="H5845" s="1">
        <v>208.81</v>
      </c>
    </row>
    <row r="5846" spans="2:8" x14ac:dyDescent="0.2">
      <c r="B5846" t="str">
        <f>VLOOKUP(G5846,PC!B:D,3,FALSE)</f>
        <v>CPV</v>
      </c>
      <c r="C5846" s="22">
        <v>2024</v>
      </c>
      <c r="D5846" t="s">
        <v>106</v>
      </c>
      <c r="E5846" t="s">
        <v>21</v>
      </c>
      <c r="F5846" t="str">
        <f>VLOOKUP(G5846,PC!B:D,2,FALSE)</f>
        <v>SOBREMESA</v>
      </c>
      <c r="G5846" s="4" t="s">
        <v>23</v>
      </c>
      <c r="H5846" s="1">
        <v>127.5</v>
      </c>
    </row>
    <row r="5847" spans="2:8" x14ac:dyDescent="0.2">
      <c r="B5847" t="str">
        <f>VLOOKUP(G5847,PC!B:D,3,FALSE)</f>
        <v>CPV</v>
      </c>
      <c r="C5847" s="22">
        <v>2024</v>
      </c>
      <c r="D5847" t="s">
        <v>106</v>
      </c>
      <c r="E5847" t="s">
        <v>21</v>
      </c>
      <c r="F5847" t="str">
        <f>VLOOKUP(G5847,PC!B:D,2,FALSE)</f>
        <v>SOBREMESA</v>
      </c>
      <c r="G5847" s="4" t="s">
        <v>23</v>
      </c>
      <c r="H5847" s="1">
        <v>184.21</v>
      </c>
    </row>
    <row r="5848" spans="2:8" x14ac:dyDescent="0.2">
      <c r="B5848" t="str">
        <f>VLOOKUP(G5848,PC!B:D,3,FALSE)</f>
        <v>CPV</v>
      </c>
      <c r="C5848" s="22">
        <v>2024</v>
      </c>
      <c r="D5848" t="s">
        <v>106</v>
      </c>
      <c r="E5848" t="s">
        <v>237</v>
      </c>
      <c r="F5848" t="str">
        <f>VLOOKUP(G5848,PC!B:D,2,FALSE)</f>
        <v>HIGIENE</v>
      </c>
      <c r="G5848" s="4" t="s">
        <v>36</v>
      </c>
      <c r="H5848" s="1">
        <v>210.24</v>
      </c>
    </row>
    <row r="5849" spans="2:8" x14ac:dyDescent="0.2">
      <c r="B5849" t="str">
        <f>VLOOKUP(G5849,PC!B:D,3,FALSE)</f>
        <v>CPV</v>
      </c>
      <c r="C5849" s="22">
        <v>2024</v>
      </c>
      <c r="D5849" t="s">
        <v>106</v>
      </c>
      <c r="E5849" t="s">
        <v>208</v>
      </c>
      <c r="F5849" t="str">
        <f>VLOOKUP(G5849,PC!B:D,2,FALSE)</f>
        <v>SOBREMESA</v>
      </c>
      <c r="G5849" s="4" t="s">
        <v>8</v>
      </c>
      <c r="H5849" s="1">
        <v>160.63</v>
      </c>
    </row>
    <row r="5850" spans="2:8" x14ac:dyDescent="0.2">
      <c r="B5850" t="str">
        <f>VLOOKUP(G5850,PC!B:D,3,FALSE)</f>
        <v>CPV</v>
      </c>
      <c r="C5850" s="22">
        <v>2024</v>
      </c>
      <c r="D5850" t="s">
        <v>106</v>
      </c>
      <c r="E5850" t="s">
        <v>24</v>
      </c>
      <c r="F5850" t="str">
        <f>VLOOKUP(G5850,PC!B:D,2,FALSE)</f>
        <v>COMIDA</v>
      </c>
      <c r="G5850" s="4" t="s">
        <v>33</v>
      </c>
      <c r="H5850" s="1">
        <v>399.26</v>
      </c>
    </row>
    <row r="5851" spans="2:8" x14ac:dyDescent="0.2">
      <c r="B5851" t="str">
        <f>VLOOKUP(G5851,PC!B:D,3,FALSE)</f>
        <v>CPV</v>
      </c>
      <c r="C5851" s="22">
        <v>2024</v>
      </c>
      <c r="D5851" t="s">
        <v>106</v>
      </c>
      <c r="E5851" t="s">
        <v>237</v>
      </c>
      <c r="F5851" t="str">
        <f>VLOOKUP(G5851,PC!B:D,2,FALSE)</f>
        <v>BEBIDAS</v>
      </c>
      <c r="G5851" s="4" t="s">
        <v>46</v>
      </c>
      <c r="H5851" s="1">
        <v>306.77999999999997</v>
      </c>
    </row>
    <row r="5852" spans="2:8" x14ac:dyDescent="0.2">
      <c r="B5852" t="str">
        <f>VLOOKUP(G5852,PC!B:D,3,FALSE)</f>
        <v>CPV</v>
      </c>
      <c r="C5852" s="22">
        <v>2024</v>
      </c>
      <c r="D5852" t="s">
        <v>106</v>
      </c>
      <c r="E5852" t="s">
        <v>156</v>
      </c>
      <c r="F5852" t="str">
        <f>VLOOKUP(G5852,PC!B:D,2,FALSE)</f>
        <v>BEBIDAS</v>
      </c>
      <c r="G5852" s="4" t="s">
        <v>26</v>
      </c>
      <c r="H5852" s="1">
        <v>2194.4899999999998</v>
      </c>
    </row>
    <row r="5853" spans="2:8" x14ac:dyDescent="0.2">
      <c r="B5853" t="str">
        <f>VLOOKUP(G5853,PC!B:D,3,FALSE)</f>
        <v>CPV</v>
      </c>
      <c r="C5853" s="22">
        <v>2024</v>
      </c>
      <c r="D5853" t="s">
        <v>106</v>
      </c>
      <c r="E5853" t="s">
        <v>129</v>
      </c>
      <c r="F5853" t="str">
        <f>VLOOKUP(G5853,PC!B:D,2,FALSE)</f>
        <v>COMIDA</v>
      </c>
      <c r="G5853" s="4" t="s">
        <v>155</v>
      </c>
      <c r="H5853" s="1">
        <v>180</v>
      </c>
    </row>
    <row r="5854" spans="2:8" x14ac:dyDescent="0.2">
      <c r="B5854" t="str">
        <f>VLOOKUP(G5854,PC!B:D,3,FALSE)</f>
        <v>CPV</v>
      </c>
      <c r="C5854" s="22">
        <v>2024</v>
      </c>
      <c r="D5854" t="s">
        <v>106</v>
      </c>
      <c r="E5854" t="s">
        <v>129</v>
      </c>
      <c r="F5854" t="str">
        <f>VLOOKUP(G5854,PC!B:D,2,FALSE)</f>
        <v>SOBREMESA</v>
      </c>
      <c r="G5854" s="4" t="s">
        <v>7</v>
      </c>
      <c r="H5854" s="1">
        <v>161</v>
      </c>
    </row>
    <row r="5855" spans="2:8" x14ac:dyDescent="0.2">
      <c r="B5855" t="str">
        <f>VLOOKUP(G5855,PC!B:D,3,FALSE)</f>
        <v>CPV</v>
      </c>
      <c r="C5855" s="22">
        <v>2024</v>
      </c>
      <c r="D5855" t="s">
        <v>106</v>
      </c>
      <c r="E5855" t="s">
        <v>129</v>
      </c>
      <c r="F5855" t="str">
        <f>VLOOKUP(G5855,PC!B:D,2,FALSE)</f>
        <v>COMIDA</v>
      </c>
      <c r="G5855" s="4" t="s">
        <v>12</v>
      </c>
      <c r="H5855" s="1">
        <v>175</v>
      </c>
    </row>
    <row r="5856" spans="2:8" x14ac:dyDescent="0.2">
      <c r="B5856" t="str">
        <f>VLOOKUP(G5856,PC!B:D,3,FALSE)</f>
        <v>CPV</v>
      </c>
      <c r="C5856" s="22">
        <v>2024</v>
      </c>
      <c r="D5856" t="s">
        <v>106</v>
      </c>
      <c r="E5856" t="s">
        <v>129</v>
      </c>
      <c r="F5856" t="str">
        <f>VLOOKUP(G5856,PC!B:D,2,FALSE)</f>
        <v>OUTROS</v>
      </c>
      <c r="G5856" s="4" t="s">
        <v>37</v>
      </c>
      <c r="H5856" s="1">
        <v>705</v>
      </c>
    </row>
    <row r="5857" spans="2:8" x14ac:dyDescent="0.2">
      <c r="B5857" t="str">
        <f>VLOOKUP(G5857,PC!B:D,3,FALSE)</f>
        <v>DESPESA OPERACIONAL</v>
      </c>
      <c r="C5857" s="22">
        <v>2024</v>
      </c>
      <c r="D5857" t="s">
        <v>106</v>
      </c>
      <c r="E5857" t="s">
        <v>129</v>
      </c>
      <c r="F5857" t="str">
        <f>VLOOKUP(G5857,PC!B:D,2,FALSE)</f>
        <v>DESPESA OPERACIONAL</v>
      </c>
      <c r="G5857" s="4" t="s">
        <v>73</v>
      </c>
      <c r="H5857" s="1">
        <v>59</v>
      </c>
    </row>
    <row r="5858" spans="2:8" x14ac:dyDescent="0.2">
      <c r="B5858" t="str">
        <f>VLOOKUP(G5858,PC!B:D,3,FALSE)</f>
        <v>CPV</v>
      </c>
      <c r="C5858" s="22">
        <v>2024</v>
      </c>
      <c r="D5858" t="s">
        <v>106</v>
      </c>
      <c r="E5858" t="s">
        <v>129</v>
      </c>
      <c r="F5858" t="str">
        <f>VLOOKUP(G5858,PC!B:D,2,FALSE)</f>
        <v>BEBIDAS</v>
      </c>
      <c r="G5858" s="4" t="s">
        <v>48</v>
      </c>
      <c r="H5858" s="1">
        <v>228</v>
      </c>
    </row>
    <row r="5859" spans="2:8" x14ac:dyDescent="0.2">
      <c r="B5859" t="str">
        <f>VLOOKUP(G5859,PC!B:D,3,FALSE)</f>
        <v>CPV</v>
      </c>
      <c r="C5859" s="22">
        <v>2024</v>
      </c>
      <c r="D5859" t="s">
        <v>106</v>
      </c>
      <c r="E5859" t="s">
        <v>129</v>
      </c>
      <c r="F5859" t="str">
        <f>VLOOKUP(G5859,PC!B:D,2,FALSE)</f>
        <v>COMIDA</v>
      </c>
      <c r="G5859" s="4" t="s">
        <v>12</v>
      </c>
      <c r="H5859" s="1">
        <v>137</v>
      </c>
    </row>
    <row r="5860" spans="2:8" x14ac:dyDescent="0.2">
      <c r="B5860" t="str">
        <f>VLOOKUP(G5860,PC!B:D,3,FALSE)</f>
        <v>CPV</v>
      </c>
      <c r="C5860" s="22">
        <v>2024</v>
      </c>
      <c r="D5860" t="s">
        <v>106</v>
      </c>
      <c r="E5860" t="s">
        <v>129</v>
      </c>
      <c r="F5860" t="str">
        <f>VLOOKUP(G5860,PC!B:D,2,FALSE)</f>
        <v>COMIDA</v>
      </c>
      <c r="G5860" s="4" t="s">
        <v>12</v>
      </c>
      <c r="H5860" s="1">
        <v>400</v>
      </c>
    </row>
    <row r="5861" spans="2:8" x14ac:dyDescent="0.2">
      <c r="B5861" t="str">
        <f>VLOOKUP(G5861,PC!B:D,3,FALSE)</f>
        <v>CPV</v>
      </c>
      <c r="C5861" s="22">
        <v>2024</v>
      </c>
      <c r="D5861" t="s">
        <v>106</v>
      </c>
      <c r="E5861" t="s">
        <v>129</v>
      </c>
      <c r="F5861" t="str">
        <f>VLOOKUP(G5861,PC!B:D,2,FALSE)</f>
        <v>CIGARRO</v>
      </c>
      <c r="G5861" s="4" t="s">
        <v>53</v>
      </c>
      <c r="H5861" s="1">
        <v>620</v>
      </c>
    </row>
    <row r="5862" spans="2:8" x14ac:dyDescent="0.2">
      <c r="B5862" t="str">
        <f>VLOOKUP(G5862,PC!B:D,3,FALSE)</f>
        <v>CPV</v>
      </c>
      <c r="C5862" s="22">
        <v>2024</v>
      </c>
      <c r="D5862" t="s">
        <v>106</v>
      </c>
      <c r="E5862" t="s">
        <v>129</v>
      </c>
      <c r="F5862" t="str">
        <f>VLOOKUP(G5862,PC!B:D,2,FALSE)</f>
        <v>COMIDA</v>
      </c>
      <c r="G5862" s="4" t="s">
        <v>33</v>
      </c>
      <c r="H5862" s="1">
        <v>111</v>
      </c>
    </row>
    <row r="5863" spans="2:8" x14ac:dyDescent="0.2">
      <c r="B5863" t="str">
        <f>VLOOKUP(G5863,PC!B:D,3,FALSE)</f>
        <v>CPV</v>
      </c>
      <c r="C5863" s="22">
        <v>2024</v>
      </c>
      <c r="D5863" t="s">
        <v>106</v>
      </c>
      <c r="E5863" t="s">
        <v>129</v>
      </c>
      <c r="F5863" t="str">
        <f>VLOOKUP(G5863,PC!B:D,2,FALSE)</f>
        <v>BEBIDAS</v>
      </c>
      <c r="G5863" s="4" t="s">
        <v>46</v>
      </c>
      <c r="H5863" s="1">
        <v>132.80000000000001</v>
      </c>
    </row>
    <row r="5864" spans="2:8" x14ac:dyDescent="0.2">
      <c r="B5864" t="str">
        <f>VLOOKUP(G5864,PC!B:D,3,FALSE)</f>
        <v>CPV</v>
      </c>
      <c r="C5864" s="22">
        <v>2024</v>
      </c>
      <c r="D5864" t="s">
        <v>106</v>
      </c>
      <c r="E5864" t="s">
        <v>129</v>
      </c>
      <c r="F5864" t="str">
        <f>VLOOKUP(G5864,PC!B:D,2,FALSE)</f>
        <v>COMIDA</v>
      </c>
      <c r="G5864" s="4" t="s">
        <v>155</v>
      </c>
      <c r="H5864" s="1">
        <v>270</v>
      </c>
    </row>
    <row r="5865" spans="2:8" x14ac:dyDescent="0.2">
      <c r="B5865" t="str">
        <f>VLOOKUP(G5865,PC!B:D,3,FALSE)</f>
        <v>CPV</v>
      </c>
      <c r="C5865" s="22">
        <v>2024</v>
      </c>
      <c r="D5865" t="s">
        <v>106</v>
      </c>
      <c r="E5865" t="s">
        <v>129</v>
      </c>
      <c r="F5865" t="str">
        <f>VLOOKUP(G5865,PC!B:D,2,FALSE)</f>
        <v>SOBREMESA</v>
      </c>
      <c r="G5865" s="4" t="s">
        <v>23</v>
      </c>
      <c r="H5865" s="1">
        <v>56</v>
      </c>
    </row>
    <row r="5866" spans="2:8" x14ac:dyDescent="0.2">
      <c r="B5866" t="str">
        <f>VLOOKUP(G5866,PC!B:D,3,FALSE)</f>
        <v>CPV</v>
      </c>
      <c r="C5866" s="22">
        <v>2024</v>
      </c>
      <c r="D5866" t="s">
        <v>106</v>
      </c>
      <c r="E5866" t="s">
        <v>129</v>
      </c>
      <c r="F5866" t="str">
        <f>VLOOKUP(G5866,PC!B:D,2,FALSE)</f>
        <v>CIGARRO</v>
      </c>
      <c r="G5866" s="4" t="s">
        <v>53</v>
      </c>
      <c r="H5866" s="1">
        <v>770</v>
      </c>
    </row>
    <row r="5867" spans="2:8" x14ac:dyDescent="0.2">
      <c r="B5867" t="str">
        <f>VLOOKUP(G5867,PC!B:D,3,FALSE)</f>
        <v>CPV</v>
      </c>
      <c r="C5867" s="22">
        <v>2024</v>
      </c>
      <c r="D5867" t="s">
        <v>106</v>
      </c>
      <c r="E5867" t="s">
        <v>129</v>
      </c>
      <c r="F5867" t="str">
        <f>VLOOKUP(G5867,PC!B:D,2,FALSE)</f>
        <v>SOBREMESA</v>
      </c>
      <c r="G5867" s="4" t="s">
        <v>7</v>
      </c>
      <c r="H5867" s="1">
        <v>224</v>
      </c>
    </row>
    <row r="5868" spans="2:8" x14ac:dyDescent="0.2">
      <c r="B5868" t="str">
        <f>VLOOKUP(G5868,PC!B:D,3,FALSE)</f>
        <v>CPV</v>
      </c>
      <c r="C5868" s="22">
        <v>2024</v>
      </c>
      <c r="D5868" t="s">
        <v>106</v>
      </c>
      <c r="E5868" t="s">
        <v>129</v>
      </c>
      <c r="F5868" t="str">
        <f>VLOOKUP(G5868,PC!B:D,2,FALSE)</f>
        <v>COMIDA</v>
      </c>
      <c r="G5868" s="4" t="s">
        <v>33</v>
      </c>
      <c r="H5868" s="1">
        <v>84</v>
      </c>
    </row>
    <row r="5869" spans="2:8" x14ac:dyDescent="0.2">
      <c r="B5869" t="str">
        <f>VLOOKUP(G5869,PC!B:D,3,FALSE)</f>
        <v>CPV</v>
      </c>
      <c r="C5869" s="22">
        <v>2024</v>
      </c>
      <c r="D5869" t="s">
        <v>106</v>
      </c>
      <c r="E5869" t="s">
        <v>129</v>
      </c>
      <c r="F5869" t="str">
        <f>VLOOKUP(G5869,PC!B:D,2,FALSE)</f>
        <v>COMIDA</v>
      </c>
      <c r="G5869" s="4" t="s">
        <v>146</v>
      </c>
      <c r="H5869" s="1">
        <v>211</v>
      </c>
    </row>
    <row r="5870" spans="2:8" x14ac:dyDescent="0.2">
      <c r="B5870" t="str">
        <f>VLOOKUP(G5870,PC!B:D,3,FALSE)</f>
        <v>CPV</v>
      </c>
      <c r="C5870" s="22">
        <v>2024</v>
      </c>
      <c r="D5870" t="s">
        <v>106</v>
      </c>
      <c r="E5870" t="s">
        <v>129</v>
      </c>
      <c r="F5870" t="str">
        <f>VLOOKUP(G5870,PC!B:D,2,FALSE)</f>
        <v>SOBREMESA</v>
      </c>
      <c r="G5870" s="4" t="s">
        <v>7</v>
      </c>
      <c r="H5870" s="1">
        <v>56</v>
      </c>
    </row>
    <row r="5871" spans="2:8" x14ac:dyDescent="0.2">
      <c r="B5871" t="str">
        <f>VLOOKUP(G5871,PC!B:D,3,FALSE)</f>
        <v>CPV</v>
      </c>
      <c r="C5871" s="22">
        <v>2024</v>
      </c>
      <c r="D5871" t="s">
        <v>106</v>
      </c>
      <c r="E5871" t="s">
        <v>129</v>
      </c>
      <c r="F5871" t="str">
        <f>VLOOKUP(G5871,PC!B:D,2,FALSE)</f>
        <v>COMIDA</v>
      </c>
      <c r="G5871" s="6" t="s">
        <v>12</v>
      </c>
      <c r="H5871" s="1">
        <v>144</v>
      </c>
    </row>
    <row r="5872" spans="2:8" x14ac:dyDescent="0.2">
      <c r="B5872" t="str">
        <f>VLOOKUP(G5872,PC!B:D,3,FALSE)</f>
        <v>CPV</v>
      </c>
      <c r="C5872" s="22">
        <v>2024</v>
      </c>
      <c r="D5872" t="s">
        <v>106</v>
      </c>
      <c r="E5872" t="s">
        <v>129</v>
      </c>
      <c r="F5872" t="str">
        <f>VLOOKUP(G5872,PC!B:D,2,FALSE)</f>
        <v>COMIDA</v>
      </c>
      <c r="G5872" s="4" t="s">
        <v>33</v>
      </c>
      <c r="H5872" s="1">
        <v>72</v>
      </c>
    </row>
    <row r="5873" spans="2:8" x14ac:dyDescent="0.2">
      <c r="B5873" t="str">
        <f>VLOOKUP(G5873,PC!B:D,3,FALSE)</f>
        <v>CPV</v>
      </c>
      <c r="C5873" s="22">
        <v>2024</v>
      </c>
      <c r="D5873" t="s">
        <v>106</v>
      </c>
      <c r="E5873" t="s">
        <v>129</v>
      </c>
      <c r="F5873" t="str">
        <f>VLOOKUP(G5873,PC!B:D,2,FALSE)</f>
        <v>SOBREMESA</v>
      </c>
      <c r="G5873" s="4" t="s">
        <v>7</v>
      </c>
      <c r="H5873" s="1">
        <v>98</v>
      </c>
    </row>
    <row r="5874" spans="2:8" x14ac:dyDescent="0.2">
      <c r="B5874" t="str">
        <f>VLOOKUP(G5874,PC!B:D,3,FALSE)</f>
        <v>CPV</v>
      </c>
      <c r="C5874" s="22">
        <v>2024</v>
      </c>
      <c r="D5874" t="s">
        <v>106</v>
      </c>
      <c r="E5874" t="s">
        <v>129</v>
      </c>
      <c r="F5874" t="str">
        <f>VLOOKUP(G5874,PC!B:D,2,FALSE)</f>
        <v>BEBIDAS</v>
      </c>
      <c r="G5874" s="4" t="s">
        <v>39</v>
      </c>
      <c r="H5874" s="1">
        <v>365</v>
      </c>
    </row>
    <row r="5875" spans="2:8" x14ac:dyDescent="0.2">
      <c r="B5875" t="str">
        <f>VLOOKUP(G5875,PC!B:D,3,FALSE)</f>
        <v>CPV</v>
      </c>
      <c r="C5875" s="22">
        <v>2024</v>
      </c>
      <c r="D5875" t="s">
        <v>106</v>
      </c>
      <c r="E5875" t="s">
        <v>129</v>
      </c>
      <c r="F5875" t="str">
        <f>VLOOKUP(G5875,PC!B:D,2,FALSE)</f>
        <v>OUTROS</v>
      </c>
      <c r="G5875" s="4" t="s">
        <v>58</v>
      </c>
      <c r="H5875" s="1">
        <v>192</v>
      </c>
    </row>
    <row r="5876" spans="2:8" x14ac:dyDescent="0.2">
      <c r="B5876" t="str">
        <f>VLOOKUP(G5876,PC!B:D,3,FALSE)</f>
        <v>CPV</v>
      </c>
      <c r="C5876" s="22">
        <v>2024</v>
      </c>
      <c r="D5876" t="s">
        <v>106</v>
      </c>
      <c r="E5876" t="s">
        <v>129</v>
      </c>
      <c r="F5876" t="str">
        <f>VLOOKUP(G5876,PC!B:D,2,FALSE)</f>
        <v>CIGARRO</v>
      </c>
      <c r="G5876" s="4" t="s">
        <v>57</v>
      </c>
      <c r="H5876" s="1">
        <v>1718</v>
      </c>
    </row>
    <row r="5877" spans="2:8" x14ac:dyDescent="0.2">
      <c r="B5877" t="str">
        <f>VLOOKUP(G5877,PC!B:D,3,FALSE)</f>
        <v>CPV</v>
      </c>
      <c r="C5877" s="22">
        <v>2024</v>
      </c>
      <c r="D5877" t="s">
        <v>106</v>
      </c>
      <c r="E5877" t="s">
        <v>129</v>
      </c>
      <c r="F5877" t="str">
        <f>VLOOKUP(G5877,PC!B:D,2,FALSE)</f>
        <v>COMIDA</v>
      </c>
      <c r="G5877" s="4" t="s">
        <v>22</v>
      </c>
      <c r="H5877" s="1">
        <v>75</v>
      </c>
    </row>
    <row r="5878" spans="2:8" x14ac:dyDescent="0.2">
      <c r="B5878" t="str">
        <f>VLOOKUP(G5878,PC!B:D,3,FALSE)</f>
        <v>CPV</v>
      </c>
      <c r="C5878" s="22">
        <v>2024</v>
      </c>
      <c r="D5878" t="s">
        <v>106</v>
      </c>
      <c r="E5878" t="s">
        <v>129</v>
      </c>
      <c r="F5878" t="str">
        <f>VLOOKUP(G5878,PC!B:D,2,FALSE)</f>
        <v>BEBIDAS</v>
      </c>
      <c r="G5878" s="4" t="s">
        <v>46</v>
      </c>
      <c r="H5878" s="1">
        <v>436</v>
      </c>
    </row>
    <row r="5879" spans="2:8" x14ac:dyDescent="0.2">
      <c r="B5879" t="str">
        <f>VLOOKUP(G5879,PC!B:D,3,FALSE)</f>
        <v>CPV</v>
      </c>
      <c r="C5879" s="22">
        <v>2024</v>
      </c>
      <c r="D5879" t="s">
        <v>106</v>
      </c>
      <c r="E5879" t="s">
        <v>129</v>
      </c>
      <c r="F5879" t="str">
        <f>VLOOKUP(G5879,PC!B:D,2,FALSE)</f>
        <v>SOBREMESA</v>
      </c>
      <c r="G5879" s="4" t="s">
        <v>7</v>
      </c>
      <c r="H5879" s="1">
        <v>81</v>
      </c>
    </row>
    <row r="5880" spans="2:8" x14ac:dyDescent="0.2">
      <c r="B5880" t="str">
        <f>VLOOKUP(G5880,PC!B:D,3,FALSE)</f>
        <v>CPV</v>
      </c>
      <c r="C5880" s="22">
        <v>2024</v>
      </c>
      <c r="D5880" t="s">
        <v>106</v>
      </c>
      <c r="E5880" t="s">
        <v>226</v>
      </c>
      <c r="F5880" t="str">
        <f>VLOOKUP(G5880,PC!B:D,2,FALSE)</f>
        <v>BEBIDAS</v>
      </c>
      <c r="G5880" s="4" t="s">
        <v>25</v>
      </c>
      <c r="H5880" s="1">
        <f>421.84+745.44+765.35+1016.86+528.75+961.43+210+1626+998+445+355.97+143.78</f>
        <v>8218.42</v>
      </c>
    </row>
    <row r="5881" spans="2:8" x14ac:dyDescent="0.2">
      <c r="B5881" t="str">
        <f>VLOOKUP(G5881,PC!B:D,3,FALSE)</f>
        <v>CPV</v>
      </c>
      <c r="C5881" s="22">
        <v>2024</v>
      </c>
      <c r="D5881" t="s">
        <v>106</v>
      </c>
      <c r="E5881" t="s">
        <v>28</v>
      </c>
      <c r="F5881" t="str">
        <f>VLOOKUP(G5881,PC!B:D,2,FALSE)</f>
        <v>BEBIDAS</v>
      </c>
      <c r="G5881" s="4" t="s">
        <v>26</v>
      </c>
      <c r="H5881" s="1">
        <f>2174.3+4325.8+111+282.62+2888.79+745+260+99+41+5475+1891+4846+156+4973.82</f>
        <v>28269.33</v>
      </c>
    </row>
    <row r="5882" spans="2:8" x14ac:dyDescent="0.2">
      <c r="B5882" t="str">
        <f>VLOOKUP(G5882,PC!B:D,3,FALSE)</f>
        <v>DESPESA PESSOAL</v>
      </c>
      <c r="C5882" s="22">
        <v>2024</v>
      </c>
      <c r="D5882" t="s">
        <v>106</v>
      </c>
      <c r="F5882" t="str">
        <f>VLOOKUP(G5882,PC!B:D,2,FALSE)</f>
        <v>DESPESA PESSOAL</v>
      </c>
      <c r="G5882" s="4" t="s">
        <v>124</v>
      </c>
      <c r="H5882" s="1">
        <v>2400</v>
      </c>
    </row>
    <row r="5883" spans="2:8" x14ac:dyDescent="0.2">
      <c r="B5883" t="str">
        <f>VLOOKUP(G5883,PC!B:D,3,FALSE)</f>
        <v>CPV</v>
      </c>
      <c r="C5883" s="22">
        <v>2024</v>
      </c>
      <c r="D5883" t="s">
        <v>106</v>
      </c>
      <c r="E5883" t="s">
        <v>77</v>
      </c>
      <c r="F5883" t="str">
        <f>VLOOKUP(G5883,PC!B:D,2,FALSE)</f>
        <v>OUTROS</v>
      </c>
      <c r="G5883" s="4" t="s">
        <v>37</v>
      </c>
      <c r="H5883" s="1">
        <f>62+259+147+313</f>
        <v>781</v>
      </c>
    </row>
    <row r="5884" spans="2:8" x14ac:dyDescent="0.2">
      <c r="B5884" t="str">
        <f>VLOOKUP(G5884,PC!B:D,3,FALSE)</f>
        <v>DESPESA FINANCEIRA</v>
      </c>
      <c r="C5884" s="22">
        <v>2024</v>
      </c>
      <c r="D5884" t="s">
        <v>106</v>
      </c>
      <c r="F5884" t="str">
        <f>VLOOKUP(G5884,PC!B:D,2,FALSE)</f>
        <v>DESPESA FINANCEIRA</v>
      </c>
      <c r="G5884" s="4" t="s">
        <v>90</v>
      </c>
      <c r="H5884" s="1">
        <v>781.38</v>
      </c>
    </row>
    <row r="5885" spans="2:8" x14ac:dyDescent="0.2">
      <c r="B5885" t="e">
        <f>VLOOKUP(G5885,PC!B:D,3,FALSE)</f>
        <v>#N/A</v>
      </c>
      <c r="C5885" s="22">
        <v>2024</v>
      </c>
      <c r="D5885" t="s">
        <v>106</v>
      </c>
      <c r="F5885" t="e">
        <f>VLOOKUP(G5885,PC!B:D,2,FALSE)</f>
        <v>#N/A</v>
      </c>
      <c r="G5885" s="4" t="s">
        <v>245</v>
      </c>
      <c r="H5885" s="1">
        <v>19.5</v>
      </c>
    </row>
    <row r="5886" spans="2:8" x14ac:dyDescent="0.2">
      <c r="B5886" t="str">
        <f>VLOOKUP(G5886,PC!B:D,3,FALSE)</f>
        <v>DESCONTO DE FATURAMENTO</v>
      </c>
      <c r="C5886" s="22">
        <v>2024</v>
      </c>
      <c r="D5886" t="s">
        <v>106</v>
      </c>
      <c r="F5886" t="str">
        <f>VLOOKUP(G5886,PC!B:D,2,FALSE)</f>
        <v>IMPOSTO</v>
      </c>
      <c r="G5886" s="4" t="s">
        <v>88</v>
      </c>
      <c r="H5886" s="1">
        <v>5101.6000000000004</v>
      </c>
    </row>
    <row r="5887" spans="2:8" x14ac:dyDescent="0.2">
      <c r="B5887" t="str">
        <f>VLOOKUP(G5887,PC!B:D,3,FALSE)</f>
        <v>SERV.TERCEIROS</v>
      </c>
      <c r="C5887" s="22">
        <v>2024</v>
      </c>
      <c r="D5887" t="s">
        <v>106</v>
      </c>
      <c r="F5887" t="str">
        <f>VLOOKUP(G5887,PC!B:D,2,FALSE)</f>
        <v>SERV.TERCEIROS</v>
      </c>
      <c r="G5887" s="4" t="s">
        <v>60</v>
      </c>
      <c r="H5887" s="1">
        <v>900</v>
      </c>
    </row>
    <row r="5888" spans="2:8" x14ac:dyDescent="0.2">
      <c r="B5888" t="str">
        <f>VLOOKUP(G5888,PC!B:D,3,FALSE)</f>
        <v>DESPESA PESSOAL</v>
      </c>
      <c r="C5888" s="22">
        <v>2024</v>
      </c>
      <c r="D5888" t="s">
        <v>106</v>
      </c>
      <c r="F5888" t="str">
        <f>VLOOKUP(G5888,PC!B:D,2,FALSE)</f>
        <v>DESPESA PESSOAL</v>
      </c>
      <c r="G5888" s="4" t="s">
        <v>56</v>
      </c>
      <c r="H5888" s="1">
        <f>5*450</f>
        <v>2250</v>
      </c>
    </row>
    <row r="5889" spans="2:8" x14ac:dyDescent="0.2">
      <c r="B5889" t="str">
        <f>VLOOKUP(G5889,PC!B:D,3,FALSE)</f>
        <v>DESPESA PESSOAL</v>
      </c>
      <c r="C5889" s="22">
        <v>2024</v>
      </c>
      <c r="D5889" t="s">
        <v>106</v>
      </c>
      <c r="F5889" t="str">
        <f>VLOOKUP(G5889,PC!B:D,2,FALSE)</f>
        <v>DESPESA PESSOAL</v>
      </c>
      <c r="G5889" s="4" t="s">
        <v>56</v>
      </c>
      <c r="H5889" s="1">
        <v>1200</v>
      </c>
    </row>
    <row r="5890" spans="2:8" x14ac:dyDescent="0.2">
      <c r="B5890" t="e">
        <f>VLOOKUP(G5890,PC!B:D,3,FALSE)</f>
        <v>#N/A</v>
      </c>
      <c r="C5890" s="22">
        <v>2024</v>
      </c>
      <c r="D5890" t="s">
        <v>106</v>
      </c>
      <c r="F5890" t="e">
        <f>VLOOKUP(G5890,PC!B:D,2,FALSE)</f>
        <v>#N/A</v>
      </c>
      <c r="G5890" s="4" t="s">
        <v>157</v>
      </c>
      <c r="H5890" s="1">
        <f>117.36*2</f>
        <v>234.72</v>
      </c>
    </row>
    <row r="5891" spans="2:8" x14ac:dyDescent="0.2">
      <c r="B5891" t="e">
        <f>VLOOKUP(G5891,PC!B:D,3,FALSE)</f>
        <v>#N/A</v>
      </c>
      <c r="C5891" s="22">
        <v>2024</v>
      </c>
      <c r="D5891" t="s">
        <v>102</v>
      </c>
      <c r="F5891" t="e">
        <f>VLOOKUP(G5891,PC!B:D,2,FALSE)</f>
        <v>#N/A</v>
      </c>
      <c r="G5891" s="4" t="s">
        <v>245</v>
      </c>
      <c r="H5891" s="1">
        <v>19.5</v>
      </c>
    </row>
    <row r="5892" spans="2:8" x14ac:dyDescent="0.2">
      <c r="B5892" t="str">
        <f>VLOOKUP(G5892,PC!B:D,3,FALSE)</f>
        <v>SERV.TERCEIROS</v>
      </c>
      <c r="C5892" s="22">
        <v>2024</v>
      </c>
      <c r="D5892" t="s">
        <v>102</v>
      </c>
      <c r="F5892" t="str">
        <f>VLOOKUP(G5892,PC!B:D,2,FALSE)</f>
        <v>SERV.TERCEIROS</v>
      </c>
      <c r="G5892" s="4" t="s">
        <v>60</v>
      </c>
      <c r="H5892" s="1">
        <v>450</v>
      </c>
    </row>
    <row r="5893" spans="2:8" x14ac:dyDescent="0.2">
      <c r="B5893" t="str">
        <f>VLOOKUP(G5893,PC!B:D,3,FALSE)</f>
        <v>RECEITA</v>
      </c>
      <c r="C5893" s="22">
        <v>2024</v>
      </c>
      <c r="D5893" t="s">
        <v>106</v>
      </c>
      <c r="F5893" t="str">
        <f>VLOOKUP(G5893,PC!B:D,2,FALSE)</f>
        <v>RECEITA</v>
      </c>
      <c r="G5893" s="4" t="s">
        <v>54</v>
      </c>
      <c r="H5893" s="1">
        <v>331.3</v>
      </c>
    </row>
    <row r="5894" spans="2:8" x14ac:dyDescent="0.2">
      <c r="B5894" t="str">
        <f>VLOOKUP(G5894,PC!B:D,3,FALSE)</f>
        <v>INVESTIMENTO</v>
      </c>
      <c r="C5894" s="22">
        <v>2024</v>
      </c>
      <c r="D5894" t="s">
        <v>98</v>
      </c>
      <c r="F5894" t="str">
        <f>VLOOKUP(G5894,PC!B:D,2,FALSE)</f>
        <v>INVESTIMENTO</v>
      </c>
      <c r="G5894" s="4" t="s">
        <v>130</v>
      </c>
      <c r="H5894" s="1">
        <v>660</v>
      </c>
    </row>
    <row r="5895" spans="2:8" x14ac:dyDescent="0.2">
      <c r="B5895" t="str">
        <f>VLOOKUP(G5895,PC!B:D,3,FALSE)</f>
        <v>CPV</v>
      </c>
      <c r="C5895" s="22">
        <v>2024</v>
      </c>
      <c r="D5895" t="s">
        <v>106</v>
      </c>
      <c r="E5895" t="s">
        <v>28</v>
      </c>
      <c r="F5895" t="str">
        <f>VLOOKUP(G5895,PC!B:D,2,FALSE)</f>
        <v>BEBIDAS</v>
      </c>
      <c r="G5895" s="4" t="s">
        <v>26</v>
      </c>
      <c r="H5895" s="1">
        <v>874</v>
      </c>
    </row>
    <row r="5896" spans="2:8" x14ac:dyDescent="0.2">
      <c r="B5896" t="str">
        <f>VLOOKUP(G5896,PC!B:D,3,FALSE)</f>
        <v>CPV</v>
      </c>
      <c r="C5896" s="22">
        <v>2024</v>
      </c>
      <c r="D5896" t="s">
        <v>106</v>
      </c>
      <c r="E5896" t="s">
        <v>16</v>
      </c>
      <c r="F5896" t="str">
        <f>VLOOKUP(G5896,PC!B:D,2,FALSE)</f>
        <v>COMIDA</v>
      </c>
      <c r="G5896" s="4" t="s">
        <v>12</v>
      </c>
      <c r="H5896" s="1">
        <v>274</v>
      </c>
    </row>
    <row r="5897" spans="2:8" x14ac:dyDescent="0.2">
      <c r="B5897" t="str">
        <f>VLOOKUP(G5897,PC!B:D,3,FALSE)</f>
        <v>CPV</v>
      </c>
      <c r="C5897" s="22">
        <v>2024</v>
      </c>
      <c r="D5897" t="s">
        <v>106</v>
      </c>
      <c r="E5897" t="s">
        <v>27</v>
      </c>
      <c r="F5897" t="str">
        <f>VLOOKUP(G5897,PC!B:D,2,FALSE)</f>
        <v>COMIDA</v>
      </c>
      <c r="G5897" s="4" t="s">
        <v>12</v>
      </c>
      <c r="H5897" s="1">
        <v>177</v>
      </c>
    </row>
    <row r="5898" spans="2:8" x14ac:dyDescent="0.2">
      <c r="B5898" t="str">
        <f>VLOOKUP(G5898,PC!B:D,3,FALSE)</f>
        <v>CPV</v>
      </c>
      <c r="C5898" s="22">
        <v>2024</v>
      </c>
      <c r="D5898" t="s">
        <v>106</v>
      </c>
      <c r="E5898" t="s">
        <v>78</v>
      </c>
      <c r="F5898" t="str">
        <f>VLOOKUP(G5898,PC!B:D,2,FALSE)</f>
        <v>CIGARRO</v>
      </c>
      <c r="G5898" s="4" t="s">
        <v>82</v>
      </c>
      <c r="H5898" s="1">
        <v>28</v>
      </c>
    </row>
    <row r="5899" spans="2:8" x14ac:dyDescent="0.2">
      <c r="B5899" t="str">
        <f>VLOOKUP(G5899,PC!B:D,3,FALSE)</f>
        <v>CPV</v>
      </c>
      <c r="C5899" s="22">
        <v>2024</v>
      </c>
      <c r="D5899" t="s">
        <v>106</v>
      </c>
      <c r="E5899" t="s">
        <v>211</v>
      </c>
      <c r="F5899" t="str">
        <f>VLOOKUP(G5899,PC!B:D,2,FALSE)</f>
        <v>BEBIDAS</v>
      </c>
      <c r="G5899" s="4" t="s">
        <v>26</v>
      </c>
      <c r="H5899" s="1">
        <v>1065</v>
      </c>
    </row>
    <row r="5900" spans="2:8" x14ac:dyDescent="0.2">
      <c r="B5900" t="str">
        <f>VLOOKUP(G5900,PC!B:D,3,FALSE)</f>
        <v>CPV</v>
      </c>
      <c r="C5900" s="22">
        <v>2024</v>
      </c>
      <c r="D5900" t="s">
        <v>106</v>
      </c>
      <c r="E5900" t="s">
        <v>10</v>
      </c>
      <c r="F5900" t="str">
        <f>VLOOKUP(G5900,PC!B:D,2,FALSE)</f>
        <v>COMIDA</v>
      </c>
      <c r="G5900" s="4" t="s">
        <v>12</v>
      </c>
      <c r="H5900" s="1">
        <v>90</v>
      </c>
    </row>
  </sheetData>
  <autoFilter ref="B6:XEZ4008" xr:uid="{E62725D1-F4AB-1B45-888B-52C95D94AEAA}"/>
  <phoneticPr fontId="2" type="noConversion"/>
  <hyperlinks>
    <hyperlink ref="H3648" r:id="rId1" display="\\\\\\\964,70" xr:uid="{519F6325-97EB-9E44-9C3D-F35339BFC0D2}"/>
  </hyperlinks>
  <pageMargins left="0.511811024" right="0.511811024" top="0.78740157499999996" bottom="0.78740157499999996" header="0.31496062000000002" footer="0.31496062000000002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PC</vt:lpstr>
      <vt:lpstr>LANÇAMENTO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Kássio Policarpo</cp:lastModifiedBy>
  <dcterms:created xsi:type="dcterms:W3CDTF">2019-02-06T17:53:01Z</dcterms:created>
  <dcterms:modified xsi:type="dcterms:W3CDTF">2025-08-19T20:19:05Z</dcterms:modified>
  <cp:category/>
</cp:coreProperties>
</file>