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yisepipp-my.sharepoint.com/personal/1221121_isep_ipp_pt/Documents/"/>
    </mc:Choice>
  </mc:AlternateContent>
  <xr:revisionPtr revIDLastSave="0" documentId="8_{51FEECEC-06A3-4B50-A04B-40D07E628FFB}" xr6:coauthVersionLast="47" xr6:coauthVersionMax="47" xr10:uidLastSave="{00000000-0000-0000-0000-000000000000}"/>
  <bookViews>
    <workbookView xWindow="-28920" yWindow="-5790" windowWidth="29040" windowHeight="15720" firstSheet="3" activeTab="3" xr2:uid="{832CB2EE-EE86-A349-A33C-3190CBD95F31}"/>
  </bookViews>
  <sheets>
    <sheet name="Dados" sheetId="1" r:id="rId1"/>
    <sheet name="ex1" sheetId="8" r:id="rId2"/>
    <sheet name="ex2" sheetId="3" r:id="rId3"/>
    <sheet name="ex3" sheetId="4" r:id="rId4"/>
    <sheet name="ex4" sheetId="5" r:id="rId5"/>
    <sheet name="ex5" sheetId="7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1" i="4" l="1"/>
  <c r="B29" i="4"/>
  <c r="D16" i="4"/>
  <c r="E11" i="4"/>
  <c r="C11" i="4"/>
  <c r="O15" i="8" l="1"/>
  <c r="E10" i="4"/>
  <c r="C51" i="8" l="1"/>
  <c r="AE51" i="8"/>
  <c r="AH66" i="8" s="1"/>
  <c r="D81" i="8"/>
  <c r="AF81" i="8"/>
  <c r="F5" i="7"/>
  <c r="D211" i="3"/>
  <c r="D210" i="3"/>
  <c r="D207" i="3"/>
  <c r="D206" i="3"/>
  <c r="D205" i="3"/>
  <c r="C198" i="3"/>
  <c r="C187" i="3"/>
  <c r="C22" i="8"/>
  <c r="C21" i="8"/>
  <c r="C20" i="8"/>
  <c r="C19" i="8"/>
  <c r="C18" i="8"/>
  <c r="C17" i="8"/>
  <c r="C16" i="8"/>
  <c r="C25" i="8" s="1"/>
  <c r="C19" i="4"/>
  <c r="B6" i="5"/>
  <c r="F6" i="5"/>
  <c r="F7" i="5"/>
  <c r="F5" i="5"/>
  <c r="AF63" i="8"/>
  <c r="AF64" i="8" s="1"/>
  <c r="D63" i="8"/>
  <c r="D64" i="8" s="1"/>
  <c r="AE52" i="8"/>
  <c r="AE53" i="8"/>
  <c r="AE17" i="8"/>
  <c r="AE18" i="8"/>
  <c r="AE19" i="8"/>
  <c r="AE20" i="8"/>
  <c r="AE21" i="8"/>
  <c r="AE22" i="8"/>
  <c r="AE16" i="8"/>
  <c r="AI16" i="8" s="1"/>
  <c r="AI17" i="8" s="1"/>
  <c r="H9" i="4" l="1"/>
  <c r="J9" i="4"/>
  <c r="AJ66" i="8"/>
  <c r="AL80" i="8" a="1"/>
  <c r="AL80" i="8" s="1"/>
  <c r="C11" i="5"/>
  <c r="AI18" i="8"/>
  <c r="AI19" i="8" s="1"/>
  <c r="AI20" i="8" s="1"/>
  <c r="AI21" i="8" s="1"/>
  <c r="AI22" i="8" s="1"/>
  <c r="AE25" i="8"/>
  <c r="C10" i="4" l="1"/>
  <c r="P10" i="5"/>
  <c r="G16" i="8"/>
  <c r="G17" i="8" s="1"/>
  <c r="G18" i="8" s="1"/>
  <c r="G19" i="8" s="1"/>
  <c r="G20" i="8" s="1"/>
  <c r="G21" i="8" s="1"/>
  <c r="G22" i="8" s="1"/>
  <c r="F8" i="5"/>
  <c r="R7" i="5"/>
  <c r="E22" i="8"/>
  <c r="H113" i="3"/>
  <c r="D114" i="3"/>
  <c r="D113" i="3"/>
  <c r="D7" i="3"/>
  <c r="D6" i="3"/>
  <c r="B5" i="5"/>
  <c r="C52" i="8"/>
  <c r="C53" i="8"/>
  <c r="J9" i="7"/>
  <c r="J10" i="7" s="1"/>
  <c r="H6" i="3"/>
  <c r="H8" i="3"/>
  <c r="D23" i="3"/>
  <c r="D8" i="3"/>
  <c r="C23" i="3"/>
  <c r="C20" i="3"/>
  <c r="F20" i="3"/>
  <c r="D20" i="3"/>
  <c r="F22" i="3"/>
  <c r="C16" i="3"/>
  <c r="C19" i="3"/>
  <c r="C21" i="3"/>
  <c r="F21" i="3"/>
  <c r="D21" i="3"/>
  <c r="C22" i="3"/>
  <c r="D22" i="3"/>
  <c r="F16" i="3"/>
  <c r="F19" i="3"/>
  <c r="F23" i="3"/>
  <c r="D16" i="3"/>
  <c r="D19" i="3"/>
  <c r="C17" i="3"/>
  <c r="F17" i="3"/>
  <c r="D17" i="3"/>
  <c r="F71" i="3" a="1"/>
  <c r="F71" i="3"/>
  <c r="C18" i="3"/>
  <c r="F18" i="3"/>
  <c r="D18" i="3"/>
  <c r="F56" i="3" a="1"/>
  <c r="F56" i="3"/>
  <c r="F82" i="3" a="1"/>
  <c r="F82" i="3"/>
  <c r="F85" i="3"/>
  <c r="F59" i="3"/>
  <c r="F74" i="3"/>
  <c r="H16" i="3"/>
  <c r="J16" i="3"/>
  <c r="J23" i="3"/>
  <c r="H23" i="3"/>
  <c r="H18" i="3"/>
  <c r="J18" i="3"/>
  <c r="J22" i="3"/>
  <c r="H22" i="3"/>
  <c r="J20" i="3"/>
  <c r="H20" i="3"/>
  <c r="J17" i="3"/>
  <c r="H17" i="3"/>
  <c r="H19" i="3"/>
  <c r="J19" i="3"/>
  <c r="J21" i="3"/>
  <c r="H21" i="3"/>
  <c r="S16" i="3"/>
  <c r="S21" i="3"/>
  <c r="S22" i="3"/>
  <c r="S19" i="3"/>
  <c r="S18" i="3"/>
  <c r="S17" i="3"/>
  <c r="S23" i="3"/>
  <c r="S20" i="3"/>
  <c r="N16" i="3"/>
  <c r="N17" i="3"/>
  <c r="N18" i="3"/>
  <c r="N19" i="3"/>
  <c r="N20" i="3"/>
  <c r="N21" i="3"/>
  <c r="N22" i="3"/>
  <c r="N23" i="3"/>
  <c r="J25" i="3"/>
  <c r="L18" i="3"/>
  <c r="S25" i="3"/>
  <c r="L16" i="3"/>
  <c r="L23" i="3"/>
  <c r="L17" i="3"/>
  <c r="F73" i="3" a="1"/>
  <c r="F73" i="3"/>
  <c r="L19" i="3"/>
  <c r="L22" i="3"/>
  <c r="L20" i="3"/>
  <c r="L21" i="3"/>
  <c r="F58" i="3" a="1"/>
  <c r="F58" i="3"/>
  <c r="F84" i="3" a="1"/>
  <c r="F84" i="3"/>
  <c r="C51" i="3"/>
  <c r="B5" i="7" s="1"/>
  <c r="P16" i="3"/>
  <c r="L25" i="3"/>
  <c r="F72" i="3" a="1"/>
  <c r="F72" i="3"/>
  <c r="C80" i="3"/>
  <c r="D93" i="3"/>
  <c r="Y17" i="3"/>
  <c r="P17" i="3"/>
  <c r="P18" i="3"/>
  <c r="F57" i="3" a="1"/>
  <c r="F57" i="3"/>
  <c r="C53" i="3"/>
  <c r="W19" i="3"/>
  <c r="W16" i="3"/>
  <c r="Y16" i="3"/>
  <c r="U17" i="3"/>
  <c r="W20" i="3"/>
  <c r="Y23" i="3"/>
  <c r="U19" i="3"/>
  <c r="Y22" i="3"/>
  <c r="Y18" i="3"/>
  <c r="U23" i="3"/>
  <c r="Y19" i="3"/>
  <c r="U16" i="3"/>
  <c r="W22" i="3"/>
  <c r="U18" i="3"/>
  <c r="W23" i="3"/>
  <c r="Y21" i="3"/>
  <c r="W17" i="3"/>
  <c r="Y20" i="3"/>
  <c r="U20" i="3"/>
  <c r="U22" i="3"/>
  <c r="U21" i="3"/>
  <c r="W18" i="3"/>
  <c r="W21" i="3"/>
  <c r="P19" i="3"/>
  <c r="P20" i="3"/>
  <c r="P21" i="3"/>
  <c r="P22" i="3"/>
  <c r="P23" i="3"/>
  <c r="F83" i="3" a="1"/>
  <c r="F83" i="3"/>
  <c r="C91" i="3"/>
  <c r="D94" i="3"/>
  <c r="U25" i="3"/>
  <c r="D98" i="3" s="1"/>
  <c r="D99" i="3" s="1"/>
  <c r="D100" i="3" s="1"/>
  <c r="Y25" i="3"/>
  <c r="W25" i="3"/>
  <c r="D103" i="3" s="1"/>
  <c r="E103" i="3" a="1"/>
  <c r="E103" i="3"/>
  <c r="D104" i="3"/>
  <c r="E104" i="3" a="1"/>
  <c r="E104" i="3"/>
  <c r="B6" i="7"/>
  <c r="H115" i="3" l="1"/>
  <c r="D115" i="3"/>
  <c r="F124" i="3"/>
  <c r="F125" i="3"/>
  <c r="F126" i="3"/>
  <c r="F127" i="3"/>
  <c r="F128" i="3"/>
  <c r="F129" i="3"/>
  <c r="F130" i="3"/>
  <c r="F123" i="3"/>
  <c r="D124" i="3"/>
  <c r="D125" i="3"/>
  <c r="D126" i="3"/>
  <c r="D127" i="3"/>
  <c r="D128" i="3"/>
  <c r="D129" i="3"/>
  <c r="D130" i="3"/>
  <c r="D123" i="3"/>
  <c r="C124" i="3"/>
  <c r="C125" i="3"/>
  <c r="C126" i="3"/>
  <c r="C127" i="3"/>
  <c r="C128" i="3"/>
  <c r="C129" i="3"/>
  <c r="C130" i="3"/>
  <c r="C123" i="3"/>
  <c r="E17" i="8"/>
  <c r="E16" i="8"/>
  <c r="AG21" i="8"/>
  <c r="AG20" i="8"/>
  <c r="AG19" i="8"/>
  <c r="AG17" i="8"/>
  <c r="AG18" i="8"/>
  <c r="AG16" i="8"/>
  <c r="AG22" i="8"/>
  <c r="E21" i="8"/>
  <c r="E20" i="8"/>
  <c r="E19" i="8"/>
  <c r="E18" i="8"/>
  <c r="B7" i="5"/>
  <c r="B8" i="5" s="1"/>
  <c r="J123" i="3" l="1"/>
  <c r="H123" i="3"/>
  <c r="J130" i="3"/>
  <c r="H130" i="3"/>
  <c r="J129" i="3"/>
  <c r="H129" i="3"/>
  <c r="J128" i="3"/>
  <c r="H128" i="3"/>
  <c r="J127" i="3"/>
  <c r="H127" i="3"/>
  <c r="J126" i="3"/>
  <c r="F163" i="3" a="1"/>
  <c r="F163" i="3" s="1"/>
  <c r="H126" i="3"/>
  <c r="J125" i="3"/>
  <c r="F189" i="3" a="1"/>
  <c r="F189" i="3" s="1"/>
  <c r="H125" i="3"/>
  <c r="H124" i="3"/>
  <c r="J124" i="3"/>
  <c r="F178" i="3" a="1"/>
  <c r="F178" i="3" s="1"/>
  <c r="F192" i="3"/>
  <c r="F181" i="3"/>
  <c r="F166" i="3"/>
  <c r="P12" i="5"/>
  <c r="C15" i="5" s="1"/>
  <c r="AK16" i="8"/>
  <c r="AK17" i="8" s="1"/>
  <c r="AK18" i="8" s="1"/>
  <c r="AK19" i="8" s="1"/>
  <c r="AK20" i="8" s="1"/>
  <c r="AK21" i="8" s="1"/>
  <c r="AK22" i="8" s="1"/>
  <c r="AG25" i="8"/>
  <c r="D80" i="8" a="1"/>
  <c r="D80" i="8" s="1"/>
  <c r="I16" i="8"/>
  <c r="I17" i="8" s="1"/>
  <c r="I18" i="8" s="1"/>
  <c r="I19" i="8" s="1"/>
  <c r="I20" i="8" s="1"/>
  <c r="I21" i="8" s="1"/>
  <c r="I22" i="8" s="1"/>
  <c r="E25" i="8"/>
  <c r="S124" i="3" l="1"/>
  <c r="S125" i="3"/>
  <c r="S126" i="3"/>
  <c r="S127" i="3"/>
  <c r="S128" i="3"/>
  <c r="S129" i="3"/>
  <c r="S130" i="3"/>
  <c r="S123" i="3"/>
  <c r="S132" i="3" s="1"/>
  <c r="N123" i="3"/>
  <c r="N124" i="3" s="1"/>
  <c r="N125" i="3" s="1"/>
  <c r="N126" i="3" s="1"/>
  <c r="N127" i="3" s="1"/>
  <c r="N128" i="3" s="1"/>
  <c r="N129" i="3" s="1"/>
  <c r="N130" i="3" s="1"/>
  <c r="J132" i="3"/>
  <c r="C14" i="5"/>
  <c r="B18" i="5" s="1"/>
  <c r="F66" i="8"/>
  <c r="H66" i="8"/>
  <c r="AN68" i="8"/>
  <c r="L68" i="8" l="1"/>
  <c r="L124" i="3"/>
  <c r="F180" i="3" s="1" a="1"/>
  <c r="F180" i="3" s="1"/>
  <c r="L125" i="3"/>
  <c r="F191" i="3" s="1" a="1"/>
  <c r="F191" i="3" s="1"/>
  <c r="L126" i="3"/>
  <c r="F165" i="3" s="1" a="1"/>
  <c r="F165" i="3" s="1"/>
  <c r="L127" i="3"/>
  <c r="L128" i="3"/>
  <c r="L129" i="3"/>
  <c r="L130" i="3"/>
  <c r="L123" i="3"/>
  <c r="C158" i="3"/>
  <c r="D5" i="7" l="1"/>
  <c r="B12" i="7" s="1"/>
  <c r="Y124" i="3"/>
  <c r="W124" i="3"/>
  <c r="U124" i="3"/>
  <c r="Y125" i="3"/>
  <c r="W125" i="3"/>
  <c r="U125" i="3"/>
  <c r="Y126" i="3"/>
  <c r="W126" i="3"/>
  <c r="U126" i="3"/>
  <c r="Y127" i="3"/>
  <c r="W127" i="3"/>
  <c r="U127" i="3"/>
  <c r="Y128" i="3"/>
  <c r="W128" i="3"/>
  <c r="U128" i="3"/>
  <c r="Y129" i="3"/>
  <c r="W129" i="3"/>
  <c r="U129" i="3"/>
  <c r="Y130" i="3"/>
  <c r="W130" i="3"/>
  <c r="U130" i="3"/>
  <c r="Y123" i="3"/>
  <c r="Y132" i="3" s="1"/>
  <c r="W123" i="3"/>
  <c r="W132" i="3" s="1"/>
  <c r="U123" i="3"/>
  <c r="U132" i="3" s="1"/>
  <c r="P123" i="3"/>
  <c r="L132" i="3"/>
  <c r="F179" i="3" l="1" a="1"/>
  <c r="F179" i="3" s="1"/>
  <c r="D200" i="3" s="1"/>
  <c r="P124" i="3"/>
  <c r="P125" i="3" s="1"/>
  <c r="P126" i="3" s="1"/>
  <c r="P127" i="3" s="1"/>
  <c r="P128" i="3" s="1"/>
  <c r="P129" i="3" s="1"/>
  <c r="P130" i="3" s="1"/>
  <c r="F164" i="3" a="1"/>
  <c r="F164" i="3" s="1"/>
  <c r="C160" i="3" s="1"/>
  <c r="F190" i="3" a="1"/>
  <c r="F190" i="3" s="1"/>
  <c r="D201" i="3" s="1"/>
  <c r="D6" i="7"/>
  <c r="E210" i="3" a="1"/>
  <c r="E210" i="3" s="1"/>
  <c r="E211" i="3" a="1"/>
  <c r="E211" i="3" s="1"/>
  <c r="F4" i="7" l="1"/>
  <c r="J17" i="7" s="1"/>
  <c r="B15" i="7" l="1"/>
  <c r="B14" i="7"/>
  <c r="B22" i="7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<sst xmlns="http://schemas.openxmlformats.org/spreadsheetml/2006/main" count="396" uniqueCount="230">
  <si>
    <t>Imobilária A</t>
  </si>
  <si>
    <t>Imobilária B</t>
  </si>
  <si>
    <t>Apartamentos vendidos ordenados</t>
  </si>
  <si>
    <t>Cliente</t>
  </si>
  <si>
    <t>Apart. Vendidos</t>
  </si>
  <si>
    <t>Tempo de espera(min)</t>
  </si>
  <si>
    <t>a)</t>
  </si>
  <si>
    <t>A</t>
  </si>
  <si>
    <t>Xa -"v.a  número de apartamentos vendidos, na Imobiliária A"</t>
  </si>
  <si>
    <t>B</t>
  </si>
  <si>
    <t>Xb -"v.a número de apartamentos vendidos, na Imobiliária B"</t>
  </si>
  <si>
    <t>b)</t>
  </si>
  <si>
    <t>Tabela de frequências (imobiliária A)</t>
  </si>
  <si>
    <t>Tabela de frequências (imobiliária B)</t>
  </si>
  <si>
    <t>Frequência Absoluta</t>
  </si>
  <si>
    <t>Frequência Relativa</t>
  </si>
  <si>
    <t>Frequência Acumulada</t>
  </si>
  <si>
    <t>Frequência Acumulada relativa</t>
  </si>
  <si>
    <t>ni</t>
  </si>
  <si>
    <t>fi</t>
  </si>
  <si>
    <t>Ni</t>
  </si>
  <si>
    <t>Fi</t>
  </si>
  <si>
    <t>Total</t>
  </si>
  <si>
    <t>--</t>
  </si>
  <si>
    <t>c)</t>
  </si>
  <si>
    <t>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*</t>
  </si>
  <si>
    <t>d)</t>
  </si>
  <si>
    <t>Média(  )</t>
  </si>
  <si>
    <t>MÉDIA(Dados!B$3:B$202)</t>
  </si>
  <si>
    <t>MÉDIA(Dados!$C$3:$C$202)</t>
  </si>
  <si>
    <t>Mediana</t>
  </si>
  <si>
    <t>MED(Dados!$B$3:$B$202)</t>
  </si>
  <si>
    <t>MED(Dados!$C$3:$C$202)</t>
  </si>
  <si>
    <t>Moda</t>
  </si>
  <si>
    <t>MODA(Dados!B3:B202)</t>
  </si>
  <si>
    <t>MODA(Dados!$C$3:$C$202)</t>
  </si>
  <si>
    <t>R:. Como Média &lt; Mediana &gt; Moda o gráfico éimpossivel(indefenido)</t>
  </si>
  <si>
    <t>e)</t>
  </si>
  <si>
    <t>Variancia(s^2)</t>
  </si>
  <si>
    <t>VAR.S(Dados!B3:B202)</t>
  </si>
  <si>
    <t>VAR.S(Dados!$C$3:$C$202)</t>
  </si>
  <si>
    <t>Desvio-padrão(s)</t>
  </si>
  <si>
    <t>RAIZQ(D63)</t>
  </si>
  <si>
    <t>RAIZQ(AF63)</t>
  </si>
  <si>
    <t>=</t>
  </si>
  <si>
    <t>]</t>
  </si>
  <si>
    <t>;</t>
  </si>
  <si>
    <t>[</t>
  </si>
  <si>
    <t>Número observado de clientes para os quais o número de apartamentos vendidos se situa no intervalo de ]1,122;4,198[=</t>
  </si>
  <si>
    <t>CONTAR.SE.S(Dados!$B$3:$B$202;"&gt;"&amp;$F$66;Dados!$B$3:$B$202;"&lt;"&amp;$H$66)/C25</t>
  </si>
  <si>
    <t>Número observado de clientes para os quais o número de apartamentos vendidos se situa no intervalo de ]1,370;4,250[=</t>
  </si>
  <si>
    <t>CONTAR.SE.S(Dados!$C$3:$C$202;"&gt;"&amp;$AH$66;Dados!$C$3:$C$202;"&lt;"&amp;$AJ$66)/AE25</t>
  </si>
  <si>
    <t>f)</t>
  </si>
  <si>
    <t xml:space="preserve">Ao ordenar os dados da tabela de frequência acumulada relativa da imbiliaria A conclui-se que como 25%&lt;28% </t>
  </si>
  <si>
    <t xml:space="preserve">Ao ordenar os dados da tabela de frequência acumulada relativa da imbiliaria B conclui-se que como 25%&gt;19,5%(primeira linha) e </t>
  </si>
  <si>
    <t>seleciona-se a primeira linha da tabela que é a correspondente e conclui-se que o numero máximo de apartamentos vendidos igual à 1</t>
  </si>
  <si>
    <t>25%&lt;47,5%(segunda linha) seleciona-se a segunda linha da tabela que é a correspondente e conclui-se que o numero máximo de apartamentos vendidos igual à 2</t>
  </si>
  <si>
    <t>25% dos clientes corresponde a 50 clientes</t>
  </si>
  <si>
    <t>nº de apartamentos comprodos que não é excedido por  25% dos clientes=1</t>
  </si>
  <si>
    <t>nº de apartamentos comprodos por até 25% dos clientes=2</t>
  </si>
  <si>
    <t>g)</t>
  </si>
  <si>
    <t>Assimetria A</t>
  </si>
  <si>
    <t>Assimetria B</t>
  </si>
  <si>
    <t>Positiva/Direita</t>
  </si>
  <si>
    <t>Coeficiente de simetria A</t>
  </si>
  <si>
    <t>DISTORÇÃO(Dados!$C$3:$C$202)</t>
  </si>
  <si>
    <t>Coeficiente de simetria B</t>
  </si>
  <si>
    <t>DISTORÇÃO(Dados!$B$3:$B$202)</t>
  </si>
  <si>
    <t>R:. Como Média &gt; Mediana &gt; Moda o gráfico é assímetrica à direita/positiva</t>
  </si>
  <si>
    <t>R:. Direita pois coeficiente de assimetria maior que 0</t>
  </si>
  <si>
    <t>h)</t>
  </si>
  <si>
    <t>A media de casas vendidas pelas imobiliarias são ligeiramente parecidas senque a media da imboliaria B é maior (x=2,81) que a da imobiliaria A (x=2,66) o que significa que a imobiliaria B vendeu mais apartamentos em um periodo de 90 dias.</t>
  </si>
  <si>
    <t>A mediana da imbiliaria A é 2 menor que a da imbiliaria de B que é 3 o que indica que o valor de apartamentos vendidos central esta por volta de 2 e 3 para as imobiliarias A e B respetivamente.</t>
  </si>
  <si>
    <t>Enquanto a imobiliaria A tem um maior nº de casas vendidas por cliente igual a 1 e imbiliaria B tem um maior nº de casas vendidas por cliente igual a 2.</t>
  </si>
  <si>
    <t xml:space="preserve">Assimetria das imobiliarias sugere que a imobiliaria A e B tem uma tendencia maior em vender pequenos números de apartamentos. </t>
  </si>
  <si>
    <t>Ta -"v.a  tempo que um cliente espera para ser atendido, na Imobiliária A"</t>
  </si>
  <si>
    <t>Tb -"v.a  tempo que um cliente espera para ser atendido, na Imobiliária B"</t>
  </si>
  <si>
    <t>Valor máximo</t>
  </si>
  <si>
    <t>C</t>
  </si>
  <si>
    <t>n = número de registos</t>
  </si>
  <si>
    <t>Valor mínimo</t>
  </si>
  <si>
    <t xml:space="preserve">n </t>
  </si>
  <si>
    <t>Amplitude da amostra</t>
  </si>
  <si>
    <t>Amplitude da classe</t>
  </si>
  <si>
    <t>Tempo de espera (minutos)</t>
  </si>
  <si>
    <t>marca de classe</t>
  </si>
  <si>
    <t>Cálculos Auxiliares</t>
  </si>
  <si>
    <t>classes</t>
  </si>
  <si>
    <t>limite inferior</t>
  </si>
  <si>
    <t>limite superior</t>
  </si>
  <si>
    <t>xi</t>
  </si>
  <si>
    <t>marca de classe * ni</t>
  </si>
  <si>
    <t>(xi-media) ^2 * ni</t>
  </si>
  <si>
    <t>(xi-media)^3 * ni</t>
  </si>
  <si>
    <t>(xi-media)^4 * ni</t>
  </si>
  <si>
    <t>Média = somatorio de (xi*fi )/n</t>
  </si>
  <si>
    <t>Média</t>
  </si>
  <si>
    <t>S25/J25</t>
  </si>
  <si>
    <t>ROUND(F56+(F60-F57)*F59/F58;4)</t>
  </si>
  <si>
    <t>Limite inferior</t>
  </si>
  <si>
    <t>INDEX(D16:E23;F62;1)</t>
  </si>
  <si>
    <t>Frequência acumulada relativa da classe anterior</t>
  </si>
  <si>
    <t>IF(F60=P16; 0;INDEX(P16:R23;-1 + F62;1))</t>
  </si>
  <si>
    <t>Frequência relativa da classe mediana</t>
  </si>
  <si>
    <t>INDEX(L16:M23;F62;1)</t>
  </si>
  <si>
    <t>amplitude da classe mediana (h)</t>
  </si>
  <si>
    <t>H8</t>
  </si>
  <si>
    <t>p</t>
  </si>
  <si>
    <t>Linha de referência na tabela</t>
  </si>
  <si>
    <t>R:. Como Média &gt; Mediana o gráfico é assímetrica à direita/positiva</t>
  </si>
  <si>
    <t>p20 = percentil de 20</t>
  </si>
  <si>
    <t>p45 = percentil de 45</t>
  </si>
  <si>
    <t>INDEX(D16:E23;F77;1)</t>
  </si>
  <si>
    <t>IF(F75=P16; 0;INDEX(P16:R23;-1 + F77;1))</t>
  </si>
  <si>
    <t>INDEX(L16:M23;F77;1)</t>
  </si>
  <si>
    <t>$H$8</t>
  </si>
  <si>
    <t>z20</t>
  </si>
  <si>
    <t>F71+(F75-F72)*F74/F73</t>
  </si>
  <si>
    <t>INDEX(D16:E23;F88;1)</t>
  </si>
  <si>
    <t>IF(F86=P16; 0;INDEX(P16:R23;-1 + F88;1))</t>
  </si>
  <si>
    <t>INDEX(L16:M23;F88;1)</t>
  </si>
  <si>
    <t>z45</t>
  </si>
  <si>
    <t>F82+(F86-F83)*F85/F84</t>
  </si>
  <si>
    <t>p20</t>
  </si>
  <si>
    <t>ROUND(C80/100;4)</t>
  </si>
  <si>
    <t>p45</t>
  </si>
  <si>
    <t>ROUND(C91/100;4)</t>
  </si>
  <si>
    <t>Variancia= ((xi - media) ^2 *fi)/(n-1)</t>
  </si>
  <si>
    <t>Variancia</t>
  </si>
  <si>
    <t>ROUND(U25/($J$25-1);4)</t>
  </si>
  <si>
    <t>Desvio-padrão</t>
  </si>
  <si>
    <t>ROUND(SQRT(D98);4)</t>
  </si>
  <si>
    <t>Coeficiente de variação (cv)</t>
  </si>
  <si>
    <t>ROUND(D99/C51;4)</t>
  </si>
  <si>
    <t>Assimetria</t>
  </si>
  <si>
    <t>Curtose</t>
  </si>
  <si>
    <t>S132/J132</t>
  </si>
  <si>
    <t>ROUND(F163+(F167-F164)*F166/F165;4)</t>
  </si>
  <si>
    <t>INDEX(D123:E130;F169;1)</t>
  </si>
  <si>
    <t>IF(F167=P123; 0;INDEX(P123:R130;-1 + F169;1))</t>
  </si>
  <si>
    <t>INDEX(L123:M130;F169;1)</t>
  </si>
  <si>
    <t>H115</t>
  </si>
  <si>
    <t>INDEX(D123:E130;F184;1)</t>
  </si>
  <si>
    <t>IF(F182=P123; 0;INDEX(P123:R130;-1 + F184;1))</t>
  </si>
  <si>
    <t>INDEX(L123:M130;F184;1)</t>
  </si>
  <si>
    <t>F178+(F182-F179)*F181/F180</t>
  </si>
  <si>
    <t>INDEX(D123:E130;F195;1)</t>
  </si>
  <si>
    <t>IF(F193=P123; 0;INDEX(P123:R130;-1 + F195;1))</t>
  </si>
  <si>
    <t>INDEX(L123:M130;F195;1)</t>
  </si>
  <si>
    <t>F189+(F193-F190)*F192/F191</t>
  </si>
  <si>
    <t>ROUND(C187/100;4)</t>
  </si>
  <si>
    <t>ROUND(C198/100;4)</t>
  </si>
  <si>
    <t>U132/($J$25-1)</t>
  </si>
  <si>
    <t>SQRT(D205)</t>
  </si>
  <si>
    <t>D206/C158</t>
  </si>
  <si>
    <t>Ma = " número média de apartamentos vendidos na Imobiliária A"</t>
  </si>
  <si>
    <t>Mb = " número média de apartamentos vendidos na Imobiliária B"</t>
  </si>
  <si>
    <t>Dados provenientes do exercício 1</t>
  </si>
  <si>
    <t>Imobiliaria A</t>
  </si>
  <si>
    <t>Imobiliaria B</t>
  </si>
  <si>
    <t>n</t>
  </si>
  <si>
    <t>Delta</t>
  </si>
  <si>
    <t>ROUND(O9*SQRT((E11*E11/E9));4)</t>
  </si>
  <si>
    <t>Ma</t>
  </si>
  <si>
    <t>Mb</t>
  </si>
  <si>
    <t>intervalo de confiança</t>
  </si>
  <si>
    <t>nivel de significancia</t>
  </si>
  <si>
    <t>1-D15</t>
  </si>
  <si>
    <t>zc</t>
  </si>
  <si>
    <t>ROUND(NORM.S.INV(1-D16/2);4)</t>
  </si>
  <si>
    <t>zc = "INV S Norm(1-alfa/2)"</t>
  </si>
  <si>
    <t>R:. Podemos concluir que o número médio de apartamentos comprados por cliente na imobiliária A está entre  2.229 até 3.091 e na imobiliária B entre 2.432 até 3.188</t>
  </si>
  <si>
    <t>Xa = proporção de clientes da imobiliária A, que compram mais de 2 apartamentos</t>
  </si>
  <si>
    <t>Xb = proporção de clientes da imobiliária B, que compram mais de 2 apartamentos</t>
  </si>
  <si>
    <t>Maior que</t>
  </si>
  <si>
    <t>imobiliária A</t>
  </si>
  <si>
    <t>imobiliária B</t>
  </si>
  <si>
    <t>Calculos usados nas tabelas</t>
  </si>
  <si>
    <t>Xa</t>
  </si>
  <si>
    <t>Xb</t>
  </si>
  <si>
    <t>COUNTIF(Dados!C3:C202;"&gt;"&amp;'ex4'!M2)</t>
  </si>
  <si>
    <t>P(Xa)</t>
  </si>
  <si>
    <t>*</t>
  </si>
  <si>
    <t>P(Xb)</t>
  </si>
  <si>
    <t>F5/F4</t>
  </si>
  <si>
    <t>Q(Xa)</t>
  </si>
  <si>
    <t>Q(Xb)</t>
  </si>
  <si>
    <t>1-F6</t>
  </si>
  <si>
    <t>1-K5</t>
  </si>
  <si>
    <t>P(Xa) * Q(Xa)</t>
  </si>
  <si>
    <t>P(Xb) * Q(Xb)</t>
  </si>
  <si>
    <t>F7*F6</t>
  </si>
  <si>
    <t>ROUND(NORM.S.INV(1-R7/2);4)</t>
  </si>
  <si>
    <t>P(Xa)-P(Xb)</t>
  </si>
  <si>
    <t>B6-F6</t>
  </si>
  <si>
    <t>delta</t>
  </si>
  <si>
    <t>ROUND(P10*SQRT((B8/B4) + (F8/F4));4)</t>
  </si>
  <si>
    <t>(PA-PB) - delta</t>
  </si>
  <si>
    <t>C11-I10</t>
  </si>
  <si>
    <t>(PA-PB) + delta</t>
  </si>
  <si>
    <t>C11+I10</t>
  </si>
  <si>
    <t>delta = zc * RAIZ((pa*qa/na) + (pb*qb/nb))</t>
  </si>
  <si>
    <t>zc = INV S Norm(1-alfa/2)</t>
  </si>
  <si>
    <t>R:. Como o intervalo apresenta extremos de sinais contrários, com 97% de confiança podemos dizer que não existe uma diferença significativa entre a proporção de clientes de cada imobiliária que compram mais de 2 apartamentos</t>
  </si>
  <si>
    <t>Dados provenientes do exercício 2</t>
  </si>
  <si>
    <t>Ta = " tempo médio de atendimento da imobiliária A"</t>
  </si>
  <si>
    <t>Tb = " tempo médio de atendimento da imobiliária B"</t>
  </si>
  <si>
    <t>Calculos Auxiliares</t>
  </si>
  <si>
    <t>na</t>
  </si>
  <si>
    <t>nb</t>
  </si>
  <si>
    <t>delta b^2 / nb</t>
  </si>
  <si>
    <t>ROUND(D6^2/D4;4)</t>
  </si>
  <si>
    <t>Ta</t>
  </si>
  <si>
    <t>Tb</t>
  </si>
  <si>
    <t>delta a^2 / na</t>
  </si>
  <si>
    <t>ROUND(B6^2/B4;4)</t>
  </si>
  <si>
    <t>delta a</t>
  </si>
  <si>
    <t>delta b</t>
  </si>
  <si>
    <t>nivel de significância</t>
  </si>
  <si>
    <t>1-J8</t>
  </si>
  <si>
    <t>ROUND(NORM.S.INV(1-J9/2);4)</t>
  </si>
  <si>
    <t>Tb - Ta</t>
  </si>
  <si>
    <t>E5-B5</t>
  </si>
  <si>
    <t>media - delta</t>
  </si>
  <si>
    <t>ROUND(B12-I11;4)</t>
  </si>
  <si>
    <t>delta = zc * raiz [(delta a^2/na) +(deltaB^2 / nb)]</t>
  </si>
  <si>
    <t>media + delta</t>
  </si>
  <si>
    <t>ROUND(B12+I11;4)</t>
  </si>
  <si>
    <t>K4*SQRT(E9+B9)</t>
  </si>
  <si>
    <t>IC = ]( Tb - Ta)-delta ; ( Ta- Tb) + delta[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</si>
</sst>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0.0000"/>
    <numFmt numFmtId="166" formatCode="0.000000"/>
    <numFmt numFmtId="167" formatCode="0.000"/>
  </numFmts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</font>
    <font>
      <sz val="20"/>
      <color rgb="FF000000"/>
      <name val="Calibri"/>
      <family val="2"/>
    </font>
    <font>
      <b/>
      <sz val="22"/>
      <color rgb="FF000000"/>
      <name val="Calibri"/>
      <family val="2"/>
    </font>
    <font>
      <sz val="18"/>
      <color rgb="FF000000"/>
      <name val="Calibri"/>
      <family val="2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sz val="18"/>
      <color theme="1"/>
      <name val="Calibri"/>
      <family val="2"/>
      <scheme val="minor"/>
    </font>
    <font>
      <sz val="12"/>
      <name val="Calibri"/>
      <family val="2"/>
    </font>
    <font>
      <sz val="12"/>
      <color rgb="FF444444"/>
      <name val="Calibri"/>
      <family val="2"/>
      <charset val="1"/>
    </font>
    <font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6"/>
      <color rgb="FF000000"/>
      <name val="Calibri"/>
      <family val="2"/>
    </font>
    <font>
      <sz val="16"/>
      <color rgb="FF000000"/>
      <name val="Calibri"/>
    </font>
    <font>
      <sz val="11"/>
      <color rgb="FF444444"/>
      <name val="Calibri"/>
      <charset val="1"/>
    </font>
    <font>
      <sz val="12"/>
      <color rgb="FF444444"/>
      <name val="Calibri"/>
      <family val="2"/>
    </font>
    <font>
      <sz val="14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59999389629810485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40">
    <xf numFmtId="0" fontId="0" fillId="0" borderId="0" xfId="0"/>
    <xf numFmtId="2" fontId="0" fillId="0" borderId="0" xfId="0" applyNumberFormat="1"/>
    <xf numFmtId="0" fontId="2" fillId="0" borderId="0" xfId="0" applyFont="1"/>
    <xf numFmtId="0" fontId="3" fillId="0" borderId="0" xfId="0" applyFont="1"/>
    <xf numFmtId="0" fontId="2" fillId="0" borderId="4" xfId="0" applyFont="1" applyBorder="1" applyAlignment="1">
      <alignment horizontal="center" vertical="center"/>
    </xf>
    <xf numFmtId="2" fontId="2" fillId="0" borderId="2" xfId="0" applyNumberFormat="1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3" borderId="4" xfId="0" applyFont="1" applyFill="1" applyBorder="1"/>
    <xf numFmtId="0" fontId="0" fillId="0" borderId="4" xfId="0" applyBorder="1"/>
    <xf numFmtId="0" fontId="2" fillId="3" borderId="4" xfId="0" applyFont="1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2" fontId="2" fillId="0" borderId="4" xfId="0" applyNumberFormat="1" applyFont="1" applyBorder="1"/>
    <xf numFmtId="0" fontId="2" fillId="0" borderId="4" xfId="0" applyFont="1" applyBorder="1"/>
    <xf numFmtId="0" fontId="0" fillId="0" borderId="0" xfId="0" applyAlignment="1">
      <alignment horizontal="center"/>
    </xf>
    <xf numFmtId="2" fontId="0" fillId="0" borderId="4" xfId="0" applyNumberFormat="1" applyBorder="1"/>
    <xf numFmtId="0" fontId="0" fillId="0" borderId="0" xfId="0" applyAlignment="1">
      <alignment horizontal="center" vertical="center"/>
    </xf>
    <xf numFmtId="0" fontId="6" fillId="0" borderId="0" xfId="0" applyFont="1" applyAlignment="1">
      <alignment horizontal="center" wrapText="1"/>
    </xf>
    <xf numFmtId="0" fontId="6" fillId="0" borderId="0" xfId="0" applyFont="1"/>
    <xf numFmtId="2" fontId="6" fillId="0" borderId="0" xfId="0" applyNumberFormat="1" applyFont="1"/>
    <xf numFmtId="0" fontId="7" fillId="0" borderId="0" xfId="0" applyFont="1" applyAlignment="1">
      <alignment vertical="top" wrapText="1"/>
    </xf>
    <xf numFmtId="0" fontId="6" fillId="3" borderId="4" xfId="0" applyFont="1" applyFill="1" applyBorder="1"/>
    <xf numFmtId="0" fontId="6" fillId="0" borderId="4" xfId="0" applyFont="1" applyBorder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9" fontId="0" fillId="0" borderId="4" xfId="1" applyFont="1" applyBorder="1" applyAlignment="1">
      <alignment horizontal="center" vertical="center"/>
    </xf>
    <xf numFmtId="0" fontId="0" fillId="0" borderId="0" xfId="0" quotePrefix="1"/>
    <xf numFmtId="166" fontId="0" fillId="0" borderId="0" xfId="0" applyNumberFormat="1"/>
    <xf numFmtId="9" fontId="0" fillId="0" borderId="4" xfId="0" applyNumberFormat="1" applyBorder="1"/>
    <xf numFmtId="0" fontId="0" fillId="2" borderId="4" xfId="0" applyFill="1" applyBorder="1" applyAlignment="1">
      <alignment horizontal="center" vertical="center"/>
    </xf>
    <xf numFmtId="0" fontId="0" fillId="3" borderId="4" xfId="0" applyFill="1" applyBorder="1"/>
    <xf numFmtId="165" fontId="0" fillId="0" borderId="4" xfId="0" applyNumberFormat="1" applyBorder="1"/>
    <xf numFmtId="165" fontId="0" fillId="0" borderId="4" xfId="0" applyNumberFormat="1" applyBorder="1" applyAlignment="1">
      <alignment horizontal="center" vertical="center"/>
    </xf>
    <xf numFmtId="0" fontId="2" fillId="3" borderId="2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167" fontId="0" fillId="0" borderId="4" xfId="0" applyNumberFormat="1" applyBorder="1"/>
    <xf numFmtId="2" fontId="0" fillId="0" borderId="4" xfId="0" applyNumberFormat="1" applyBorder="1" applyAlignment="1">
      <alignment horizontal="center" vertical="center"/>
    </xf>
    <xf numFmtId="0" fontId="2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9" fontId="0" fillId="0" borderId="0" xfId="1" applyFont="1" applyAlignment="1">
      <alignment horizontal="left"/>
    </xf>
    <xf numFmtId="164" fontId="0" fillId="0" borderId="0" xfId="1" applyNumberFormat="1" applyFont="1" applyAlignment="1">
      <alignment horizontal="left"/>
    </xf>
    <xf numFmtId="167" fontId="0" fillId="0" borderId="0" xfId="0" applyNumberFormat="1"/>
    <xf numFmtId="167" fontId="0" fillId="0" borderId="0" xfId="0" applyNumberFormat="1" applyAlignment="1">
      <alignment horizontal="left"/>
    </xf>
    <xf numFmtId="0" fontId="9" fillId="0" borderId="0" xfId="0" applyFont="1"/>
    <xf numFmtId="9" fontId="0" fillId="0" borderId="0" xfId="0" applyNumberFormat="1"/>
    <xf numFmtId="0" fontId="8" fillId="0" borderId="0" xfId="0" applyFont="1" applyAlignment="1">
      <alignment vertical="center"/>
    </xf>
    <xf numFmtId="0" fontId="0" fillId="0" borderId="5" xfId="0" applyBorder="1"/>
    <xf numFmtId="9" fontId="0" fillId="0" borderId="4" xfId="0" applyNumberFormat="1" applyBorder="1" applyAlignment="1">
      <alignment horizontal="center" vertical="center"/>
    </xf>
    <xf numFmtId="0" fontId="13" fillId="3" borderId="0" xfId="0" applyFont="1" applyFill="1"/>
    <xf numFmtId="0" fontId="14" fillId="3" borderId="0" xfId="0" applyFont="1" applyFill="1"/>
    <xf numFmtId="0" fontId="5" fillId="0" borderId="13" xfId="0" applyFont="1" applyBorder="1" applyAlignment="1">
      <alignment vertical="center"/>
    </xf>
    <xf numFmtId="0" fontId="5" fillId="0" borderId="15" xfId="0" applyFont="1" applyBorder="1" applyAlignment="1">
      <alignment vertical="center"/>
    </xf>
    <xf numFmtId="0" fontId="5" fillId="0" borderId="17" xfId="0" applyFont="1" applyBorder="1" applyAlignment="1">
      <alignment vertical="center"/>
    </xf>
    <xf numFmtId="0" fontId="5" fillId="0" borderId="3" xfId="0" applyFont="1" applyBorder="1" applyAlignment="1">
      <alignment vertical="center"/>
    </xf>
    <xf numFmtId="0" fontId="15" fillId="0" borderId="0" xfId="0" applyFont="1"/>
    <xf numFmtId="0" fontId="0" fillId="0" borderId="0" xfId="0" applyAlignment="1">
      <alignment wrapText="1"/>
    </xf>
    <xf numFmtId="0" fontId="10" fillId="0" borderId="0" xfId="0" quotePrefix="1" applyFont="1"/>
    <xf numFmtId="0" fontId="0" fillId="3" borderId="1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7" borderId="0" xfId="0" applyFill="1" applyAlignment="1">
      <alignment horizontal="center"/>
    </xf>
    <xf numFmtId="0" fontId="14" fillId="3" borderId="0" xfId="0" applyFont="1" applyFill="1" applyAlignment="1">
      <alignment horizontal="center"/>
    </xf>
    <xf numFmtId="0" fontId="0" fillId="5" borderId="0" xfId="0" applyFill="1" applyAlignment="1">
      <alignment horizontal="left"/>
    </xf>
    <xf numFmtId="164" fontId="0" fillId="0" borderId="4" xfId="1" applyNumberFormat="1" applyFont="1" applyBorder="1" applyAlignment="1">
      <alignment horizontal="center"/>
    </xf>
    <xf numFmtId="0" fontId="0" fillId="0" borderId="4" xfId="0" applyBorder="1" applyAlignment="1">
      <alignment horizontal="center"/>
    </xf>
    <xf numFmtId="10" fontId="0" fillId="0" borderId="4" xfId="0" applyNumberFormat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3" borderId="4" xfId="0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164" fontId="0" fillId="0" borderId="4" xfId="0" applyNumberFormat="1" applyBorder="1" applyAlignment="1">
      <alignment horizontal="center"/>
    </xf>
    <xf numFmtId="0" fontId="0" fillId="0" borderId="4" xfId="0" quotePrefix="1" applyBorder="1" applyAlignment="1">
      <alignment horizontal="center"/>
    </xf>
    <xf numFmtId="0" fontId="2" fillId="0" borderId="19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2" xfId="0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2" fillId="2" borderId="4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/>
    </xf>
    <xf numFmtId="0" fontId="0" fillId="3" borderId="4" xfId="0" applyFill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17" fillId="0" borderId="4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11" fillId="0" borderId="4" xfId="0" applyFont="1" applyBorder="1" applyAlignment="1">
      <alignment horizontal="center"/>
    </xf>
    <xf numFmtId="0" fontId="0" fillId="2" borderId="4" xfId="0" applyFill="1" applyBorder="1" applyAlignment="1">
      <alignment horizontal="center" vertical="center"/>
    </xf>
    <xf numFmtId="0" fontId="12" fillId="6" borderId="13" xfId="0" applyFont="1" applyFill="1" applyBorder="1" applyAlignment="1">
      <alignment horizontal="center" vertical="center"/>
    </xf>
    <xf numFmtId="0" fontId="12" fillId="6" borderId="14" xfId="0" applyFont="1" applyFill="1" applyBorder="1" applyAlignment="1">
      <alignment horizontal="center" vertical="center"/>
    </xf>
    <xf numFmtId="0" fontId="12" fillId="6" borderId="17" xfId="0" applyFont="1" applyFill="1" applyBorder="1" applyAlignment="1">
      <alignment horizontal="center" vertical="center"/>
    </xf>
    <xf numFmtId="0" fontId="12" fillId="6" borderId="18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6" fillId="0" borderId="0" xfId="0" quotePrefix="1" applyFont="1" applyAlignment="1">
      <alignment horizontal="center"/>
    </xf>
    <xf numFmtId="0" fontId="8" fillId="0" borderId="0" xfId="0" applyFont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0" fillId="2" borderId="15" xfId="0" applyFill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3" xfId="0" applyBorder="1" applyAlignment="1">
      <alignment horizontal="center"/>
    </xf>
    <xf numFmtId="0" fontId="8" fillId="0" borderId="13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 vertical="center"/>
    </xf>
    <xf numFmtId="0" fontId="11" fillId="0" borderId="17" xfId="0" applyFont="1" applyBorder="1" applyAlignment="1">
      <alignment horizontal="center" vertical="center"/>
    </xf>
    <xf numFmtId="0" fontId="11" fillId="0" borderId="18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A-Frequência Absoluta ni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Nº de apartamentos vendidos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'ex1'!$C$16:$C$22</c:f>
              <c:numCache>
                <c:formatCode>General</c:formatCode>
                <c:ptCount val="7"/>
                <c:pt idx="0">
                  <c:v>56</c:v>
                </c:pt>
                <c:pt idx="1">
                  <c:v>55</c:v>
                </c:pt>
                <c:pt idx="2">
                  <c:v>33</c:v>
                </c:pt>
                <c:pt idx="3">
                  <c:v>27</c:v>
                </c:pt>
                <c:pt idx="4">
                  <c:v>16</c:v>
                </c:pt>
                <c:pt idx="5">
                  <c:v>12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C2-4C50-AE63-BCC6E82F8214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'ex1'!$D$16:$D$22</c:f>
              <c:numCache>
                <c:formatCode>General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1-9FC2-4C50-AE63-BCC6E82F8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6244000"/>
        <c:axId val="606242080"/>
      </c:barChart>
      <c:catAx>
        <c:axId val="6062440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242080"/>
        <c:crosses val="autoZero"/>
        <c:auto val="1"/>
        <c:lblAlgn val="ctr"/>
        <c:lblOffset val="100"/>
        <c:noMultiLvlLbl val="0"/>
      </c:catAx>
      <c:valAx>
        <c:axId val="606242080"/>
        <c:scaling>
          <c:orientation val="minMax"/>
          <c:max val="5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244000"/>
        <c:crosses val="autoZero"/>
        <c:crossBetween val="between"/>
        <c:majorUnit val="4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A-Frequência Relativa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Nº de apartamentos vendidos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'ex1'!$E$16:$E$22</c:f>
              <c:numCache>
                <c:formatCode>0.0%</c:formatCode>
                <c:ptCount val="7"/>
                <c:pt idx="0">
                  <c:v>0.28000000000000003</c:v>
                </c:pt>
                <c:pt idx="1">
                  <c:v>0.27500000000000002</c:v>
                </c:pt>
                <c:pt idx="2">
                  <c:v>0.16500000000000001</c:v>
                </c:pt>
                <c:pt idx="3">
                  <c:v>0.13500000000000001</c:v>
                </c:pt>
                <c:pt idx="4">
                  <c:v>0.08</c:v>
                </c:pt>
                <c:pt idx="5">
                  <c:v>0.06</c:v>
                </c:pt>
                <c:pt idx="6">
                  <c:v>5.0000000000000001E-3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8E-4A6E-BB2E-E319DB4DEBDF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'ex1'!$F$16:$F$22</c:f>
              <c:numCache>
                <c:formatCode>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1-A88E-4A6E-BB2E-E319DB4DEB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6244000"/>
        <c:axId val="606242080"/>
      </c:barChart>
      <c:catAx>
        <c:axId val="6062440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242080"/>
        <c:crosses val="autoZero"/>
        <c:auto val="1"/>
        <c:lblAlgn val="ctr"/>
        <c:lblOffset val="100"/>
        <c:noMultiLvlLbl val="0"/>
      </c:catAx>
      <c:valAx>
        <c:axId val="606242080"/>
        <c:scaling>
          <c:orientation val="minMax"/>
          <c:max val="0.28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244000"/>
        <c:crosses val="autoZero"/>
        <c:crossBetween val="between"/>
        <c:majorUnit val="4.0000000000000008E-2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B-Frequência Absoluna ni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Nº de apartamentos vendidos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'ex1'!$AE$16:$AE$23</c:f>
              <c:numCache>
                <c:formatCode>General</c:formatCode>
                <c:ptCount val="8"/>
                <c:pt idx="0">
                  <c:v>39</c:v>
                </c:pt>
                <c:pt idx="1">
                  <c:v>56</c:v>
                </c:pt>
                <c:pt idx="2">
                  <c:v>50</c:v>
                </c:pt>
                <c:pt idx="3">
                  <c:v>28</c:v>
                </c:pt>
                <c:pt idx="4">
                  <c:v>14</c:v>
                </c:pt>
                <c:pt idx="5">
                  <c:v>12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EB-4BB4-9388-14124A631352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'ex1'!$AF$16:$AF$23</c:f>
              <c:numCache>
                <c:formatCode>General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1-98EB-4BB4-9388-14124A631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6244000"/>
        <c:axId val="606242080"/>
      </c:barChart>
      <c:catAx>
        <c:axId val="6062440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242080"/>
        <c:crosses val="autoZero"/>
        <c:auto val="1"/>
        <c:lblAlgn val="ctr"/>
        <c:lblOffset val="100"/>
        <c:noMultiLvlLbl val="0"/>
      </c:catAx>
      <c:valAx>
        <c:axId val="606242080"/>
        <c:scaling>
          <c:orientation val="minMax"/>
          <c:max val="5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244000"/>
        <c:crosses val="autoZero"/>
        <c:crossBetween val="between"/>
        <c:majorUnit val="4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B-Frequência Relativa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Nª de apartamentos vendisos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'ex1'!$AG$16:$AG$23</c:f>
              <c:numCache>
                <c:formatCode>0.0%</c:formatCode>
                <c:ptCount val="8"/>
                <c:pt idx="0">
                  <c:v>0.19500000000000001</c:v>
                </c:pt>
                <c:pt idx="1">
                  <c:v>0.28000000000000003</c:v>
                </c:pt>
                <c:pt idx="2">
                  <c:v>0.25</c:v>
                </c:pt>
                <c:pt idx="3">
                  <c:v>0.14000000000000001</c:v>
                </c:pt>
                <c:pt idx="4">
                  <c:v>7.0000000000000007E-2</c:v>
                </c:pt>
                <c:pt idx="5">
                  <c:v>0.06</c:v>
                </c:pt>
                <c:pt idx="6">
                  <c:v>5.0000000000000001E-3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8B-4F6A-AE1B-BF05C60A8CF6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'ex1'!$AH$16:$AH$23</c:f>
              <c:numCache>
                <c:formatCode>0.0%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1-458B-4F6A-AE1B-BF05C60A8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6244000"/>
        <c:axId val="606242080"/>
      </c:barChart>
      <c:catAx>
        <c:axId val="6062440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242080"/>
        <c:crosses val="autoZero"/>
        <c:auto val="1"/>
        <c:lblAlgn val="ctr"/>
        <c:lblOffset val="100"/>
        <c:noMultiLvlLbl val="0"/>
      </c:catAx>
      <c:valAx>
        <c:axId val="606242080"/>
        <c:scaling>
          <c:orientation val="minMax"/>
          <c:max val="0.28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244000"/>
        <c:crosses val="autoZero"/>
        <c:crossBetween val="between"/>
        <c:majorUnit val="4.0000000000000008E-2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Tempo que um</a:t>
            </a:r>
            <a:r>
              <a:rPr lang="en-US" baseline="0"/>
              <a:t> cliente espera para ser atendido, na Imobiliária 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 cmpd="sng">
              <a:solidFill>
                <a:schemeClr val="accent1">
                  <a:lumMod val="75000"/>
                </a:schemeClr>
              </a:solidFill>
            </a:ln>
            <a:effectLst/>
          </c:spPr>
          <c:invertIfNegative val="0"/>
          <c:cat>
            <c:strRef>
              <c:f>'ex2'!$C$16:$C$23</c:f>
              <c:strCache>
                <c:ptCount val="8"/>
                <c:pt idx="0">
                  <c:v>[16.79   ;    18.43[</c:v>
                </c:pt>
                <c:pt idx="1">
                  <c:v>[18.43   ;    20.07[</c:v>
                </c:pt>
                <c:pt idx="2">
                  <c:v>[20.07   ;    21.71[</c:v>
                </c:pt>
                <c:pt idx="3">
                  <c:v>[21.71   ;    23.35[</c:v>
                </c:pt>
                <c:pt idx="4">
                  <c:v>[23.35   ;    24.99[</c:v>
                </c:pt>
                <c:pt idx="5">
                  <c:v>[24.99   ;    26.63[</c:v>
                </c:pt>
                <c:pt idx="6">
                  <c:v>[26.63   ;    28.27[</c:v>
                </c:pt>
                <c:pt idx="7">
                  <c:v>[28.27   ;    29.91[</c:v>
                </c:pt>
              </c:strCache>
            </c:strRef>
          </c:cat>
          <c:val>
            <c:numRef>
              <c:f>'ex2'!$J$16:$J$23</c:f>
              <c:numCache>
                <c:formatCode>General</c:formatCode>
                <c:ptCount val="8"/>
                <c:pt idx="0">
                  <c:v>10</c:v>
                </c:pt>
                <c:pt idx="1">
                  <c:v>32</c:v>
                </c:pt>
                <c:pt idx="2">
                  <c:v>50</c:v>
                </c:pt>
                <c:pt idx="3">
                  <c:v>47</c:v>
                </c:pt>
                <c:pt idx="4">
                  <c:v>33</c:v>
                </c:pt>
                <c:pt idx="5">
                  <c:v>21</c:v>
                </c:pt>
                <c:pt idx="6">
                  <c:v>6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A804-4C16-AFE6-DB97D1707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"/>
        <c:overlap val="23"/>
        <c:axId val="598508312"/>
        <c:axId val="101903472"/>
      </c:barChart>
      <c:catAx>
        <c:axId val="5985083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Tempo de espera (em minutos)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03472"/>
        <c:crosses val="autoZero"/>
        <c:auto val="1"/>
        <c:lblAlgn val="ctr"/>
        <c:lblOffset val="100"/>
        <c:noMultiLvlLbl val="0"/>
      </c:catAx>
      <c:valAx>
        <c:axId val="10190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Frequência</a:t>
                </a:r>
                <a:r>
                  <a:rPr lang="en-US" baseline="0"/>
                  <a:t> Absoluta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508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Tempo que um</a:t>
            </a:r>
            <a:r>
              <a:rPr lang="en-US" baseline="0"/>
              <a:t> cliente espera para ser atendido, na Imobiliária 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'ex2'!$C$123:$C$130</c:f>
              <c:strCache>
                <c:ptCount val="8"/>
                <c:pt idx="0">
                  <c:v>[20.04   ;    21.28[</c:v>
                </c:pt>
                <c:pt idx="1">
                  <c:v>[21.28   ;    22.52[</c:v>
                </c:pt>
                <c:pt idx="2">
                  <c:v>[22.52   ;    23.76[</c:v>
                </c:pt>
                <c:pt idx="3">
                  <c:v>[23.76   ;    25[</c:v>
                </c:pt>
                <c:pt idx="4">
                  <c:v>[25   ;    26.24[</c:v>
                </c:pt>
                <c:pt idx="5">
                  <c:v>[26.24   ;    27.48[</c:v>
                </c:pt>
                <c:pt idx="6">
                  <c:v>[27.48   ;    28.72[</c:v>
                </c:pt>
                <c:pt idx="7">
                  <c:v>[28.72   ;    29.96[</c:v>
                </c:pt>
              </c:strCache>
            </c:strRef>
          </c:cat>
          <c:val>
            <c:numRef>
              <c:f>'ex2'!$J$123:$J$130</c:f>
              <c:numCache>
                <c:formatCode>General</c:formatCode>
                <c:ptCount val="8"/>
                <c:pt idx="0">
                  <c:v>20</c:v>
                </c:pt>
                <c:pt idx="1">
                  <c:v>22</c:v>
                </c:pt>
                <c:pt idx="2">
                  <c:v>23</c:v>
                </c:pt>
                <c:pt idx="3">
                  <c:v>26</c:v>
                </c:pt>
                <c:pt idx="4">
                  <c:v>35</c:v>
                </c:pt>
                <c:pt idx="5">
                  <c:v>17</c:v>
                </c:pt>
                <c:pt idx="6">
                  <c:v>28</c:v>
                </c:pt>
                <c:pt idx="7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CE-4D5D-A81B-ECCB67329F39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'ex2'!$C$123:$C$130</c:f>
              <c:strCache>
                <c:ptCount val="8"/>
                <c:pt idx="0">
                  <c:v>[20.04   ;    21.28[</c:v>
                </c:pt>
                <c:pt idx="1">
                  <c:v>[21.28   ;    22.52[</c:v>
                </c:pt>
                <c:pt idx="2">
                  <c:v>[22.52   ;    23.76[</c:v>
                </c:pt>
                <c:pt idx="3">
                  <c:v>[23.76   ;    25[</c:v>
                </c:pt>
                <c:pt idx="4">
                  <c:v>[25   ;    26.24[</c:v>
                </c:pt>
                <c:pt idx="5">
                  <c:v>[26.24   ;    27.48[</c:v>
                </c:pt>
                <c:pt idx="6">
                  <c:v>[27.48   ;    28.72[</c:v>
                </c:pt>
                <c:pt idx="7">
                  <c:v>[28.72   ;    29.96[</c:v>
                </c:pt>
              </c:strCache>
            </c:strRef>
          </c:cat>
          <c:val>
            <c:numRef>
              <c:f>'ex2'!$K$123:$K$130</c:f>
              <c:numCache>
                <c:formatCode>General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0-18A7-49D2-A5FB-91C3616E5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"/>
        <c:overlap val="23"/>
        <c:axId val="598508312"/>
        <c:axId val="101903472"/>
      </c:barChart>
      <c:catAx>
        <c:axId val="5985083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Tempo de espera (em minutos)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03472"/>
        <c:crosses val="autoZero"/>
        <c:auto val="1"/>
        <c:lblAlgn val="ctr"/>
        <c:lblOffset val="100"/>
        <c:noMultiLvlLbl val="0"/>
      </c:catAx>
      <c:valAx>
        <c:axId val="10190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Frequência</a:t>
                </a:r>
                <a:r>
                  <a:rPr lang="en-US" baseline="0"/>
                  <a:t> Absoluta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508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tiff"/><Relationship Id="rId1" Type="http://schemas.openxmlformats.org/officeDocument/2006/relationships/chart" Target="../charts/chart5.xml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795617</xdr:colOff>
      <xdr:row>64</xdr:row>
      <xdr:rowOff>156883</xdr:rowOff>
    </xdr:from>
    <xdr:to>
      <xdr:col>3</xdr:col>
      <xdr:colOff>483724</xdr:colOff>
      <xdr:row>66</xdr:row>
      <xdr:rowOff>45535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AAFD1547-BD5E-D1F3-167A-B81AA6D8D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62735" y="13335001"/>
          <a:ext cx="1466667" cy="295238"/>
        </a:xfrm>
        <a:prstGeom prst="rect">
          <a:avLst/>
        </a:prstGeom>
      </xdr:spPr>
    </xdr:pic>
    <xdr:clientData/>
  </xdr:twoCellAnchor>
  <xdr:oneCellAnchor>
    <xdr:from>
      <xdr:col>1</xdr:col>
      <xdr:colOff>477893</xdr:colOff>
      <xdr:row>50</xdr:row>
      <xdr:rowOff>54429</xdr:rowOff>
    </xdr:from>
    <xdr:ext cx="352144" cy="175841"/>
    <xdr:sp macro="" textlink="">
      <xdr:nvSpPr>
        <xdr:cNvPr id="18" name="CaixaDeTexto 2">
          <a:extLst>
            <a:ext uri="{FF2B5EF4-FFF2-40B4-BE49-F238E27FC236}">
              <a16:creationId xmlns:a16="http://schemas.microsoft.com/office/drawing/2014/main" id="{581C494F-2D88-6512-027D-25D302350BE1}"/>
            </a:ext>
          </a:extLst>
        </xdr:cNvPr>
        <xdr:cNvSpPr txBox="1"/>
      </xdr:nvSpPr>
      <xdr:spPr>
        <a:xfrm>
          <a:off x="1158250" y="10477500"/>
          <a:ext cx="352144" cy="1758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r>
            <a:rPr lang="pt-PT" sz="1100"/>
            <a:t>x</a:t>
          </a:r>
        </a:p>
      </xdr:txBody>
    </xdr:sp>
    <xdr:clientData/>
  </xdr:oneCellAnchor>
  <xdr:oneCellAnchor>
    <xdr:from>
      <xdr:col>30</xdr:col>
      <xdr:colOff>346581</xdr:colOff>
      <xdr:row>64</xdr:row>
      <xdr:rowOff>170491</xdr:rowOff>
    </xdr:from>
    <xdr:ext cx="1453861" cy="300041"/>
    <xdr:pic>
      <xdr:nvPicPr>
        <xdr:cNvPr id="14" name="Imagem 13">
          <a:extLst>
            <a:ext uri="{FF2B5EF4-FFF2-40B4-BE49-F238E27FC236}">
              <a16:creationId xmlns:a16="http://schemas.microsoft.com/office/drawing/2014/main" id="{4185D61E-26D6-43CA-927D-51B79C649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587581" y="13491884"/>
          <a:ext cx="1453861" cy="300041"/>
        </a:xfrm>
        <a:prstGeom prst="rect">
          <a:avLst/>
        </a:prstGeom>
      </xdr:spPr>
    </xdr:pic>
    <xdr:clientData/>
  </xdr:oneCellAnchor>
  <xdr:oneCellAnchor>
    <xdr:from>
      <xdr:col>29</xdr:col>
      <xdr:colOff>484696</xdr:colOff>
      <xdr:row>50</xdr:row>
      <xdr:rowOff>68036</xdr:rowOff>
    </xdr:from>
    <xdr:ext cx="481411" cy="171759"/>
    <xdr:sp macro="" textlink="">
      <xdr:nvSpPr>
        <xdr:cNvPr id="15" name="CaixaDeTexto 2">
          <a:extLst>
            <a:ext uri="{FF2B5EF4-FFF2-40B4-BE49-F238E27FC236}">
              <a16:creationId xmlns:a16="http://schemas.microsoft.com/office/drawing/2014/main" id="{A9E3009E-33FB-4DC2-B7E4-CCC9556010FB}"/>
            </a:ext>
          </a:extLst>
        </xdr:cNvPr>
        <xdr:cNvSpPr txBox="1"/>
      </xdr:nvSpPr>
      <xdr:spPr>
        <a:xfrm>
          <a:off x="23698482" y="10491107"/>
          <a:ext cx="481411" cy="17175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r>
            <a:rPr lang="pt-PT" sz="1100"/>
            <a:t>x</a:t>
          </a:r>
        </a:p>
      </xdr:txBody>
    </xdr:sp>
    <xdr:clientData/>
  </xdr:oneCellAnchor>
  <xdr:twoCellAnchor>
    <xdr:from>
      <xdr:col>1</xdr:col>
      <xdr:colOff>6803</xdr:colOff>
      <xdr:row>31</xdr:row>
      <xdr:rowOff>2721</xdr:rowOff>
    </xdr:from>
    <xdr:to>
      <xdr:col>7</xdr:col>
      <xdr:colOff>0</xdr:colOff>
      <xdr:row>46</xdr:row>
      <xdr:rowOff>27214</xdr:rowOff>
    </xdr:to>
    <xdr:graphicFrame macro="">
      <xdr:nvGraphicFramePr>
        <xdr:cNvPr id="8" name="Gráfico 18">
          <a:extLst>
            <a:ext uri="{FF2B5EF4-FFF2-40B4-BE49-F238E27FC236}">
              <a16:creationId xmlns:a16="http://schemas.microsoft.com/office/drawing/2014/main" id="{DC21B113-CAEE-6474-4CC7-DA8267A62C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27215</xdr:colOff>
      <xdr:row>30</xdr:row>
      <xdr:rowOff>176893</xdr:rowOff>
    </xdr:from>
    <xdr:to>
      <xdr:col>13</xdr:col>
      <xdr:colOff>13607</xdr:colOff>
      <xdr:row>45</xdr:row>
      <xdr:rowOff>190500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BF61D7C7-A2B3-4DDD-ACA1-FE10A26BA2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0</xdr:colOff>
      <xdr:row>31</xdr:row>
      <xdr:rowOff>33646</xdr:rowOff>
    </xdr:from>
    <xdr:to>
      <xdr:col>36</xdr:col>
      <xdr:colOff>339561</xdr:colOff>
      <xdr:row>46</xdr:row>
      <xdr:rowOff>58139</xdr:rowOff>
    </xdr:to>
    <xdr:graphicFrame macro="">
      <xdr:nvGraphicFramePr>
        <xdr:cNvPr id="16" name="Gráfico 21">
          <a:extLst>
            <a:ext uri="{FF2B5EF4-FFF2-40B4-BE49-F238E27FC236}">
              <a16:creationId xmlns:a16="http://schemas.microsoft.com/office/drawing/2014/main" id="{D72226DE-BEF7-4082-B30F-B1B8AA97F5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349457</xdr:colOff>
      <xdr:row>31</xdr:row>
      <xdr:rowOff>0</xdr:rowOff>
    </xdr:from>
    <xdr:to>
      <xdr:col>44</xdr:col>
      <xdr:colOff>197304</xdr:colOff>
      <xdr:row>46</xdr:row>
      <xdr:rowOff>13606</xdr:rowOff>
    </xdr:to>
    <xdr:graphicFrame macro="">
      <xdr:nvGraphicFramePr>
        <xdr:cNvPr id="27" name="Gráfico 24">
          <a:extLst>
            <a:ext uri="{FF2B5EF4-FFF2-40B4-BE49-F238E27FC236}">
              <a16:creationId xmlns:a16="http://schemas.microsoft.com/office/drawing/2014/main" id="{6C5CCA87-6F7F-402E-8D48-EE232C64EB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14286</xdr:colOff>
      <xdr:row>31</xdr:row>
      <xdr:rowOff>38100</xdr:rowOff>
    </xdr:from>
    <xdr:to>
      <xdr:col>11</xdr:col>
      <xdr:colOff>600074</xdr:colOff>
      <xdr:row>44</xdr:row>
      <xdr:rowOff>180975</xdr:rowOff>
    </xdr:to>
    <xdr:graphicFrame macro="">
      <xdr:nvGraphicFramePr>
        <xdr:cNvPr id="27" name="Chart 1">
          <a:extLst>
            <a:ext uri="{FF2B5EF4-FFF2-40B4-BE49-F238E27FC236}">
              <a16:creationId xmlns:a16="http://schemas.microsoft.com/office/drawing/2014/main" id="{D517A040-268F-3A61-CEC0-0F2BBF668B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12</xdr:col>
      <xdr:colOff>109361</xdr:colOff>
      <xdr:row>49</xdr:row>
      <xdr:rowOff>165806</xdr:rowOff>
    </xdr:from>
    <xdr:ext cx="4390388" cy="2667090"/>
    <xdr:pic>
      <xdr:nvPicPr>
        <xdr:cNvPr id="29" name="Imagem 1">
          <a:extLst>
            <a:ext uri="{FF2B5EF4-FFF2-40B4-BE49-F238E27FC236}">
              <a16:creationId xmlns:a16="http://schemas.microsoft.com/office/drawing/2014/main" id="{6A5A2339-B7C3-46E5-A6C9-73D7CB24C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40380" y="10102380"/>
          <a:ext cx="4390388" cy="2667090"/>
        </a:xfrm>
        <a:prstGeom prst="rect">
          <a:avLst/>
        </a:prstGeom>
      </xdr:spPr>
    </xdr:pic>
    <xdr:clientData/>
  </xdr:oneCellAnchor>
  <xdr:oneCellAnchor>
    <xdr:from>
      <xdr:col>14</xdr:col>
      <xdr:colOff>11205</xdr:colOff>
      <xdr:row>3</xdr:row>
      <xdr:rowOff>11206</xdr:rowOff>
    </xdr:from>
    <xdr:ext cx="4826534" cy="936492"/>
    <xdr:pic>
      <xdr:nvPicPr>
        <xdr:cNvPr id="26" name="Picture 3">
          <a:extLst>
            <a:ext uri="{FF2B5EF4-FFF2-40B4-BE49-F238E27FC236}">
              <a16:creationId xmlns:a16="http://schemas.microsoft.com/office/drawing/2014/main" id="{ADA96A6C-A0E4-F416-0BD5-F08A392610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043" t="21226" r="5365"/>
        <a:stretch/>
      </xdr:blipFill>
      <xdr:spPr>
        <a:xfrm>
          <a:off x="10970558" y="616324"/>
          <a:ext cx="4919383" cy="952500"/>
        </a:xfrm>
        <a:prstGeom prst="rect">
          <a:avLst/>
        </a:prstGeom>
      </xdr:spPr>
    </xdr:pic>
    <xdr:clientData/>
  </xdr:oneCellAnchor>
  <xdr:oneCellAnchor>
    <xdr:from>
      <xdr:col>9</xdr:col>
      <xdr:colOff>11207</xdr:colOff>
      <xdr:row>1</xdr:row>
      <xdr:rowOff>190501</xdr:rowOff>
    </xdr:from>
    <xdr:ext cx="2775323" cy="408214"/>
    <xdr:pic>
      <xdr:nvPicPr>
        <xdr:cNvPr id="25" name="Picture 4">
          <a:extLst>
            <a:ext uri="{FF2B5EF4-FFF2-40B4-BE49-F238E27FC236}">
              <a16:creationId xmlns:a16="http://schemas.microsoft.com/office/drawing/2014/main" id="{AE357590-5A41-FA91-D3C0-E003852A21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" t="2" r="7010" b="26230"/>
        <a:stretch/>
      </xdr:blipFill>
      <xdr:spPr>
        <a:xfrm>
          <a:off x="7440707" y="392207"/>
          <a:ext cx="2823882" cy="414617"/>
        </a:xfrm>
        <a:prstGeom prst="rect">
          <a:avLst/>
        </a:prstGeom>
      </xdr:spPr>
    </xdr:pic>
    <xdr:clientData/>
  </xdr:oneCellAnchor>
  <xdr:oneCellAnchor>
    <xdr:from>
      <xdr:col>12</xdr:col>
      <xdr:colOff>91386</xdr:colOff>
      <xdr:row>65</xdr:row>
      <xdr:rowOff>167420</xdr:rowOff>
    </xdr:from>
    <xdr:ext cx="3391981" cy="690371"/>
    <xdr:pic>
      <xdr:nvPicPr>
        <xdr:cNvPr id="28" name="Picture 5">
          <a:extLst>
            <a:ext uri="{FF2B5EF4-FFF2-40B4-BE49-F238E27FC236}">
              <a16:creationId xmlns:a16="http://schemas.microsoft.com/office/drawing/2014/main" id="{AB19A3CD-FCBC-8DE6-43F8-3664815D7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22405" y="13302513"/>
          <a:ext cx="3391981" cy="690371"/>
        </a:xfrm>
        <a:prstGeom prst="rect">
          <a:avLst/>
        </a:prstGeom>
      </xdr:spPr>
    </xdr:pic>
    <xdr:clientData/>
  </xdr:oneCellAnchor>
  <xdr:oneCellAnchor>
    <xdr:from>
      <xdr:col>12</xdr:col>
      <xdr:colOff>91386</xdr:colOff>
      <xdr:row>71</xdr:row>
      <xdr:rowOff>56109</xdr:rowOff>
    </xdr:from>
    <xdr:ext cx="3257717" cy="730288"/>
    <xdr:pic>
      <xdr:nvPicPr>
        <xdr:cNvPr id="23" name="Picture 6">
          <a:extLst>
            <a:ext uri="{FF2B5EF4-FFF2-40B4-BE49-F238E27FC236}">
              <a16:creationId xmlns:a16="http://schemas.microsoft.com/office/drawing/2014/main" id="{5761EE68-A136-AA95-A5EA-D793D974B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22405" y="14390646"/>
          <a:ext cx="3257717" cy="730288"/>
        </a:xfrm>
        <a:prstGeom prst="rect">
          <a:avLst/>
        </a:prstGeom>
      </xdr:spPr>
    </xdr:pic>
    <xdr:clientData/>
  </xdr:oneCellAnchor>
  <xdr:oneCellAnchor>
    <xdr:from>
      <xdr:col>9</xdr:col>
      <xdr:colOff>35277</xdr:colOff>
      <xdr:row>96</xdr:row>
      <xdr:rowOff>29903</xdr:rowOff>
    </xdr:from>
    <xdr:ext cx="1543129" cy="671286"/>
    <xdr:pic>
      <xdr:nvPicPr>
        <xdr:cNvPr id="24" name="Picture 7">
          <a:extLst>
            <a:ext uri="{FF2B5EF4-FFF2-40B4-BE49-F238E27FC236}">
              <a16:creationId xmlns:a16="http://schemas.microsoft.com/office/drawing/2014/main" id="{75D7CE39-6764-CC9F-89CD-09B3EB18DE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1" b="12637"/>
        <a:stretch/>
      </xdr:blipFill>
      <xdr:spPr>
        <a:xfrm>
          <a:off x="7302499" y="19362125"/>
          <a:ext cx="1543129" cy="671286"/>
        </a:xfrm>
        <a:prstGeom prst="rect">
          <a:avLst/>
        </a:prstGeom>
      </xdr:spPr>
    </xdr:pic>
    <xdr:clientData/>
  </xdr:oneCellAnchor>
  <xdr:twoCellAnchor>
    <xdr:from>
      <xdr:col>1</xdr:col>
      <xdr:colOff>14286</xdr:colOff>
      <xdr:row>138</xdr:row>
      <xdr:rowOff>38100</xdr:rowOff>
    </xdr:from>
    <xdr:to>
      <xdr:col>11</xdr:col>
      <xdr:colOff>600074</xdr:colOff>
      <xdr:row>151</xdr:row>
      <xdr:rowOff>180975</xdr:rowOff>
    </xdr:to>
    <xdr:graphicFrame macro="">
      <xdr:nvGraphicFramePr>
        <xdr:cNvPr id="16" name="Chart 8">
          <a:extLst>
            <a:ext uri="{FF2B5EF4-FFF2-40B4-BE49-F238E27FC236}">
              <a16:creationId xmlns:a16="http://schemas.microsoft.com/office/drawing/2014/main" id="{7D6583B4-7957-40C4-A0FE-62EEA45515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oneCellAnchor>
    <xdr:from>
      <xdr:col>12</xdr:col>
      <xdr:colOff>285749</xdr:colOff>
      <xdr:row>157</xdr:row>
      <xdr:rowOff>154046</xdr:rowOff>
    </xdr:from>
    <xdr:ext cx="4390388" cy="2667090"/>
    <xdr:pic>
      <xdr:nvPicPr>
        <xdr:cNvPr id="17" name="Imagem 1">
          <a:extLst>
            <a:ext uri="{FF2B5EF4-FFF2-40B4-BE49-F238E27FC236}">
              <a16:creationId xmlns:a16="http://schemas.microsoft.com/office/drawing/2014/main" id="{4FDBEA9C-C85C-4165-89AC-73607341B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16768" y="31809972"/>
          <a:ext cx="4390388" cy="2667090"/>
        </a:xfrm>
        <a:prstGeom prst="rect">
          <a:avLst/>
        </a:prstGeom>
      </xdr:spPr>
    </xdr:pic>
    <xdr:clientData/>
  </xdr:oneCellAnchor>
  <xdr:oneCellAnchor>
    <xdr:from>
      <xdr:col>14</xdr:col>
      <xdr:colOff>11205</xdr:colOff>
      <xdr:row>110</xdr:row>
      <xdr:rowOff>11206</xdr:rowOff>
    </xdr:from>
    <xdr:ext cx="4826534" cy="936492"/>
    <xdr:pic>
      <xdr:nvPicPr>
        <xdr:cNvPr id="18" name="Picture 10">
          <a:extLst>
            <a:ext uri="{FF2B5EF4-FFF2-40B4-BE49-F238E27FC236}">
              <a16:creationId xmlns:a16="http://schemas.microsoft.com/office/drawing/2014/main" id="{C75CBB7D-D3D4-4ED2-9916-85DA631E7B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043" t="21226" r="5365"/>
        <a:stretch/>
      </xdr:blipFill>
      <xdr:spPr>
        <a:xfrm>
          <a:off x="10769919" y="609920"/>
          <a:ext cx="4826534" cy="936492"/>
        </a:xfrm>
        <a:prstGeom prst="rect">
          <a:avLst/>
        </a:prstGeom>
      </xdr:spPr>
    </xdr:pic>
    <xdr:clientData/>
  </xdr:oneCellAnchor>
  <xdr:oneCellAnchor>
    <xdr:from>
      <xdr:col>9</xdr:col>
      <xdr:colOff>11207</xdr:colOff>
      <xdr:row>108</xdr:row>
      <xdr:rowOff>190501</xdr:rowOff>
    </xdr:from>
    <xdr:ext cx="2775323" cy="408214"/>
    <xdr:pic>
      <xdr:nvPicPr>
        <xdr:cNvPr id="19" name="Picture 11">
          <a:extLst>
            <a:ext uri="{FF2B5EF4-FFF2-40B4-BE49-F238E27FC236}">
              <a16:creationId xmlns:a16="http://schemas.microsoft.com/office/drawing/2014/main" id="{1B7D2589-4305-416D-9372-9539860333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" t="2" r="7010" b="26230"/>
        <a:stretch/>
      </xdr:blipFill>
      <xdr:spPr>
        <a:xfrm>
          <a:off x="7313707" y="390072"/>
          <a:ext cx="2775323" cy="408214"/>
        </a:xfrm>
        <a:prstGeom prst="rect">
          <a:avLst/>
        </a:prstGeom>
      </xdr:spPr>
    </xdr:pic>
    <xdr:clientData/>
  </xdr:oneCellAnchor>
  <xdr:oneCellAnchor>
    <xdr:from>
      <xdr:col>3</xdr:col>
      <xdr:colOff>636232</xdr:colOff>
      <xdr:row>172</xdr:row>
      <xdr:rowOff>73346</xdr:rowOff>
    </xdr:from>
    <xdr:ext cx="3391981" cy="690371"/>
    <xdr:pic>
      <xdr:nvPicPr>
        <xdr:cNvPr id="20" name="Picture 12">
          <a:extLst>
            <a:ext uri="{FF2B5EF4-FFF2-40B4-BE49-F238E27FC236}">
              <a16:creationId xmlns:a16="http://schemas.microsoft.com/office/drawing/2014/main" id="{9D52F25B-CAFD-4ACD-9627-36CEEF739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56355" y="34088963"/>
          <a:ext cx="3391981" cy="690371"/>
        </a:xfrm>
        <a:prstGeom prst="rect">
          <a:avLst/>
        </a:prstGeom>
      </xdr:spPr>
    </xdr:pic>
    <xdr:clientData/>
  </xdr:oneCellAnchor>
  <xdr:oneCellAnchor>
    <xdr:from>
      <xdr:col>9</xdr:col>
      <xdr:colOff>667591</xdr:colOff>
      <xdr:row>180</xdr:row>
      <xdr:rowOff>56108</xdr:rowOff>
    </xdr:from>
    <xdr:ext cx="3257717" cy="730288"/>
    <xdr:pic>
      <xdr:nvPicPr>
        <xdr:cNvPr id="5" name="Picture 13">
          <a:extLst>
            <a:ext uri="{FF2B5EF4-FFF2-40B4-BE49-F238E27FC236}">
              <a16:creationId xmlns:a16="http://schemas.microsoft.com/office/drawing/2014/main" id="{B14749C2-F571-42EA-9316-A394FCD07C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21048" y="35639627"/>
          <a:ext cx="3257717" cy="730288"/>
        </a:xfrm>
        <a:prstGeom prst="rect">
          <a:avLst/>
        </a:prstGeom>
      </xdr:spPr>
    </xdr:pic>
    <xdr:clientData/>
  </xdr:oneCellAnchor>
  <xdr:oneCellAnchor>
    <xdr:from>
      <xdr:col>11</xdr:col>
      <xdr:colOff>-1</xdr:colOff>
      <xdr:row>202</xdr:row>
      <xdr:rowOff>18144</xdr:rowOff>
    </xdr:from>
    <xdr:ext cx="1543129" cy="671286"/>
    <xdr:pic>
      <xdr:nvPicPr>
        <xdr:cNvPr id="22" name="Picture 14">
          <a:extLst>
            <a:ext uri="{FF2B5EF4-FFF2-40B4-BE49-F238E27FC236}">
              <a16:creationId xmlns:a16="http://schemas.microsoft.com/office/drawing/2014/main" id="{456252EC-9C96-41B2-AB5E-ECD55E8B62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1" b="12637"/>
        <a:stretch/>
      </xdr:blipFill>
      <xdr:spPr>
        <a:xfrm>
          <a:off x="8608785" y="19113501"/>
          <a:ext cx="1543129" cy="671286"/>
        </a:xfrm>
        <a:prstGeom prst="rect">
          <a:avLst/>
        </a:prstGeom>
      </xdr:spPr>
    </xdr:pic>
    <xdr:clientData/>
  </xdr:oneCellAnchor>
  <xdr:twoCellAnchor>
    <xdr:from>
      <xdr:col>0</xdr:col>
      <xdr:colOff>625927</xdr:colOff>
      <xdr:row>213</xdr:row>
      <xdr:rowOff>172358</xdr:rowOff>
    </xdr:from>
    <xdr:to>
      <xdr:col>15</xdr:col>
      <xdr:colOff>308429</xdr:colOff>
      <xdr:row>222</xdr:row>
      <xdr:rowOff>90714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523231C-FC5A-898B-43A5-7AE910371EB0}"/>
            </a:ext>
          </a:extLst>
        </xdr:cNvPr>
        <xdr:cNvSpPr txBox="1"/>
      </xdr:nvSpPr>
      <xdr:spPr>
        <a:xfrm>
          <a:off x="625927" y="42944144"/>
          <a:ext cx="11303002" cy="17144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1600"/>
            <a:t>Tendo em conta o menor tempo máximo de espera e o maior tempo máximo de espera de cada região/centro quase que se conclui que os indivíduos terão de esperar mais no centro B, pois o tempo de espera varia entre os 20,04 e os 29,95 minutos, enquanto que no centro A o período para receber os resultados varia entre 16,79 e 29,84 minutos. Após o cálculo da média e da mediana é possível reforçar a conclusão tirada pelos dados iniciais, uma vez que ambas as medidas são mais elevadas no centro B que no A.</a:t>
          </a:r>
          <a:r>
            <a:rPr lang="pt-PT" sz="1600" baseline="0"/>
            <a:t> E para concluir como B apresenta uma distribuição assimétrica negativa/esquerda, sendo que o A apresentou uma distribuição assimétrica positiva/direita.</a:t>
          </a:r>
          <a:endParaRPr lang="pt-PT" sz="16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92603</xdr:colOff>
      <xdr:row>26</xdr:row>
      <xdr:rowOff>122767</xdr:rowOff>
    </xdr:from>
    <xdr:to>
      <xdr:col>8</xdr:col>
      <xdr:colOff>165769</xdr:colOff>
      <xdr:row>30</xdr:row>
      <xdr:rowOff>132795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FBF35C-C2C2-B590-2638-7DC9587A63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-1336" t="7374" r="1336" b="7376"/>
        <a:stretch/>
      </xdr:blipFill>
      <xdr:spPr>
        <a:xfrm>
          <a:off x="4458228" y="5414434"/>
          <a:ext cx="4028687" cy="83023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612851</xdr:colOff>
      <xdr:row>11</xdr:row>
      <xdr:rowOff>14768</xdr:rowOff>
    </xdr:from>
    <xdr:to>
      <xdr:col>13</xdr:col>
      <xdr:colOff>23196</xdr:colOff>
      <xdr:row>15</xdr:row>
      <xdr:rowOff>36518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7998C2-6960-A27A-AB63-42B6B1566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14653" y="2207733"/>
          <a:ext cx="5937555" cy="81919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18405</xdr:colOff>
      <xdr:row>18</xdr:row>
      <xdr:rowOff>36813</xdr:rowOff>
    </xdr:from>
    <xdr:to>
      <xdr:col>15</xdr:col>
      <xdr:colOff>191857</xdr:colOff>
      <xdr:row>22</xdr:row>
      <xdr:rowOff>108363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7E4B6F4-0E7A-E908-538D-538B88679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53115" y="3515509"/>
          <a:ext cx="4940554" cy="844593"/>
        </a:xfrm>
        <a:prstGeom prst="rect">
          <a:avLst/>
        </a:prstGeom>
      </xdr:spPr>
    </xdr:pic>
    <xdr:clientData/>
  </xdr:twoCellAnchor>
  <xdr:twoCellAnchor>
    <xdr:from>
      <xdr:col>0</xdr:col>
      <xdr:colOff>18406</xdr:colOff>
      <xdr:row>25</xdr:row>
      <xdr:rowOff>92029</xdr:rowOff>
    </xdr:from>
    <xdr:to>
      <xdr:col>13</xdr:col>
      <xdr:colOff>174854</xdr:colOff>
      <xdr:row>31</xdr:row>
      <xdr:rowOff>27609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3563BBB-2680-6BF0-66FC-E15BC1A057B4}"/>
            </a:ext>
          </a:extLst>
        </xdr:cNvPr>
        <xdr:cNvSpPr txBox="1"/>
      </xdr:nvSpPr>
      <xdr:spPr>
        <a:xfrm>
          <a:off x="18406" y="4923551"/>
          <a:ext cx="10896231" cy="10951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1800"/>
            <a:t>R:. Como IC apresenta apenas valores positivos para Tb−Ta, podemos afirmar, com uma confiança de 97%, que o</a:t>
          </a:r>
          <a:r>
            <a:rPr lang="pt-PT" sz="1800" baseline="0"/>
            <a:t> tempo de espera da imobiliária B é </a:t>
          </a:r>
          <a:r>
            <a:rPr lang="pt-PT" sz="1800"/>
            <a:t>superior à da</a:t>
          </a:r>
          <a:r>
            <a:rPr lang="pt-PT" sz="1800" baseline="0"/>
            <a:t> imobiliária A</a:t>
          </a:r>
          <a:r>
            <a:rPr lang="pt-PT" sz="1800"/>
            <a:t> ,</a:t>
          </a:r>
          <a:r>
            <a:rPr lang="pt-PT" sz="1800" baseline="0"/>
            <a:t> ou seja, existe uma diferencia significativa entre os dois tempos médios.</a:t>
          </a:r>
          <a:endParaRPr lang="pt-PT" sz="18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16596-9020-5E41-8EDC-87D72086AE99}">
  <dimension ref="A1:I202"/>
  <sheetViews>
    <sheetView topLeftCell="A151" workbookViewId="0">
      <selection activeCell="M53" sqref="M53"/>
    </sheetView>
  </sheetViews>
  <sheetFormatPr defaultColWidth="11" defaultRowHeight="15.6"/>
  <cols>
    <col min="2" max="3" width="14.125" bestFit="1" customWidth="1"/>
    <col min="4" max="5" width="20" bestFit="1" customWidth="1"/>
  </cols>
  <sheetData>
    <row r="1" spans="1:9">
      <c r="B1" t="s">
        <v>0</v>
      </c>
      <c r="C1" t="s">
        <v>1</v>
      </c>
      <c r="D1" t="s">
        <v>0</v>
      </c>
      <c r="E1" t="s">
        <v>1</v>
      </c>
      <c r="G1" t="s">
        <v>2</v>
      </c>
    </row>
    <row r="2" spans="1:9">
      <c r="A2" t="s">
        <v>3</v>
      </c>
      <c r="B2" t="s">
        <v>4</v>
      </c>
      <c r="C2" t="s">
        <v>4</v>
      </c>
      <c r="D2" t="s">
        <v>5</v>
      </c>
      <c r="E2" t="s">
        <v>5</v>
      </c>
      <c r="G2" t="s">
        <v>3</v>
      </c>
      <c r="H2" t="s">
        <v>0</v>
      </c>
      <c r="I2" t="s">
        <v>1</v>
      </c>
    </row>
    <row r="3" spans="1:9">
      <c r="A3">
        <v>1</v>
      </c>
      <c r="B3">
        <v>4</v>
      </c>
      <c r="C3">
        <v>4</v>
      </c>
      <c r="D3" s="1">
        <v>23.85</v>
      </c>
      <c r="E3">
        <v>27.7</v>
      </c>
      <c r="G3">
        <v>1</v>
      </c>
      <c r="H3">
        <v>1</v>
      </c>
      <c r="I3">
        <v>1</v>
      </c>
    </row>
    <row r="4" spans="1:9">
      <c r="A4">
        <v>2</v>
      </c>
      <c r="B4">
        <v>1</v>
      </c>
      <c r="C4">
        <v>2</v>
      </c>
      <c r="D4" s="1">
        <v>19.93</v>
      </c>
      <c r="E4">
        <v>22.04</v>
      </c>
      <c r="G4">
        <v>2</v>
      </c>
      <c r="H4">
        <v>1</v>
      </c>
      <c r="I4">
        <v>1</v>
      </c>
    </row>
    <row r="5" spans="1:9">
      <c r="A5">
        <v>3</v>
      </c>
      <c r="B5">
        <v>3</v>
      </c>
      <c r="C5">
        <v>3</v>
      </c>
      <c r="D5" s="1">
        <v>22.4</v>
      </c>
      <c r="E5">
        <v>25.64</v>
      </c>
      <c r="G5">
        <v>3</v>
      </c>
      <c r="H5">
        <v>1</v>
      </c>
      <c r="I5">
        <v>1</v>
      </c>
    </row>
    <row r="6" spans="1:9">
      <c r="A6">
        <v>4</v>
      </c>
      <c r="B6">
        <v>1</v>
      </c>
      <c r="C6">
        <v>1</v>
      </c>
      <c r="D6" s="1">
        <v>20.68</v>
      </c>
      <c r="E6">
        <v>22.99</v>
      </c>
      <c r="G6">
        <v>4</v>
      </c>
      <c r="H6">
        <v>1</v>
      </c>
      <c r="I6">
        <v>1</v>
      </c>
    </row>
    <row r="7" spans="1:9">
      <c r="A7">
        <v>5</v>
      </c>
      <c r="B7">
        <v>1</v>
      </c>
      <c r="C7">
        <v>1</v>
      </c>
      <c r="D7" s="1">
        <v>22.17</v>
      </c>
      <c r="E7">
        <v>25.28</v>
      </c>
      <c r="G7">
        <v>5</v>
      </c>
      <c r="H7">
        <v>1</v>
      </c>
      <c r="I7">
        <v>1</v>
      </c>
    </row>
    <row r="8" spans="1:9">
      <c r="A8">
        <v>6</v>
      </c>
      <c r="B8">
        <v>1</v>
      </c>
      <c r="C8">
        <v>1</v>
      </c>
      <c r="D8" s="1">
        <v>24.05</v>
      </c>
      <c r="E8">
        <v>27.94</v>
      </c>
      <c r="G8">
        <v>6</v>
      </c>
      <c r="H8">
        <v>1</v>
      </c>
      <c r="I8">
        <v>1</v>
      </c>
    </row>
    <row r="9" spans="1:9">
      <c r="A9">
        <v>7</v>
      </c>
      <c r="B9">
        <v>1</v>
      </c>
      <c r="C9">
        <v>2</v>
      </c>
      <c r="D9" s="1">
        <v>24.45</v>
      </c>
      <c r="E9">
        <v>28.37</v>
      </c>
      <c r="G9">
        <v>7</v>
      </c>
      <c r="H9">
        <v>1</v>
      </c>
      <c r="I9">
        <v>1</v>
      </c>
    </row>
    <row r="10" spans="1:9">
      <c r="A10">
        <v>8</v>
      </c>
      <c r="B10">
        <v>1</v>
      </c>
      <c r="C10">
        <v>1</v>
      </c>
      <c r="D10" s="1">
        <v>23.44</v>
      </c>
      <c r="E10">
        <v>27.18</v>
      </c>
      <c r="G10">
        <v>8</v>
      </c>
      <c r="H10">
        <v>1</v>
      </c>
      <c r="I10">
        <v>1</v>
      </c>
    </row>
    <row r="11" spans="1:9">
      <c r="A11">
        <v>9</v>
      </c>
      <c r="B11">
        <v>5</v>
      </c>
      <c r="C11">
        <v>5</v>
      </c>
      <c r="D11" s="1">
        <v>26.23</v>
      </c>
      <c r="E11">
        <v>29.55</v>
      </c>
      <c r="G11">
        <v>9</v>
      </c>
      <c r="H11">
        <v>1</v>
      </c>
      <c r="I11">
        <v>1</v>
      </c>
    </row>
    <row r="12" spans="1:9">
      <c r="A12">
        <v>10</v>
      </c>
      <c r="B12">
        <v>2</v>
      </c>
      <c r="C12">
        <v>2</v>
      </c>
      <c r="D12" s="1">
        <v>21.45</v>
      </c>
      <c r="E12">
        <v>24.13</v>
      </c>
      <c r="G12">
        <v>10</v>
      </c>
      <c r="H12">
        <v>1</v>
      </c>
      <c r="I12">
        <v>1</v>
      </c>
    </row>
    <row r="13" spans="1:9">
      <c r="A13">
        <v>11</v>
      </c>
      <c r="B13">
        <v>3</v>
      </c>
      <c r="C13">
        <v>3</v>
      </c>
      <c r="D13" s="1">
        <v>22.38</v>
      </c>
      <c r="E13">
        <v>25.61</v>
      </c>
      <c r="G13">
        <v>11</v>
      </c>
      <c r="H13">
        <v>1</v>
      </c>
      <c r="I13">
        <v>1</v>
      </c>
    </row>
    <row r="14" spans="1:9">
      <c r="A14">
        <v>12</v>
      </c>
      <c r="B14">
        <v>6</v>
      </c>
      <c r="C14">
        <v>6</v>
      </c>
      <c r="D14" s="1">
        <v>21.32</v>
      </c>
      <c r="E14">
        <v>23.93</v>
      </c>
      <c r="G14">
        <v>12</v>
      </c>
      <c r="H14">
        <v>1</v>
      </c>
      <c r="I14">
        <v>1</v>
      </c>
    </row>
    <row r="15" spans="1:9">
      <c r="A15">
        <v>13</v>
      </c>
      <c r="B15">
        <v>4</v>
      </c>
      <c r="C15">
        <v>4</v>
      </c>
      <c r="D15" s="1">
        <v>18.91</v>
      </c>
      <c r="E15">
        <v>21.08</v>
      </c>
      <c r="G15">
        <v>13</v>
      </c>
      <c r="H15">
        <v>1</v>
      </c>
      <c r="I15">
        <v>1</v>
      </c>
    </row>
    <row r="16" spans="1:9">
      <c r="A16">
        <v>14</v>
      </c>
      <c r="B16">
        <v>1</v>
      </c>
      <c r="C16">
        <v>2</v>
      </c>
      <c r="D16" s="1">
        <v>25.2</v>
      </c>
      <c r="E16">
        <v>29</v>
      </c>
      <c r="G16">
        <v>14</v>
      </c>
      <c r="H16">
        <v>1</v>
      </c>
      <c r="I16">
        <v>1</v>
      </c>
    </row>
    <row r="17" spans="1:9">
      <c r="A17">
        <v>15</v>
      </c>
      <c r="B17">
        <v>1</v>
      </c>
      <c r="C17">
        <v>1</v>
      </c>
      <c r="D17" s="1">
        <v>24.57</v>
      </c>
      <c r="E17">
        <v>28.48</v>
      </c>
      <c r="G17">
        <v>15</v>
      </c>
      <c r="H17">
        <v>1</v>
      </c>
      <c r="I17">
        <v>1</v>
      </c>
    </row>
    <row r="18" spans="1:9">
      <c r="A18">
        <v>16</v>
      </c>
      <c r="B18">
        <v>5</v>
      </c>
      <c r="C18">
        <v>5</v>
      </c>
      <c r="D18" s="1">
        <v>20.48</v>
      </c>
      <c r="E18">
        <v>22.72</v>
      </c>
      <c r="G18">
        <v>16</v>
      </c>
      <c r="H18">
        <v>1</v>
      </c>
      <c r="I18">
        <v>1</v>
      </c>
    </row>
    <row r="19" spans="1:9">
      <c r="A19">
        <v>17</v>
      </c>
      <c r="B19">
        <v>3</v>
      </c>
      <c r="C19">
        <v>3</v>
      </c>
      <c r="D19" s="1">
        <v>20.6</v>
      </c>
      <c r="E19">
        <v>22.88</v>
      </c>
      <c r="G19">
        <v>17</v>
      </c>
      <c r="H19">
        <v>1</v>
      </c>
      <c r="I19">
        <v>1</v>
      </c>
    </row>
    <row r="20" spans="1:9">
      <c r="A20">
        <v>18</v>
      </c>
      <c r="B20">
        <v>1</v>
      </c>
      <c r="C20">
        <v>1</v>
      </c>
      <c r="D20" s="1">
        <v>22.18</v>
      </c>
      <c r="E20">
        <v>25.29</v>
      </c>
      <c r="G20">
        <v>18</v>
      </c>
      <c r="H20">
        <v>1</v>
      </c>
      <c r="I20">
        <v>1</v>
      </c>
    </row>
    <row r="21" spans="1:9">
      <c r="A21">
        <v>19</v>
      </c>
      <c r="B21">
        <v>2</v>
      </c>
      <c r="C21">
        <v>2</v>
      </c>
      <c r="D21" s="1">
        <v>18.22</v>
      </c>
      <c r="E21">
        <v>20.65</v>
      </c>
      <c r="G21">
        <v>19</v>
      </c>
      <c r="H21">
        <v>1</v>
      </c>
      <c r="I21">
        <v>1</v>
      </c>
    </row>
    <row r="22" spans="1:9">
      <c r="A22">
        <v>20</v>
      </c>
      <c r="B22">
        <v>5</v>
      </c>
      <c r="C22">
        <v>5</v>
      </c>
      <c r="D22" s="1">
        <v>25.45</v>
      </c>
      <c r="E22">
        <v>29.16</v>
      </c>
      <c r="G22">
        <v>20</v>
      </c>
      <c r="H22">
        <v>1</v>
      </c>
      <c r="I22">
        <v>1</v>
      </c>
    </row>
    <row r="23" spans="1:9">
      <c r="A23">
        <v>21</v>
      </c>
      <c r="B23">
        <v>5</v>
      </c>
      <c r="C23">
        <v>5</v>
      </c>
      <c r="D23" s="1">
        <v>25.19</v>
      </c>
      <c r="E23">
        <v>28.99</v>
      </c>
      <c r="G23">
        <v>21</v>
      </c>
      <c r="H23">
        <v>1</v>
      </c>
      <c r="I23">
        <v>1</v>
      </c>
    </row>
    <row r="24" spans="1:9">
      <c r="A24">
        <v>22</v>
      </c>
      <c r="B24">
        <v>3</v>
      </c>
      <c r="C24">
        <v>3</v>
      </c>
      <c r="D24" s="1">
        <v>24.8</v>
      </c>
      <c r="E24">
        <v>28.69</v>
      </c>
      <c r="G24">
        <v>22</v>
      </c>
      <c r="H24">
        <v>1</v>
      </c>
      <c r="I24">
        <v>1</v>
      </c>
    </row>
    <row r="25" spans="1:9">
      <c r="A25">
        <v>23</v>
      </c>
      <c r="B25">
        <v>2</v>
      </c>
      <c r="C25">
        <v>2</v>
      </c>
      <c r="D25" s="1">
        <v>20.73</v>
      </c>
      <c r="E25">
        <v>23.06</v>
      </c>
      <c r="G25">
        <v>23</v>
      </c>
      <c r="H25">
        <v>1</v>
      </c>
      <c r="I25">
        <v>1</v>
      </c>
    </row>
    <row r="26" spans="1:9">
      <c r="A26">
        <v>24</v>
      </c>
      <c r="B26">
        <v>3</v>
      </c>
      <c r="C26">
        <v>3</v>
      </c>
      <c r="D26" s="1">
        <v>27.34</v>
      </c>
      <c r="E26">
        <v>29.84</v>
      </c>
      <c r="G26">
        <v>24</v>
      </c>
      <c r="H26">
        <v>1</v>
      </c>
      <c r="I26">
        <v>1</v>
      </c>
    </row>
    <row r="27" spans="1:9">
      <c r="A27">
        <v>25</v>
      </c>
      <c r="B27">
        <v>1</v>
      </c>
      <c r="C27">
        <v>1</v>
      </c>
      <c r="D27" s="1">
        <v>25.58</v>
      </c>
      <c r="E27">
        <v>29.24</v>
      </c>
      <c r="G27">
        <v>25</v>
      </c>
      <c r="H27">
        <v>1</v>
      </c>
      <c r="I27">
        <v>1</v>
      </c>
    </row>
    <row r="28" spans="1:9">
      <c r="A28">
        <v>26</v>
      </c>
      <c r="B28">
        <v>3</v>
      </c>
      <c r="C28">
        <v>3</v>
      </c>
      <c r="D28" s="1">
        <v>18.95</v>
      </c>
      <c r="E28">
        <v>21.11</v>
      </c>
      <c r="G28">
        <v>26</v>
      </c>
      <c r="H28">
        <v>1</v>
      </c>
      <c r="I28">
        <v>1</v>
      </c>
    </row>
    <row r="29" spans="1:9">
      <c r="A29">
        <v>27</v>
      </c>
      <c r="B29">
        <v>1</v>
      </c>
      <c r="C29">
        <v>2</v>
      </c>
      <c r="D29" s="1">
        <v>20.96</v>
      </c>
      <c r="E29">
        <v>23.38</v>
      </c>
      <c r="G29">
        <v>27</v>
      </c>
      <c r="H29">
        <v>1</v>
      </c>
      <c r="I29">
        <v>1</v>
      </c>
    </row>
    <row r="30" spans="1:9">
      <c r="A30">
        <v>28</v>
      </c>
      <c r="B30">
        <v>4</v>
      </c>
      <c r="C30">
        <v>4</v>
      </c>
      <c r="D30" s="1">
        <v>18.7</v>
      </c>
      <c r="E30">
        <v>20.94</v>
      </c>
      <c r="G30">
        <v>28</v>
      </c>
      <c r="H30">
        <v>1</v>
      </c>
      <c r="I30">
        <v>1</v>
      </c>
    </row>
    <row r="31" spans="1:9">
      <c r="A31">
        <v>29</v>
      </c>
      <c r="B31">
        <v>5</v>
      </c>
      <c r="C31">
        <v>4</v>
      </c>
      <c r="D31" s="1">
        <v>23.54</v>
      </c>
      <c r="E31">
        <v>27.31</v>
      </c>
      <c r="G31">
        <v>29</v>
      </c>
      <c r="H31">
        <v>1</v>
      </c>
      <c r="I31">
        <v>1</v>
      </c>
    </row>
    <row r="32" spans="1:9">
      <c r="A32">
        <v>30</v>
      </c>
      <c r="B32">
        <v>1</v>
      </c>
      <c r="C32">
        <v>2</v>
      </c>
      <c r="D32" s="1">
        <v>19.34</v>
      </c>
      <c r="E32">
        <v>21.43</v>
      </c>
      <c r="G32">
        <v>30</v>
      </c>
      <c r="H32">
        <v>1</v>
      </c>
      <c r="I32">
        <v>1</v>
      </c>
    </row>
    <row r="33" spans="1:9">
      <c r="A33">
        <v>31</v>
      </c>
      <c r="B33">
        <v>3</v>
      </c>
      <c r="C33">
        <v>3</v>
      </c>
      <c r="D33" s="1">
        <v>21.23</v>
      </c>
      <c r="E33">
        <v>23.78</v>
      </c>
      <c r="G33">
        <v>31</v>
      </c>
      <c r="H33">
        <v>1</v>
      </c>
      <c r="I33">
        <v>1</v>
      </c>
    </row>
    <row r="34" spans="1:9">
      <c r="A34">
        <v>32</v>
      </c>
      <c r="B34">
        <v>1</v>
      </c>
      <c r="C34">
        <v>2</v>
      </c>
      <c r="D34" s="1">
        <v>21.84</v>
      </c>
      <c r="E34">
        <v>24.74</v>
      </c>
      <c r="G34">
        <v>32</v>
      </c>
      <c r="H34">
        <v>1</v>
      </c>
      <c r="I34">
        <v>1</v>
      </c>
    </row>
    <row r="35" spans="1:9">
      <c r="A35">
        <v>33</v>
      </c>
      <c r="B35">
        <v>4</v>
      </c>
      <c r="C35">
        <v>4</v>
      </c>
      <c r="D35" s="1">
        <v>18.95</v>
      </c>
      <c r="E35">
        <v>21.11</v>
      </c>
      <c r="G35">
        <v>33</v>
      </c>
      <c r="H35">
        <v>1</v>
      </c>
      <c r="I35">
        <v>1</v>
      </c>
    </row>
    <row r="36" spans="1:9">
      <c r="A36">
        <v>34</v>
      </c>
      <c r="B36">
        <v>3</v>
      </c>
      <c r="C36">
        <v>3</v>
      </c>
      <c r="D36" s="1">
        <v>19.850000000000001</v>
      </c>
      <c r="E36">
        <v>21.95</v>
      </c>
      <c r="G36">
        <v>34</v>
      </c>
      <c r="H36">
        <v>1</v>
      </c>
      <c r="I36">
        <v>1</v>
      </c>
    </row>
    <row r="37" spans="1:9">
      <c r="A37">
        <v>35</v>
      </c>
      <c r="B37">
        <v>5</v>
      </c>
      <c r="C37">
        <v>5</v>
      </c>
      <c r="D37" s="1">
        <v>19.09</v>
      </c>
      <c r="E37">
        <v>21.23</v>
      </c>
      <c r="G37">
        <v>35</v>
      </c>
      <c r="H37">
        <v>1</v>
      </c>
      <c r="I37">
        <v>1</v>
      </c>
    </row>
    <row r="38" spans="1:9">
      <c r="A38">
        <v>36</v>
      </c>
      <c r="B38">
        <v>6</v>
      </c>
      <c r="C38">
        <v>6</v>
      </c>
      <c r="D38" s="1">
        <v>18.71</v>
      </c>
      <c r="E38">
        <v>20.94</v>
      </c>
      <c r="G38">
        <v>36</v>
      </c>
      <c r="H38">
        <v>1</v>
      </c>
      <c r="I38">
        <v>1</v>
      </c>
    </row>
    <row r="39" spans="1:9">
      <c r="A39">
        <v>37</v>
      </c>
      <c r="B39">
        <v>5</v>
      </c>
      <c r="C39">
        <v>4</v>
      </c>
      <c r="D39" s="1">
        <v>20.97</v>
      </c>
      <c r="E39">
        <v>23.4</v>
      </c>
      <c r="G39">
        <v>37</v>
      </c>
      <c r="H39">
        <v>1</v>
      </c>
      <c r="I39">
        <v>1</v>
      </c>
    </row>
    <row r="40" spans="1:9">
      <c r="A40">
        <v>38</v>
      </c>
      <c r="B40">
        <v>2</v>
      </c>
      <c r="C40">
        <v>2</v>
      </c>
      <c r="D40" s="1">
        <v>24.89</v>
      </c>
      <c r="E40">
        <v>25.87</v>
      </c>
      <c r="G40">
        <v>38</v>
      </c>
      <c r="H40">
        <v>1</v>
      </c>
      <c r="I40">
        <v>1</v>
      </c>
    </row>
    <row r="41" spans="1:9">
      <c r="A41">
        <v>39</v>
      </c>
      <c r="B41">
        <v>3</v>
      </c>
      <c r="C41">
        <v>3</v>
      </c>
      <c r="D41" s="1">
        <v>20.54</v>
      </c>
      <c r="E41">
        <v>26.11</v>
      </c>
      <c r="G41">
        <v>39</v>
      </c>
      <c r="H41">
        <v>1</v>
      </c>
      <c r="I41">
        <v>1</v>
      </c>
    </row>
    <row r="42" spans="1:9">
      <c r="A42">
        <v>40</v>
      </c>
      <c r="B42">
        <v>1</v>
      </c>
      <c r="C42">
        <v>1</v>
      </c>
      <c r="D42" s="1">
        <v>22.77</v>
      </c>
      <c r="E42">
        <v>25.1</v>
      </c>
      <c r="G42">
        <v>40</v>
      </c>
      <c r="H42">
        <v>1</v>
      </c>
      <c r="I42">
        <v>2</v>
      </c>
    </row>
    <row r="43" spans="1:9">
      <c r="A43">
        <v>41</v>
      </c>
      <c r="B43">
        <v>2</v>
      </c>
      <c r="C43">
        <v>3</v>
      </c>
      <c r="D43" s="1">
        <v>21.49</v>
      </c>
      <c r="E43">
        <v>28.55</v>
      </c>
      <c r="G43">
        <v>41</v>
      </c>
      <c r="H43">
        <v>1</v>
      </c>
      <c r="I43">
        <v>2</v>
      </c>
    </row>
    <row r="44" spans="1:9">
      <c r="A44">
        <v>42</v>
      </c>
      <c r="B44">
        <v>5</v>
      </c>
      <c r="C44">
        <v>5</v>
      </c>
      <c r="D44" s="1">
        <v>22.16</v>
      </c>
      <c r="E44">
        <v>29.87</v>
      </c>
      <c r="G44">
        <v>42</v>
      </c>
      <c r="H44">
        <v>1</v>
      </c>
      <c r="I44">
        <v>2</v>
      </c>
    </row>
    <row r="45" spans="1:9">
      <c r="A45">
        <v>43</v>
      </c>
      <c r="B45">
        <v>1</v>
      </c>
      <c r="C45">
        <v>2</v>
      </c>
      <c r="D45" s="1">
        <v>22.7</v>
      </c>
      <c r="E45">
        <v>29.44</v>
      </c>
      <c r="G45">
        <v>43</v>
      </c>
      <c r="H45">
        <v>1</v>
      </c>
      <c r="I45">
        <v>2</v>
      </c>
    </row>
    <row r="46" spans="1:9">
      <c r="A46">
        <v>44</v>
      </c>
      <c r="B46">
        <v>2</v>
      </c>
      <c r="C46">
        <v>3</v>
      </c>
      <c r="D46" s="1">
        <v>21.74</v>
      </c>
      <c r="E46">
        <v>28.57</v>
      </c>
      <c r="G46">
        <v>44</v>
      </c>
      <c r="H46">
        <v>1</v>
      </c>
      <c r="I46">
        <v>2</v>
      </c>
    </row>
    <row r="47" spans="1:9">
      <c r="A47">
        <v>45</v>
      </c>
      <c r="B47">
        <v>6</v>
      </c>
      <c r="C47">
        <v>6</v>
      </c>
      <c r="D47" s="1">
        <v>22.72</v>
      </c>
      <c r="E47">
        <v>21.22</v>
      </c>
      <c r="G47">
        <v>45</v>
      </c>
      <c r="H47">
        <v>1</v>
      </c>
      <c r="I47">
        <v>2</v>
      </c>
    </row>
    <row r="48" spans="1:9">
      <c r="A48">
        <v>46</v>
      </c>
      <c r="B48">
        <v>2</v>
      </c>
      <c r="C48">
        <v>2</v>
      </c>
      <c r="D48" s="1">
        <v>21.43</v>
      </c>
      <c r="E48">
        <v>22.12</v>
      </c>
      <c r="G48">
        <v>46</v>
      </c>
      <c r="H48">
        <v>1</v>
      </c>
      <c r="I48">
        <v>2</v>
      </c>
    </row>
    <row r="49" spans="1:9">
      <c r="A49">
        <v>47</v>
      </c>
      <c r="B49">
        <v>4</v>
      </c>
      <c r="C49">
        <v>4</v>
      </c>
      <c r="D49" s="1">
        <v>22.61</v>
      </c>
      <c r="E49">
        <v>27.22</v>
      </c>
      <c r="G49">
        <v>47</v>
      </c>
      <c r="H49">
        <v>1</v>
      </c>
      <c r="I49">
        <v>2</v>
      </c>
    </row>
    <row r="50" spans="1:9">
      <c r="A50">
        <v>48</v>
      </c>
      <c r="B50">
        <v>1</v>
      </c>
      <c r="C50">
        <v>1</v>
      </c>
      <c r="D50" s="1">
        <v>20.91</v>
      </c>
      <c r="E50">
        <v>22.53</v>
      </c>
      <c r="G50">
        <v>48</v>
      </c>
      <c r="H50">
        <v>1</v>
      </c>
      <c r="I50">
        <v>2</v>
      </c>
    </row>
    <row r="51" spans="1:9">
      <c r="A51">
        <v>49</v>
      </c>
      <c r="B51">
        <v>1</v>
      </c>
      <c r="C51">
        <v>1</v>
      </c>
      <c r="D51" s="1">
        <v>24.7</v>
      </c>
      <c r="E51">
        <v>26.58</v>
      </c>
      <c r="G51">
        <v>49</v>
      </c>
      <c r="H51">
        <v>1</v>
      </c>
      <c r="I51">
        <v>2</v>
      </c>
    </row>
    <row r="52" spans="1:9">
      <c r="A52">
        <v>50</v>
      </c>
      <c r="B52">
        <v>6</v>
      </c>
      <c r="C52">
        <v>6</v>
      </c>
      <c r="D52" s="1">
        <v>21.85</v>
      </c>
      <c r="E52">
        <v>28.51</v>
      </c>
      <c r="G52">
        <v>50</v>
      </c>
      <c r="H52">
        <v>1</v>
      </c>
      <c r="I52">
        <v>2</v>
      </c>
    </row>
    <row r="53" spans="1:9">
      <c r="A53">
        <v>51</v>
      </c>
      <c r="B53">
        <v>4</v>
      </c>
      <c r="C53">
        <v>4</v>
      </c>
      <c r="D53" s="1">
        <v>23.02</v>
      </c>
      <c r="E53">
        <v>24.51</v>
      </c>
      <c r="G53">
        <v>51</v>
      </c>
      <c r="H53">
        <v>1</v>
      </c>
      <c r="I53">
        <v>2</v>
      </c>
    </row>
    <row r="54" spans="1:9">
      <c r="A54">
        <v>52</v>
      </c>
      <c r="B54">
        <v>1</v>
      </c>
      <c r="C54">
        <v>2</v>
      </c>
      <c r="D54" s="1">
        <v>21.86</v>
      </c>
      <c r="E54">
        <v>23.19</v>
      </c>
      <c r="G54">
        <v>52</v>
      </c>
      <c r="H54">
        <v>1</v>
      </c>
      <c r="I54">
        <v>2</v>
      </c>
    </row>
    <row r="55" spans="1:9">
      <c r="A55">
        <v>53</v>
      </c>
      <c r="B55">
        <v>1</v>
      </c>
      <c r="C55">
        <v>1</v>
      </c>
      <c r="D55" s="1">
        <v>23.34</v>
      </c>
      <c r="E55">
        <v>28.28</v>
      </c>
      <c r="G55">
        <v>53</v>
      </c>
      <c r="H55">
        <v>1</v>
      </c>
      <c r="I55">
        <v>2</v>
      </c>
    </row>
    <row r="56" spans="1:9">
      <c r="A56">
        <v>54</v>
      </c>
      <c r="B56">
        <v>1</v>
      </c>
      <c r="C56">
        <v>1</v>
      </c>
      <c r="D56" s="1">
        <v>21.45</v>
      </c>
      <c r="E56">
        <v>24.3</v>
      </c>
      <c r="G56">
        <v>54</v>
      </c>
      <c r="H56">
        <v>1</v>
      </c>
      <c r="I56">
        <v>2</v>
      </c>
    </row>
    <row r="57" spans="1:9">
      <c r="A57">
        <v>55</v>
      </c>
      <c r="B57">
        <v>6</v>
      </c>
      <c r="C57">
        <v>6</v>
      </c>
      <c r="D57" s="1">
        <v>21.34</v>
      </c>
      <c r="E57">
        <v>29.3</v>
      </c>
      <c r="G57">
        <v>55</v>
      </c>
      <c r="H57">
        <v>1</v>
      </c>
      <c r="I57">
        <v>2</v>
      </c>
    </row>
    <row r="58" spans="1:9">
      <c r="A58">
        <v>56</v>
      </c>
      <c r="B58">
        <v>4</v>
      </c>
      <c r="C58">
        <v>4</v>
      </c>
      <c r="D58" s="1">
        <v>25.66</v>
      </c>
      <c r="E58">
        <v>25.93</v>
      </c>
      <c r="G58">
        <v>56</v>
      </c>
      <c r="H58">
        <v>1</v>
      </c>
      <c r="I58">
        <v>2</v>
      </c>
    </row>
    <row r="59" spans="1:9">
      <c r="A59">
        <v>57</v>
      </c>
      <c r="B59">
        <v>3</v>
      </c>
      <c r="C59">
        <v>3</v>
      </c>
      <c r="D59" s="1">
        <v>24.13</v>
      </c>
      <c r="E59">
        <v>24.79</v>
      </c>
      <c r="G59">
        <v>57</v>
      </c>
      <c r="H59">
        <v>2</v>
      </c>
      <c r="I59">
        <v>2</v>
      </c>
    </row>
    <row r="60" spans="1:9">
      <c r="A60">
        <v>58</v>
      </c>
      <c r="B60">
        <v>2</v>
      </c>
      <c r="C60">
        <v>2</v>
      </c>
      <c r="D60" s="1">
        <v>25.78</v>
      </c>
      <c r="E60">
        <v>24.58</v>
      </c>
      <c r="G60">
        <v>58</v>
      </c>
      <c r="H60">
        <v>2</v>
      </c>
      <c r="I60">
        <v>2</v>
      </c>
    </row>
    <row r="61" spans="1:9">
      <c r="A61">
        <v>59</v>
      </c>
      <c r="B61">
        <v>4</v>
      </c>
      <c r="C61">
        <v>4</v>
      </c>
      <c r="D61" s="1">
        <v>27.01</v>
      </c>
      <c r="E61">
        <v>25.17</v>
      </c>
      <c r="G61">
        <v>59</v>
      </c>
      <c r="H61">
        <v>2</v>
      </c>
      <c r="I61">
        <v>2</v>
      </c>
    </row>
    <row r="62" spans="1:9">
      <c r="A62">
        <v>60</v>
      </c>
      <c r="B62">
        <v>2</v>
      </c>
      <c r="C62">
        <v>2</v>
      </c>
      <c r="D62" s="1">
        <v>19.489999999999998</v>
      </c>
      <c r="E62">
        <v>24.52</v>
      </c>
      <c r="G62">
        <v>60</v>
      </c>
      <c r="H62">
        <v>2</v>
      </c>
      <c r="I62">
        <v>2</v>
      </c>
    </row>
    <row r="63" spans="1:9">
      <c r="A63">
        <v>61</v>
      </c>
      <c r="B63">
        <v>5</v>
      </c>
      <c r="C63">
        <v>5</v>
      </c>
      <c r="D63" s="1">
        <v>18.940000000000001</v>
      </c>
      <c r="E63">
        <v>20.21</v>
      </c>
      <c r="G63">
        <v>61</v>
      </c>
      <c r="H63">
        <v>2</v>
      </c>
      <c r="I63">
        <v>2</v>
      </c>
    </row>
    <row r="64" spans="1:9">
      <c r="A64">
        <v>62</v>
      </c>
      <c r="B64">
        <v>2</v>
      </c>
      <c r="C64">
        <v>2</v>
      </c>
      <c r="D64" s="1">
        <v>24.4</v>
      </c>
      <c r="E64">
        <v>24.54</v>
      </c>
      <c r="G64">
        <v>62</v>
      </c>
      <c r="H64">
        <v>2</v>
      </c>
      <c r="I64">
        <v>2</v>
      </c>
    </row>
    <row r="65" spans="1:9">
      <c r="A65">
        <v>63</v>
      </c>
      <c r="B65">
        <v>2</v>
      </c>
      <c r="C65">
        <v>2</v>
      </c>
      <c r="D65" s="1">
        <v>27.27</v>
      </c>
      <c r="E65">
        <v>25.35</v>
      </c>
      <c r="G65">
        <v>63</v>
      </c>
      <c r="H65">
        <v>2</v>
      </c>
      <c r="I65">
        <v>2</v>
      </c>
    </row>
    <row r="66" spans="1:9">
      <c r="A66">
        <v>64</v>
      </c>
      <c r="B66">
        <v>2</v>
      </c>
      <c r="C66">
        <v>2</v>
      </c>
      <c r="D66" s="1">
        <v>25.08</v>
      </c>
      <c r="E66">
        <v>22.63</v>
      </c>
      <c r="G66">
        <v>64</v>
      </c>
      <c r="H66">
        <v>2</v>
      </c>
      <c r="I66">
        <v>2</v>
      </c>
    </row>
    <row r="67" spans="1:9">
      <c r="A67">
        <v>65</v>
      </c>
      <c r="B67">
        <v>1</v>
      </c>
      <c r="C67">
        <v>1</v>
      </c>
      <c r="D67" s="1">
        <v>17.559999999999999</v>
      </c>
      <c r="E67">
        <v>22.16</v>
      </c>
      <c r="G67">
        <v>65</v>
      </c>
      <c r="H67">
        <v>2</v>
      </c>
      <c r="I67">
        <v>2</v>
      </c>
    </row>
    <row r="68" spans="1:9">
      <c r="A68">
        <v>66</v>
      </c>
      <c r="B68">
        <v>3</v>
      </c>
      <c r="C68">
        <v>3</v>
      </c>
      <c r="D68" s="1">
        <v>25.02</v>
      </c>
      <c r="E68">
        <v>28.53</v>
      </c>
      <c r="G68">
        <v>66</v>
      </c>
      <c r="H68">
        <v>2</v>
      </c>
      <c r="I68">
        <v>2</v>
      </c>
    </row>
    <row r="69" spans="1:9">
      <c r="A69">
        <v>67</v>
      </c>
      <c r="B69">
        <v>2</v>
      </c>
      <c r="C69">
        <v>2</v>
      </c>
      <c r="D69" s="1">
        <v>18.53</v>
      </c>
      <c r="E69">
        <v>25.91</v>
      </c>
      <c r="G69">
        <v>67</v>
      </c>
      <c r="H69">
        <v>2</v>
      </c>
      <c r="I69">
        <v>2</v>
      </c>
    </row>
    <row r="70" spans="1:9">
      <c r="A70">
        <v>68</v>
      </c>
      <c r="B70">
        <v>4</v>
      </c>
      <c r="C70">
        <v>4</v>
      </c>
      <c r="D70" s="1">
        <v>18.329999999999998</v>
      </c>
      <c r="E70">
        <v>28.1</v>
      </c>
      <c r="G70">
        <v>68</v>
      </c>
      <c r="H70">
        <v>2</v>
      </c>
      <c r="I70">
        <v>2</v>
      </c>
    </row>
    <row r="71" spans="1:9">
      <c r="A71">
        <v>69</v>
      </c>
      <c r="B71">
        <v>2</v>
      </c>
      <c r="C71">
        <v>3</v>
      </c>
      <c r="D71" s="1">
        <v>22.55</v>
      </c>
      <c r="E71">
        <v>20.48</v>
      </c>
      <c r="G71">
        <v>69</v>
      </c>
      <c r="H71">
        <v>2</v>
      </c>
      <c r="I71">
        <v>2</v>
      </c>
    </row>
    <row r="72" spans="1:9">
      <c r="A72">
        <v>70</v>
      </c>
      <c r="B72">
        <v>1</v>
      </c>
      <c r="C72">
        <v>2</v>
      </c>
      <c r="D72" s="1">
        <v>22.93</v>
      </c>
      <c r="E72">
        <v>21.29</v>
      </c>
      <c r="G72">
        <v>70</v>
      </c>
      <c r="H72">
        <v>2</v>
      </c>
      <c r="I72">
        <v>2</v>
      </c>
    </row>
    <row r="73" spans="1:9">
      <c r="A73">
        <v>71</v>
      </c>
      <c r="B73">
        <v>2</v>
      </c>
      <c r="C73">
        <v>2</v>
      </c>
      <c r="D73" s="1">
        <v>23.18</v>
      </c>
      <c r="E73">
        <v>26.29</v>
      </c>
      <c r="G73">
        <v>71</v>
      </c>
      <c r="H73">
        <v>2</v>
      </c>
      <c r="I73">
        <v>2</v>
      </c>
    </row>
    <row r="74" spans="1:9">
      <c r="A74">
        <v>72</v>
      </c>
      <c r="B74">
        <v>2</v>
      </c>
      <c r="C74">
        <v>3</v>
      </c>
      <c r="D74" s="1">
        <v>25.57</v>
      </c>
      <c r="E74">
        <v>22.65</v>
      </c>
      <c r="G74">
        <v>72</v>
      </c>
      <c r="H74">
        <v>2</v>
      </c>
      <c r="I74">
        <v>2</v>
      </c>
    </row>
    <row r="75" spans="1:9">
      <c r="A75">
        <v>73</v>
      </c>
      <c r="B75">
        <v>1</v>
      </c>
      <c r="C75">
        <v>2</v>
      </c>
      <c r="D75" s="1">
        <v>23.18</v>
      </c>
      <c r="E75">
        <v>28.96</v>
      </c>
      <c r="G75">
        <v>73</v>
      </c>
      <c r="H75">
        <v>2</v>
      </c>
      <c r="I75">
        <v>2</v>
      </c>
    </row>
    <row r="76" spans="1:9">
      <c r="A76">
        <v>74</v>
      </c>
      <c r="B76">
        <v>4</v>
      </c>
      <c r="C76">
        <v>4</v>
      </c>
      <c r="D76" s="1">
        <v>20.89</v>
      </c>
      <c r="E76">
        <v>24.29</v>
      </c>
      <c r="G76">
        <v>74</v>
      </c>
      <c r="H76">
        <v>2</v>
      </c>
      <c r="I76">
        <v>2</v>
      </c>
    </row>
    <row r="77" spans="1:9">
      <c r="A77">
        <v>75</v>
      </c>
      <c r="B77">
        <v>2</v>
      </c>
      <c r="C77">
        <v>2</v>
      </c>
      <c r="D77" s="1">
        <v>20.64</v>
      </c>
      <c r="E77">
        <v>22.69</v>
      </c>
      <c r="G77">
        <v>75</v>
      </c>
      <c r="H77">
        <v>2</v>
      </c>
      <c r="I77">
        <v>2</v>
      </c>
    </row>
    <row r="78" spans="1:9">
      <c r="A78">
        <v>76</v>
      </c>
      <c r="B78">
        <v>4</v>
      </c>
      <c r="C78">
        <v>4</v>
      </c>
      <c r="D78" s="1">
        <v>21.68</v>
      </c>
      <c r="E78">
        <v>25.57</v>
      </c>
      <c r="G78">
        <v>76</v>
      </c>
      <c r="H78">
        <v>2</v>
      </c>
      <c r="I78">
        <v>2</v>
      </c>
    </row>
    <row r="79" spans="1:9">
      <c r="A79">
        <v>77</v>
      </c>
      <c r="B79">
        <v>6</v>
      </c>
      <c r="C79">
        <v>6</v>
      </c>
      <c r="D79" s="1">
        <v>27.75</v>
      </c>
      <c r="E79">
        <v>25.1</v>
      </c>
      <c r="G79">
        <v>77</v>
      </c>
      <c r="H79">
        <v>2</v>
      </c>
      <c r="I79">
        <v>2</v>
      </c>
    </row>
    <row r="80" spans="1:9">
      <c r="A80">
        <v>78</v>
      </c>
      <c r="B80">
        <v>2</v>
      </c>
      <c r="C80">
        <v>2</v>
      </c>
      <c r="D80" s="1">
        <v>28.08</v>
      </c>
      <c r="E80">
        <v>29.77</v>
      </c>
      <c r="G80">
        <v>78</v>
      </c>
      <c r="H80">
        <v>2</v>
      </c>
      <c r="I80">
        <v>2</v>
      </c>
    </row>
    <row r="81" spans="1:9">
      <c r="A81">
        <v>79</v>
      </c>
      <c r="B81">
        <v>4</v>
      </c>
      <c r="C81">
        <v>4</v>
      </c>
      <c r="D81" s="1">
        <v>25.1</v>
      </c>
      <c r="E81">
        <v>24.06</v>
      </c>
      <c r="G81">
        <v>79</v>
      </c>
      <c r="H81">
        <v>2</v>
      </c>
      <c r="I81">
        <v>2</v>
      </c>
    </row>
    <row r="82" spans="1:9">
      <c r="A82">
        <v>80</v>
      </c>
      <c r="B82">
        <v>2</v>
      </c>
      <c r="C82">
        <v>2</v>
      </c>
      <c r="D82" s="1">
        <v>24.63</v>
      </c>
      <c r="E82">
        <v>28.35</v>
      </c>
      <c r="G82">
        <v>80</v>
      </c>
      <c r="H82">
        <v>2</v>
      </c>
      <c r="I82">
        <v>2</v>
      </c>
    </row>
    <row r="83" spans="1:9">
      <c r="A83">
        <v>81</v>
      </c>
      <c r="B83">
        <v>2</v>
      </c>
      <c r="C83">
        <v>2</v>
      </c>
      <c r="D83" s="1">
        <v>18.82</v>
      </c>
      <c r="E83">
        <v>25.01</v>
      </c>
      <c r="G83">
        <v>81</v>
      </c>
      <c r="H83">
        <v>2</v>
      </c>
      <c r="I83">
        <v>2</v>
      </c>
    </row>
    <row r="84" spans="1:9">
      <c r="A84">
        <v>82</v>
      </c>
      <c r="B84">
        <v>6</v>
      </c>
      <c r="C84">
        <v>6</v>
      </c>
      <c r="D84" s="1">
        <v>21.5</v>
      </c>
      <c r="E84">
        <v>28.31</v>
      </c>
      <c r="G84">
        <v>82</v>
      </c>
      <c r="H84">
        <v>2</v>
      </c>
      <c r="I84">
        <v>2</v>
      </c>
    </row>
    <row r="85" spans="1:9">
      <c r="A85">
        <v>83</v>
      </c>
      <c r="B85">
        <v>2</v>
      </c>
      <c r="C85">
        <v>3</v>
      </c>
      <c r="D85" s="1">
        <v>20.93</v>
      </c>
      <c r="E85">
        <v>26.16</v>
      </c>
      <c r="G85">
        <v>83</v>
      </c>
      <c r="H85">
        <v>2</v>
      </c>
      <c r="I85">
        <v>2</v>
      </c>
    </row>
    <row r="86" spans="1:9">
      <c r="A86">
        <v>84</v>
      </c>
      <c r="B86">
        <v>1</v>
      </c>
      <c r="C86">
        <v>2</v>
      </c>
      <c r="D86" s="1">
        <v>24.51</v>
      </c>
      <c r="E86">
        <v>25.6</v>
      </c>
      <c r="G86">
        <v>84</v>
      </c>
      <c r="H86">
        <v>2</v>
      </c>
      <c r="I86">
        <v>2</v>
      </c>
    </row>
    <row r="87" spans="1:9">
      <c r="A87">
        <v>85</v>
      </c>
      <c r="B87">
        <v>5</v>
      </c>
      <c r="C87">
        <v>5</v>
      </c>
      <c r="D87" s="1">
        <v>25.14</v>
      </c>
      <c r="E87">
        <v>29.41</v>
      </c>
      <c r="G87">
        <v>85</v>
      </c>
      <c r="H87">
        <v>2</v>
      </c>
      <c r="I87">
        <v>2</v>
      </c>
    </row>
    <row r="88" spans="1:9">
      <c r="A88">
        <v>86</v>
      </c>
      <c r="B88">
        <v>2</v>
      </c>
      <c r="C88">
        <v>3</v>
      </c>
      <c r="D88" s="1">
        <v>21.22</v>
      </c>
      <c r="E88">
        <v>27.42</v>
      </c>
      <c r="G88">
        <v>86</v>
      </c>
      <c r="H88">
        <v>2</v>
      </c>
      <c r="I88">
        <v>2</v>
      </c>
    </row>
    <row r="89" spans="1:9">
      <c r="A89">
        <v>87</v>
      </c>
      <c r="B89">
        <v>5</v>
      </c>
      <c r="C89">
        <v>5</v>
      </c>
      <c r="D89" s="1">
        <v>20.57</v>
      </c>
      <c r="E89">
        <v>25.05</v>
      </c>
      <c r="G89">
        <v>87</v>
      </c>
      <c r="H89">
        <v>2</v>
      </c>
      <c r="I89">
        <v>2</v>
      </c>
    </row>
    <row r="90" spans="1:9">
      <c r="A90">
        <v>88</v>
      </c>
      <c r="B90">
        <v>3</v>
      </c>
      <c r="C90">
        <v>3</v>
      </c>
      <c r="D90" s="1">
        <v>22.65</v>
      </c>
      <c r="E90">
        <v>21.89</v>
      </c>
      <c r="G90">
        <v>88</v>
      </c>
      <c r="H90">
        <v>2</v>
      </c>
      <c r="I90">
        <v>2</v>
      </c>
    </row>
    <row r="91" spans="1:9">
      <c r="A91">
        <v>89</v>
      </c>
      <c r="B91">
        <v>2</v>
      </c>
      <c r="C91">
        <v>2</v>
      </c>
      <c r="D91" s="1">
        <v>22.03</v>
      </c>
      <c r="E91">
        <v>27.28</v>
      </c>
      <c r="G91">
        <v>89</v>
      </c>
      <c r="H91">
        <v>2</v>
      </c>
      <c r="I91">
        <v>2</v>
      </c>
    </row>
    <row r="92" spans="1:9">
      <c r="A92">
        <v>90</v>
      </c>
      <c r="B92">
        <v>4</v>
      </c>
      <c r="C92">
        <v>4</v>
      </c>
      <c r="D92" s="1">
        <v>21.82</v>
      </c>
      <c r="E92">
        <v>26.52</v>
      </c>
      <c r="G92">
        <v>90</v>
      </c>
      <c r="H92">
        <v>2</v>
      </c>
      <c r="I92">
        <v>2</v>
      </c>
    </row>
    <row r="93" spans="1:9">
      <c r="A93">
        <v>91</v>
      </c>
      <c r="B93">
        <v>6</v>
      </c>
      <c r="C93">
        <v>6</v>
      </c>
      <c r="D93" s="1">
        <v>21.12</v>
      </c>
      <c r="E93">
        <v>26.66</v>
      </c>
      <c r="G93">
        <v>91</v>
      </c>
      <c r="H93">
        <v>2</v>
      </c>
      <c r="I93">
        <v>2</v>
      </c>
    </row>
    <row r="94" spans="1:9">
      <c r="A94">
        <v>92</v>
      </c>
      <c r="B94">
        <v>4</v>
      </c>
      <c r="C94">
        <v>4</v>
      </c>
      <c r="D94" s="1">
        <v>22.94</v>
      </c>
      <c r="E94">
        <v>24.67</v>
      </c>
      <c r="G94">
        <v>92</v>
      </c>
      <c r="H94">
        <v>2</v>
      </c>
      <c r="I94">
        <v>2</v>
      </c>
    </row>
    <row r="95" spans="1:9">
      <c r="A95">
        <v>93</v>
      </c>
      <c r="B95">
        <v>2</v>
      </c>
      <c r="C95">
        <v>2</v>
      </c>
      <c r="D95" s="1">
        <v>23.84</v>
      </c>
      <c r="E95">
        <v>22.43</v>
      </c>
      <c r="G95">
        <v>93</v>
      </c>
      <c r="H95">
        <v>2</v>
      </c>
      <c r="I95">
        <v>2</v>
      </c>
    </row>
    <row r="96" spans="1:9">
      <c r="A96">
        <v>94</v>
      </c>
      <c r="B96">
        <v>1</v>
      </c>
      <c r="C96">
        <v>2</v>
      </c>
      <c r="D96" s="1">
        <v>24.3</v>
      </c>
      <c r="E96">
        <v>26.21</v>
      </c>
      <c r="G96">
        <v>94</v>
      </c>
      <c r="H96">
        <v>2</v>
      </c>
      <c r="I96">
        <v>2</v>
      </c>
    </row>
    <row r="97" spans="1:9">
      <c r="A97">
        <v>95</v>
      </c>
      <c r="B97">
        <v>2</v>
      </c>
      <c r="C97">
        <v>3</v>
      </c>
      <c r="D97" s="1">
        <v>20.69</v>
      </c>
      <c r="E97">
        <v>27.72</v>
      </c>
      <c r="G97">
        <v>95</v>
      </c>
      <c r="H97">
        <v>2</v>
      </c>
      <c r="I97">
        <v>2</v>
      </c>
    </row>
    <row r="98" spans="1:9">
      <c r="A98">
        <v>96</v>
      </c>
      <c r="B98">
        <v>1</v>
      </c>
      <c r="C98">
        <v>1</v>
      </c>
      <c r="D98" s="1">
        <v>23.02</v>
      </c>
      <c r="E98">
        <v>23.69</v>
      </c>
      <c r="G98">
        <v>96</v>
      </c>
      <c r="H98">
        <v>2</v>
      </c>
      <c r="I98">
        <v>3</v>
      </c>
    </row>
    <row r="99" spans="1:9">
      <c r="A99">
        <v>97</v>
      </c>
      <c r="B99">
        <v>4</v>
      </c>
      <c r="C99">
        <v>3</v>
      </c>
      <c r="D99" s="1">
        <v>18.239999999999998</v>
      </c>
      <c r="E99">
        <v>26.94</v>
      </c>
      <c r="G99">
        <v>97</v>
      </c>
      <c r="H99">
        <v>2</v>
      </c>
      <c r="I99">
        <v>3</v>
      </c>
    </row>
    <row r="100" spans="1:9">
      <c r="A100">
        <v>98</v>
      </c>
      <c r="B100">
        <v>2</v>
      </c>
      <c r="C100">
        <v>2</v>
      </c>
      <c r="D100" s="1">
        <v>24.46</v>
      </c>
      <c r="E100">
        <v>25.99</v>
      </c>
      <c r="G100">
        <v>98</v>
      </c>
      <c r="H100">
        <v>2</v>
      </c>
      <c r="I100">
        <v>3</v>
      </c>
    </row>
    <row r="101" spans="1:9">
      <c r="A101">
        <v>99</v>
      </c>
      <c r="B101">
        <v>7</v>
      </c>
      <c r="C101">
        <v>7</v>
      </c>
      <c r="D101" s="1">
        <v>23.49</v>
      </c>
      <c r="E101">
        <v>22.67</v>
      </c>
      <c r="G101">
        <v>99</v>
      </c>
      <c r="H101">
        <v>2</v>
      </c>
      <c r="I101">
        <v>3</v>
      </c>
    </row>
    <row r="102" spans="1:9">
      <c r="A102">
        <v>100</v>
      </c>
      <c r="B102">
        <v>2</v>
      </c>
      <c r="C102">
        <v>2</v>
      </c>
      <c r="D102" s="1">
        <v>25.56</v>
      </c>
      <c r="E102">
        <v>28.8</v>
      </c>
      <c r="G102">
        <v>100</v>
      </c>
      <c r="H102">
        <v>2</v>
      </c>
      <c r="I102">
        <v>3</v>
      </c>
    </row>
    <row r="103" spans="1:9">
      <c r="A103">
        <v>101</v>
      </c>
      <c r="B103">
        <v>4</v>
      </c>
      <c r="C103">
        <v>4</v>
      </c>
      <c r="D103" s="1">
        <v>23.05</v>
      </c>
      <c r="E103">
        <v>28.57</v>
      </c>
      <c r="G103">
        <v>101</v>
      </c>
      <c r="H103">
        <v>2</v>
      </c>
      <c r="I103">
        <v>3</v>
      </c>
    </row>
    <row r="104" spans="1:9">
      <c r="A104">
        <v>102</v>
      </c>
      <c r="B104">
        <v>3</v>
      </c>
      <c r="C104">
        <v>3</v>
      </c>
      <c r="D104" s="1">
        <v>21.7</v>
      </c>
      <c r="E104">
        <v>25.2</v>
      </c>
      <c r="G104">
        <v>102</v>
      </c>
      <c r="H104">
        <v>2</v>
      </c>
      <c r="I104">
        <v>3</v>
      </c>
    </row>
    <row r="105" spans="1:9">
      <c r="A105">
        <v>103</v>
      </c>
      <c r="B105">
        <v>1</v>
      </c>
      <c r="C105">
        <v>1</v>
      </c>
      <c r="D105" s="1">
        <v>21.47</v>
      </c>
      <c r="E105">
        <v>25.29</v>
      </c>
      <c r="G105">
        <v>103</v>
      </c>
      <c r="H105">
        <v>2</v>
      </c>
      <c r="I105">
        <v>3</v>
      </c>
    </row>
    <row r="106" spans="1:9">
      <c r="A106">
        <v>104</v>
      </c>
      <c r="B106">
        <v>1</v>
      </c>
      <c r="C106">
        <v>1</v>
      </c>
      <c r="D106" s="1">
        <v>24.12</v>
      </c>
      <c r="E106">
        <v>28.84</v>
      </c>
      <c r="G106">
        <v>104</v>
      </c>
      <c r="H106">
        <v>2</v>
      </c>
      <c r="I106">
        <v>3</v>
      </c>
    </row>
    <row r="107" spans="1:9">
      <c r="A107">
        <v>105</v>
      </c>
      <c r="B107">
        <v>4</v>
      </c>
      <c r="C107">
        <v>4</v>
      </c>
      <c r="D107" s="1">
        <v>26.54</v>
      </c>
      <c r="E107">
        <v>29.54</v>
      </c>
      <c r="G107">
        <v>105</v>
      </c>
      <c r="H107">
        <v>2</v>
      </c>
      <c r="I107">
        <v>3</v>
      </c>
    </row>
    <row r="108" spans="1:9">
      <c r="A108">
        <v>106</v>
      </c>
      <c r="B108">
        <v>3</v>
      </c>
      <c r="C108">
        <v>3</v>
      </c>
      <c r="D108" s="1">
        <v>21.32</v>
      </c>
      <c r="E108">
        <v>26.67</v>
      </c>
      <c r="G108">
        <v>106</v>
      </c>
      <c r="H108">
        <v>2</v>
      </c>
      <c r="I108">
        <v>3</v>
      </c>
    </row>
    <row r="109" spans="1:9">
      <c r="A109">
        <v>107</v>
      </c>
      <c r="B109">
        <v>1</v>
      </c>
      <c r="C109">
        <v>1</v>
      </c>
      <c r="D109" s="1">
        <v>24.54</v>
      </c>
      <c r="E109">
        <v>28</v>
      </c>
      <c r="G109">
        <v>107</v>
      </c>
      <c r="H109">
        <v>2</v>
      </c>
      <c r="I109">
        <v>3</v>
      </c>
    </row>
    <row r="110" spans="1:9">
      <c r="A110">
        <v>108</v>
      </c>
      <c r="B110">
        <v>4</v>
      </c>
      <c r="C110">
        <v>4</v>
      </c>
      <c r="D110" s="1">
        <v>21.96</v>
      </c>
      <c r="E110">
        <v>25.4</v>
      </c>
      <c r="G110">
        <v>108</v>
      </c>
      <c r="H110">
        <v>2</v>
      </c>
      <c r="I110">
        <v>3</v>
      </c>
    </row>
    <row r="111" spans="1:9">
      <c r="A111">
        <v>109</v>
      </c>
      <c r="B111">
        <v>5</v>
      </c>
      <c r="C111">
        <v>5</v>
      </c>
      <c r="D111" s="1">
        <v>22.22</v>
      </c>
      <c r="E111">
        <v>27.63</v>
      </c>
      <c r="G111">
        <v>109</v>
      </c>
      <c r="H111">
        <v>2</v>
      </c>
      <c r="I111">
        <v>3</v>
      </c>
    </row>
    <row r="112" spans="1:9">
      <c r="A112">
        <v>110</v>
      </c>
      <c r="B112">
        <v>2</v>
      </c>
      <c r="C112">
        <v>2</v>
      </c>
      <c r="D112" s="1">
        <v>21.46</v>
      </c>
      <c r="E112">
        <v>21.07</v>
      </c>
      <c r="G112">
        <v>110</v>
      </c>
      <c r="H112">
        <v>2</v>
      </c>
      <c r="I112">
        <v>3</v>
      </c>
    </row>
    <row r="113" spans="1:9">
      <c r="A113">
        <v>111</v>
      </c>
      <c r="B113">
        <v>3</v>
      </c>
      <c r="C113">
        <v>3</v>
      </c>
      <c r="D113" s="1">
        <v>22.14</v>
      </c>
      <c r="E113">
        <v>24.69</v>
      </c>
      <c r="G113">
        <v>111</v>
      </c>
      <c r="H113">
        <v>2</v>
      </c>
      <c r="I113">
        <v>3</v>
      </c>
    </row>
    <row r="114" spans="1:9">
      <c r="A114">
        <v>112</v>
      </c>
      <c r="B114">
        <v>2</v>
      </c>
      <c r="C114">
        <v>3</v>
      </c>
      <c r="D114" s="1">
        <v>21.17</v>
      </c>
      <c r="E114">
        <v>25.08</v>
      </c>
      <c r="G114">
        <v>112</v>
      </c>
      <c r="H114">
        <v>3</v>
      </c>
      <c r="I114">
        <v>3</v>
      </c>
    </row>
    <row r="115" spans="1:9">
      <c r="A115">
        <v>113</v>
      </c>
      <c r="B115">
        <v>2</v>
      </c>
      <c r="C115">
        <v>3</v>
      </c>
      <c r="D115" s="1">
        <v>17.89</v>
      </c>
      <c r="E115">
        <v>24.66</v>
      </c>
      <c r="G115">
        <v>113</v>
      </c>
      <c r="H115">
        <v>3</v>
      </c>
      <c r="I115">
        <v>3</v>
      </c>
    </row>
    <row r="116" spans="1:9">
      <c r="A116">
        <v>114</v>
      </c>
      <c r="B116">
        <v>4</v>
      </c>
      <c r="C116">
        <v>4</v>
      </c>
      <c r="D116" s="1">
        <v>22.16</v>
      </c>
      <c r="E116">
        <v>25.9</v>
      </c>
      <c r="G116">
        <v>114</v>
      </c>
      <c r="H116">
        <v>3</v>
      </c>
      <c r="I116">
        <v>3</v>
      </c>
    </row>
    <row r="117" spans="1:9">
      <c r="A117">
        <v>115</v>
      </c>
      <c r="B117">
        <v>3</v>
      </c>
      <c r="C117">
        <v>3</v>
      </c>
      <c r="D117" s="1">
        <v>19.71</v>
      </c>
      <c r="E117">
        <v>22.95</v>
      </c>
      <c r="G117">
        <v>115</v>
      </c>
      <c r="H117">
        <v>3</v>
      </c>
      <c r="I117">
        <v>3</v>
      </c>
    </row>
    <row r="118" spans="1:9">
      <c r="A118">
        <v>116</v>
      </c>
      <c r="B118">
        <v>2</v>
      </c>
      <c r="C118">
        <v>2</v>
      </c>
      <c r="D118" s="1">
        <v>25.35</v>
      </c>
      <c r="E118">
        <v>29.93</v>
      </c>
      <c r="G118">
        <v>116</v>
      </c>
      <c r="H118">
        <v>3</v>
      </c>
      <c r="I118">
        <v>3</v>
      </c>
    </row>
    <row r="119" spans="1:9">
      <c r="A119">
        <v>117</v>
      </c>
      <c r="B119">
        <v>5</v>
      </c>
      <c r="C119">
        <v>5</v>
      </c>
      <c r="D119" s="1">
        <v>22.96</v>
      </c>
      <c r="E119">
        <v>26.27</v>
      </c>
      <c r="G119">
        <v>117</v>
      </c>
      <c r="H119">
        <v>3</v>
      </c>
      <c r="I119">
        <v>3</v>
      </c>
    </row>
    <row r="120" spans="1:9">
      <c r="A120">
        <v>118</v>
      </c>
      <c r="B120">
        <v>2</v>
      </c>
      <c r="C120">
        <v>2</v>
      </c>
      <c r="D120" s="1">
        <v>19.55</v>
      </c>
      <c r="E120">
        <v>20.85</v>
      </c>
      <c r="G120">
        <v>118</v>
      </c>
      <c r="H120">
        <v>3</v>
      </c>
      <c r="I120">
        <v>3</v>
      </c>
    </row>
    <row r="121" spans="1:9">
      <c r="A121">
        <v>119</v>
      </c>
      <c r="B121">
        <v>1</v>
      </c>
      <c r="C121">
        <v>2</v>
      </c>
      <c r="D121" s="1">
        <v>19.73</v>
      </c>
      <c r="E121">
        <v>28.41</v>
      </c>
      <c r="G121">
        <v>119</v>
      </c>
      <c r="H121">
        <v>3</v>
      </c>
      <c r="I121">
        <v>3</v>
      </c>
    </row>
    <row r="122" spans="1:9">
      <c r="A122">
        <v>120</v>
      </c>
      <c r="B122">
        <v>4</v>
      </c>
      <c r="C122">
        <v>4</v>
      </c>
      <c r="D122" s="1">
        <v>20.03</v>
      </c>
      <c r="E122">
        <v>24.71</v>
      </c>
      <c r="G122">
        <v>120</v>
      </c>
      <c r="H122">
        <v>3</v>
      </c>
      <c r="I122">
        <v>3</v>
      </c>
    </row>
    <row r="123" spans="1:9">
      <c r="A123">
        <v>121</v>
      </c>
      <c r="B123">
        <v>1</v>
      </c>
      <c r="C123">
        <v>1</v>
      </c>
      <c r="D123" s="1">
        <v>19.04</v>
      </c>
      <c r="E123">
        <v>22.22</v>
      </c>
      <c r="G123">
        <v>121</v>
      </c>
      <c r="H123">
        <v>3</v>
      </c>
      <c r="I123">
        <v>3</v>
      </c>
    </row>
    <row r="124" spans="1:9">
      <c r="A124">
        <v>122</v>
      </c>
      <c r="B124">
        <v>1</v>
      </c>
      <c r="C124">
        <v>1</v>
      </c>
      <c r="D124" s="1">
        <v>23.73</v>
      </c>
      <c r="E124">
        <v>29.91</v>
      </c>
      <c r="G124">
        <v>122</v>
      </c>
      <c r="H124">
        <v>3</v>
      </c>
      <c r="I124">
        <v>3</v>
      </c>
    </row>
    <row r="125" spans="1:9">
      <c r="A125">
        <v>123</v>
      </c>
      <c r="B125">
        <v>2</v>
      </c>
      <c r="C125">
        <v>3</v>
      </c>
      <c r="D125" s="1">
        <v>20.8</v>
      </c>
      <c r="E125">
        <v>23.94</v>
      </c>
      <c r="G125">
        <v>123</v>
      </c>
      <c r="H125">
        <v>3</v>
      </c>
      <c r="I125">
        <v>3</v>
      </c>
    </row>
    <row r="126" spans="1:9">
      <c r="A126">
        <v>124</v>
      </c>
      <c r="B126">
        <v>2</v>
      </c>
      <c r="C126">
        <v>3</v>
      </c>
      <c r="D126" s="1">
        <v>28.2</v>
      </c>
      <c r="E126">
        <v>28.9</v>
      </c>
      <c r="G126">
        <v>124</v>
      </c>
      <c r="H126">
        <v>3</v>
      </c>
      <c r="I126">
        <v>3</v>
      </c>
    </row>
    <row r="127" spans="1:9">
      <c r="A127">
        <v>125</v>
      </c>
      <c r="B127">
        <v>3</v>
      </c>
      <c r="C127">
        <v>3</v>
      </c>
      <c r="D127" s="1">
        <v>22.62</v>
      </c>
      <c r="E127">
        <v>21.79</v>
      </c>
      <c r="G127">
        <v>125</v>
      </c>
      <c r="H127">
        <v>3</v>
      </c>
      <c r="I127">
        <v>3</v>
      </c>
    </row>
    <row r="128" spans="1:9">
      <c r="A128">
        <v>126</v>
      </c>
      <c r="B128">
        <v>2</v>
      </c>
      <c r="C128">
        <v>2</v>
      </c>
      <c r="D128" s="1">
        <v>20.25</v>
      </c>
      <c r="E128">
        <v>25.88</v>
      </c>
      <c r="G128">
        <v>126</v>
      </c>
      <c r="H128">
        <v>3</v>
      </c>
      <c r="I128">
        <v>3</v>
      </c>
    </row>
    <row r="129" spans="1:9">
      <c r="A129">
        <v>127</v>
      </c>
      <c r="B129">
        <v>3</v>
      </c>
      <c r="C129">
        <v>3</v>
      </c>
      <c r="D129" s="1">
        <v>19.07</v>
      </c>
      <c r="E129">
        <v>28.84</v>
      </c>
      <c r="G129">
        <v>127</v>
      </c>
      <c r="H129">
        <v>3</v>
      </c>
      <c r="I129">
        <v>3</v>
      </c>
    </row>
    <row r="130" spans="1:9">
      <c r="A130">
        <v>128</v>
      </c>
      <c r="B130">
        <v>1</v>
      </c>
      <c r="C130">
        <v>1</v>
      </c>
      <c r="D130" s="1">
        <v>22.71</v>
      </c>
      <c r="E130">
        <v>27.36</v>
      </c>
      <c r="G130">
        <v>128</v>
      </c>
      <c r="H130">
        <v>3</v>
      </c>
      <c r="I130">
        <v>3</v>
      </c>
    </row>
    <row r="131" spans="1:9">
      <c r="A131">
        <v>129</v>
      </c>
      <c r="B131">
        <v>2</v>
      </c>
      <c r="C131">
        <v>3</v>
      </c>
      <c r="D131" s="1">
        <v>21.58</v>
      </c>
      <c r="E131">
        <v>25.01</v>
      </c>
      <c r="G131">
        <v>129</v>
      </c>
      <c r="H131">
        <v>3</v>
      </c>
      <c r="I131">
        <v>3</v>
      </c>
    </row>
    <row r="132" spans="1:9">
      <c r="A132">
        <v>130</v>
      </c>
      <c r="B132">
        <v>2</v>
      </c>
      <c r="C132">
        <v>2</v>
      </c>
      <c r="D132" s="1">
        <v>25.52</v>
      </c>
      <c r="E132">
        <v>23.53</v>
      </c>
      <c r="G132">
        <v>130</v>
      </c>
      <c r="H132">
        <v>3</v>
      </c>
      <c r="I132">
        <v>3</v>
      </c>
    </row>
    <row r="133" spans="1:9">
      <c r="A133">
        <v>131</v>
      </c>
      <c r="B133">
        <v>1</v>
      </c>
      <c r="C133">
        <v>1</v>
      </c>
      <c r="D133" s="1">
        <v>22.22</v>
      </c>
      <c r="E133">
        <v>20.68</v>
      </c>
      <c r="G133">
        <v>131</v>
      </c>
      <c r="H133">
        <v>3</v>
      </c>
      <c r="I133">
        <v>3</v>
      </c>
    </row>
    <row r="134" spans="1:9">
      <c r="A134">
        <v>132</v>
      </c>
      <c r="B134">
        <v>2</v>
      </c>
      <c r="C134">
        <v>2</v>
      </c>
      <c r="D134" s="1">
        <v>19.12</v>
      </c>
      <c r="E134">
        <v>29.77</v>
      </c>
      <c r="G134">
        <v>132</v>
      </c>
      <c r="H134">
        <v>3</v>
      </c>
      <c r="I134">
        <v>3</v>
      </c>
    </row>
    <row r="135" spans="1:9">
      <c r="A135">
        <v>133</v>
      </c>
      <c r="B135">
        <v>3</v>
      </c>
      <c r="C135">
        <v>3</v>
      </c>
      <c r="D135" s="1">
        <v>20.47</v>
      </c>
      <c r="E135">
        <v>23.44</v>
      </c>
      <c r="G135">
        <v>133</v>
      </c>
      <c r="H135">
        <v>3</v>
      </c>
      <c r="I135">
        <v>3</v>
      </c>
    </row>
    <row r="136" spans="1:9">
      <c r="A136">
        <v>134</v>
      </c>
      <c r="B136">
        <v>1</v>
      </c>
      <c r="C136">
        <v>1</v>
      </c>
      <c r="D136" s="1">
        <v>20.66</v>
      </c>
      <c r="E136">
        <v>28.5</v>
      </c>
      <c r="G136">
        <v>134</v>
      </c>
      <c r="H136">
        <v>3</v>
      </c>
      <c r="I136">
        <v>3</v>
      </c>
    </row>
    <row r="137" spans="1:9">
      <c r="A137">
        <v>135</v>
      </c>
      <c r="B137">
        <v>3</v>
      </c>
      <c r="C137">
        <v>3</v>
      </c>
      <c r="D137" s="1">
        <v>19.53</v>
      </c>
      <c r="E137">
        <v>21.89</v>
      </c>
      <c r="G137">
        <v>135</v>
      </c>
      <c r="H137">
        <v>3</v>
      </c>
      <c r="I137">
        <v>3</v>
      </c>
    </row>
    <row r="138" spans="1:9">
      <c r="A138">
        <v>136</v>
      </c>
      <c r="B138">
        <v>2</v>
      </c>
      <c r="C138">
        <v>3</v>
      </c>
      <c r="D138" s="1">
        <v>19.27</v>
      </c>
      <c r="E138">
        <v>20.51</v>
      </c>
      <c r="G138">
        <v>136</v>
      </c>
      <c r="H138">
        <v>3</v>
      </c>
      <c r="I138">
        <v>3</v>
      </c>
    </row>
    <row r="139" spans="1:9">
      <c r="A139">
        <v>137</v>
      </c>
      <c r="B139">
        <v>3</v>
      </c>
      <c r="C139">
        <v>3</v>
      </c>
      <c r="D139" s="1">
        <v>24.12</v>
      </c>
      <c r="E139">
        <v>21.37</v>
      </c>
      <c r="G139">
        <v>137</v>
      </c>
      <c r="H139">
        <v>3</v>
      </c>
      <c r="I139">
        <v>3</v>
      </c>
    </row>
    <row r="140" spans="1:9">
      <c r="A140">
        <v>138</v>
      </c>
      <c r="B140">
        <v>3</v>
      </c>
      <c r="C140">
        <v>3</v>
      </c>
      <c r="D140" s="1">
        <v>21.5</v>
      </c>
      <c r="E140">
        <v>28.82</v>
      </c>
      <c r="G140">
        <v>138</v>
      </c>
      <c r="H140">
        <v>3</v>
      </c>
      <c r="I140">
        <v>3</v>
      </c>
    </row>
    <row r="141" spans="1:9">
      <c r="A141">
        <v>139</v>
      </c>
      <c r="B141">
        <v>2</v>
      </c>
      <c r="C141">
        <v>2</v>
      </c>
      <c r="D141" s="1">
        <v>19.91</v>
      </c>
      <c r="E141">
        <v>23.53</v>
      </c>
      <c r="G141">
        <v>139</v>
      </c>
      <c r="H141">
        <v>3</v>
      </c>
      <c r="I141">
        <v>3</v>
      </c>
    </row>
    <row r="142" spans="1:9">
      <c r="A142">
        <v>140</v>
      </c>
      <c r="B142">
        <v>1</v>
      </c>
      <c r="C142">
        <v>1</v>
      </c>
      <c r="D142" s="1">
        <v>22.34</v>
      </c>
      <c r="E142">
        <v>29.95</v>
      </c>
      <c r="G142">
        <v>140</v>
      </c>
      <c r="H142">
        <v>3</v>
      </c>
      <c r="I142">
        <v>3</v>
      </c>
    </row>
    <row r="143" spans="1:9">
      <c r="A143">
        <v>141</v>
      </c>
      <c r="B143">
        <v>3</v>
      </c>
      <c r="C143">
        <v>3</v>
      </c>
      <c r="D143" s="1">
        <v>29.84</v>
      </c>
      <c r="E143">
        <v>27.93</v>
      </c>
      <c r="G143">
        <v>141</v>
      </c>
      <c r="H143">
        <v>3</v>
      </c>
      <c r="I143">
        <v>3</v>
      </c>
    </row>
    <row r="144" spans="1:9">
      <c r="A144">
        <v>142</v>
      </c>
      <c r="B144">
        <v>2</v>
      </c>
      <c r="C144">
        <v>2</v>
      </c>
      <c r="D144" s="1">
        <v>22.83</v>
      </c>
      <c r="E144">
        <v>21.03</v>
      </c>
      <c r="G144">
        <v>142</v>
      </c>
      <c r="H144">
        <v>3</v>
      </c>
      <c r="I144">
        <v>3</v>
      </c>
    </row>
    <row r="145" spans="1:9">
      <c r="A145">
        <v>143</v>
      </c>
      <c r="B145">
        <v>6</v>
      </c>
      <c r="C145">
        <v>6</v>
      </c>
      <c r="D145" s="1">
        <v>21.17</v>
      </c>
      <c r="E145">
        <v>21.34</v>
      </c>
      <c r="G145">
        <v>143</v>
      </c>
      <c r="H145">
        <v>3</v>
      </c>
      <c r="I145">
        <v>3</v>
      </c>
    </row>
    <row r="146" spans="1:9">
      <c r="A146">
        <v>144</v>
      </c>
      <c r="B146">
        <v>3</v>
      </c>
      <c r="C146">
        <v>3</v>
      </c>
      <c r="D146" s="1">
        <v>20.91</v>
      </c>
      <c r="E146">
        <v>21.82</v>
      </c>
      <c r="G146">
        <v>144</v>
      </c>
      <c r="H146">
        <v>3</v>
      </c>
      <c r="I146">
        <v>3</v>
      </c>
    </row>
    <row r="147" spans="1:9">
      <c r="A147">
        <v>145</v>
      </c>
      <c r="B147">
        <v>1</v>
      </c>
      <c r="C147">
        <v>1</v>
      </c>
      <c r="D147" s="1">
        <v>21.49</v>
      </c>
      <c r="E147">
        <v>23.71</v>
      </c>
      <c r="G147">
        <v>145</v>
      </c>
      <c r="H147">
        <v>4</v>
      </c>
      <c r="I147">
        <v>3</v>
      </c>
    </row>
    <row r="148" spans="1:9">
      <c r="A148">
        <v>146</v>
      </c>
      <c r="B148">
        <v>2</v>
      </c>
      <c r="C148">
        <v>2</v>
      </c>
      <c r="D148" s="1">
        <v>24.06</v>
      </c>
      <c r="E148">
        <v>22.98</v>
      </c>
      <c r="G148">
        <v>146</v>
      </c>
      <c r="H148">
        <v>4</v>
      </c>
      <c r="I148">
        <v>4</v>
      </c>
    </row>
    <row r="149" spans="1:9">
      <c r="A149">
        <v>147</v>
      </c>
      <c r="B149">
        <v>3</v>
      </c>
      <c r="C149">
        <v>3</v>
      </c>
      <c r="D149" s="1">
        <v>17.7</v>
      </c>
      <c r="E149">
        <v>22.47</v>
      </c>
      <c r="G149">
        <v>147</v>
      </c>
      <c r="H149">
        <v>4</v>
      </c>
      <c r="I149">
        <v>4</v>
      </c>
    </row>
    <row r="150" spans="1:9">
      <c r="A150">
        <v>148</v>
      </c>
      <c r="B150">
        <v>6</v>
      </c>
      <c r="C150">
        <v>6</v>
      </c>
      <c r="D150" s="1">
        <v>20.82</v>
      </c>
      <c r="E150">
        <v>21.63</v>
      </c>
      <c r="G150">
        <v>148</v>
      </c>
      <c r="H150">
        <v>4</v>
      </c>
      <c r="I150">
        <v>4</v>
      </c>
    </row>
    <row r="151" spans="1:9">
      <c r="A151">
        <v>149</v>
      </c>
      <c r="B151">
        <v>2</v>
      </c>
      <c r="C151">
        <v>2</v>
      </c>
      <c r="D151" s="1">
        <v>21.39</v>
      </c>
      <c r="E151">
        <v>24.31</v>
      </c>
      <c r="G151">
        <v>149</v>
      </c>
      <c r="H151">
        <v>4</v>
      </c>
      <c r="I151">
        <v>4</v>
      </c>
    </row>
    <row r="152" spans="1:9">
      <c r="A152">
        <v>150</v>
      </c>
      <c r="B152">
        <v>3</v>
      </c>
      <c r="C152">
        <v>3</v>
      </c>
      <c r="D152" s="1">
        <v>23.45</v>
      </c>
      <c r="E152">
        <v>29.67</v>
      </c>
      <c r="G152">
        <v>150</v>
      </c>
      <c r="H152">
        <v>4</v>
      </c>
      <c r="I152">
        <v>4</v>
      </c>
    </row>
    <row r="153" spans="1:9">
      <c r="A153">
        <v>151</v>
      </c>
      <c r="B153">
        <v>1</v>
      </c>
      <c r="C153">
        <v>1</v>
      </c>
      <c r="D153" s="1">
        <v>22.41</v>
      </c>
      <c r="E153">
        <v>27.85</v>
      </c>
      <c r="G153">
        <v>151</v>
      </c>
      <c r="H153">
        <v>4</v>
      </c>
      <c r="I153">
        <v>4</v>
      </c>
    </row>
    <row r="154" spans="1:9">
      <c r="A154">
        <v>152</v>
      </c>
      <c r="B154">
        <v>4</v>
      </c>
      <c r="C154">
        <v>4</v>
      </c>
      <c r="D154" s="1">
        <v>25.99</v>
      </c>
      <c r="E154">
        <v>20.83</v>
      </c>
      <c r="G154">
        <v>152</v>
      </c>
      <c r="H154">
        <v>4</v>
      </c>
      <c r="I154">
        <v>4</v>
      </c>
    </row>
    <row r="155" spans="1:9">
      <c r="A155">
        <v>153</v>
      </c>
      <c r="B155">
        <v>1</v>
      </c>
      <c r="C155">
        <v>2</v>
      </c>
      <c r="D155" s="1">
        <v>17.760000000000002</v>
      </c>
      <c r="E155">
        <v>26.98</v>
      </c>
      <c r="G155">
        <v>153</v>
      </c>
      <c r="H155">
        <v>4</v>
      </c>
      <c r="I155">
        <v>4</v>
      </c>
    </row>
    <row r="156" spans="1:9">
      <c r="A156">
        <v>154</v>
      </c>
      <c r="B156">
        <v>2</v>
      </c>
      <c r="C156">
        <v>2</v>
      </c>
      <c r="D156" s="1">
        <v>24.18</v>
      </c>
      <c r="E156">
        <v>25.46</v>
      </c>
      <c r="G156">
        <v>154</v>
      </c>
      <c r="H156">
        <v>4</v>
      </c>
      <c r="I156">
        <v>4</v>
      </c>
    </row>
    <row r="157" spans="1:9">
      <c r="A157">
        <v>155</v>
      </c>
      <c r="B157">
        <v>3</v>
      </c>
      <c r="C157">
        <v>3</v>
      </c>
      <c r="D157" s="1">
        <v>22.89</v>
      </c>
      <c r="E157">
        <v>27.94</v>
      </c>
      <c r="G157">
        <v>155</v>
      </c>
      <c r="H157">
        <v>4</v>
      </c>
      <c r="I157">
        <v>4</v>
      </c>
    </row>
    <row r="158" spans="1:9">
      <c r="A158">
        <v>156</v>
      </c>
      <c r="B158">
        <v>1</v>
      </c>
      <c r="C158">
        <v>1</v>
      </c>
      <c r="D158" s="1">
        <v>22.89</v>
      </c>
      <c r="E158">
        <v>28.8</v>
      </c>
      <c r="G158">
        <v>156</v>
      </c>
      <c r="H158">
        <v>4</v>
      </c>
      <c r="I158">
        <v>4</v>
      </c>
    </row>
    <row r="159" spans="1:9">
      <c r="A159">
        <v>157</v>
      </c>
      <c r="B159">
        <v>3</v>
      </c>
      <c r="C159">
        <v>3</v>
      </c>
      <c r="D159" s="1">
        <v>19.47</v>
      </c>
      <c r="E159">
        <v>28.78</v>
      </c>
      <c r="G159">
        <v>157</v>
      </c>
      <c r="H159">
        <v>4</v>
      </c>
      <c r="I159">
        <v>4</v>
      </c>
    </row>
    <row r="160" spans="1:9">
      <c r="A160">
        <v>158</v>
      </c>
      <c r="B160">
        <v>2</v>
      </c>
      <c r="C160">
        <v>3</v>
      </c>
      <c r="D160" s="1">
        <v>22.35</v>
      </c>
      <c r="E160">
        <v>27.57</v>
      </c>
      <c r="G160">
        <v>158</v>
      </c>
      <c r="H160">
        <v>4</v>
      </c>
      <c r="I160">
        <v>4</v>
      </c>
    </row>
    <row r="161" spans="1:9">
      <c r="A161">
        <v>159</v>
      </c>
      <c r="B161">
        <v>5</v>
      </c>
      <c r="C161">
        <v>5</v>
      </c>
      <c r="D161" s="1">
        <v>24.48</v>
      </c>
      <c r="E161">
        <v>24.37</v>
      </c>
      <c r="G161">
        <v>159</v>
      </c>
      <c r="H161">
        <v>4</v>
      </c>
      <c r="I161">
        <v>4</v>
      </c>
    </row>
    <row r="162" spans="1:9">
      <c r="A162">
        <v>160</v>
      </c>
      <c r="B162">
        <v>4</v>
      </c>
      <c r="C162">
        <v>4</v>
      </c>
      <c r="D162" s="1">
        <v>22.08</v>
      </c>
      <c r="E162">
        <v>22.46</v>
      </c>
      <c r="G162">
        <v>160</v>
      </c>
      <c r="H162">
        <v>4</v>
      </c>
      <c r="I162">
        <v>4</v>
      </c>
    </row>
    <row r="163" spans="1:9">
      <c r="A163">
        <v>161</v>
      </c>
      <c r="B163">
        <v>4</v>
      </c>
      <c r="C163">
        <v>4</v>
      </c>
      <c r="D163" s="1">
        <v>24.49</v>
      </c>
      <c r="E163">
        <v>22.52</v>
      </c>
      <c r="G163">
        <v>161</v>
      </c>
      <c r="H163">
        <v>4</v>
      </c>
      <c r="I163">
        <v>4</v>
      </c>
    </row>
    <row r="164" spans="1:9">
      <c r="A164">
        <v>162</v>
      </c>
      <c r="B164">
        <v>3</v>
      </c>
      <c r="C164">
        <v>3</v>
      </c>
      <c r="D164" s="1">
        <v>18.34</v>
      </c>
      <c r="E164">
        <v>23.43</v>
      </c>
      <c r="G164">
        <v>162</v>
      </c>
      <c r="H164">
        <v>4</v>
      </c>
      <c r="I164">
        <v>4</v>
      </c>
    </row>
    <row r="165" spans="1:9">
      <c r="A165">
        <v>163</v>
      </c>
      <c r="B165">
        <v>1</v>
      </c>
      <c r="C165">
        <v>1</v>
      </c>
      <c r="D165" s="1">
        <v>26.39</v>
      </c>
      <c r="E165">
        <v>21.85</v>
      </c>
      <c r="G165">
        <v>163</v>
      </c>
      <c r="H165">
        <v>4</v>
      </c>
      <c r="I165">
        <v>4</v>
      </c>
    </row>
    <row r="166" spans="1:9">
      <c r="A166">
        <v>164</v>
      </c>
      <c r="B166">
        <v>1</v>
      </c>
      <c r="C166">
        <v>1</v>
      </c>
      <c r="D166" s="1">
        <v>24.48</v>
      </c>
      <c r="E166">
        <v>22.69</v>
      </c>
      <c r="G166">
        <v>164</v>
      </c>
      <c r="H166">
        <v>4</v>
      </c>
      <c r="I166">
        <v>4</v>
      </c>
    </row>
    <row r="167" spans="1:9">
      <c r="A167">
        <v>165</v>
      </c>
      <c r="B167">
        <v>1</v>
      </c>
      <c r="C167">
        <v>1</v>
      </c>
      <c r="D167" s="1">
        <v>23.87</v>
      </c>
      <c r="E167">
        <v>27.01</v>
      </c>
      <c r="G167">
        <v>165</v>
      </c>
      <c r="H167">
        <v>4</v>
      </c>
      <c r="I167">
        <v>4</v>
      </c>
    </row>
    <row r="168" spans="1:9">
      <c r="A168">
        <v>166</v>
      </c>
      <c r="B168">
        <v>2</v>
      </c>
      <c r="C168">
        <v>2</v>
      </c>
      <c r="D168" s="1">
        <v>19.16</v>
      </c>
      <c r="E168">
        <v>24.8</v>
      </c>
      <c r="G168">
        <v>166</v>
      </c>
      <c r="H168">
        <v>4</v>
      </c>
      <c r="I168">
        <v>4</v>
      </c>
    </row>
    <row r="169" spans="1:9">
      <c r="A169">
        <v>167</v>
      </c>
      <c r="B169">
        <v>3</v>
      </c>
      <c r="C169">
        <v>3</v>
      </c>
      <c r="D169" s="1">
        <v>23.39</v>
      </c>
      <c r="E169">
        <v>25.73</v>
      </c>
      <c r="G169">
        <v>167</v>
      </c>
      <c r="H169">
        <v>4</v>
      </c>
      <c r="I169">
        <v>4</v>
      </c>
    </row>
    <row r="170" spans="1:9">
      <c r="A170">
        <v>168</v>
      </c>
      <c r="B170">
        <v>2</v>
      </c>
      <c r="C170">
        <v>2</v>
      </c>
      <c r="D170" s="1">
        <v>19.48</v>
      </c>
      <c r="E170">
        <v>23.82</v>
      </c>
      <c r="G170">
        <v>168</v>
      </c>
      <c r="H170">
        <v>4</v>
      </c>
      <c r="I170">
        <v>4</v>
      </c>
    </row>
    <row r="171" spans="1:9">
      <c r="A171">
        <v>169</v>
      </c>
      <c r="B171">
        <v>3</v>
      </c>
      <c r="C171">
        <v>3</v>
      </c>
      <c r="D171" s="1">
        <v>24.19</v>
      </c>
      <c r="E171">
        <v>29.41</v>
      </c>
      <c r="G171">
        <v>169</v>
      </c>
      <c r="H171">
        <v>4</v>
      </c>
      <c r="I171">
        <v>4</v>
      </c>
    </row>
    <row r="172" spans="1:9">
      <c r="A172">
        <v>170</v>
      </c>
      <c r="B172">
        <v>2</v>
      </c>
      <c r="C172">
        <v>2</v>
      </c>
      <c r="D172" s="1">
        <v>19.37</v>
      </c>
      <c r="E172">
        <v>21.98</v>
      </c>
      <c r="G172">
        <v>170</v>
      </c>
      <c r="H172">
        <v>4</v>
      </c>
      <c r="I172">
        <v>4</v>
      </c>
    </row>
    <row r="173" spans="1:9">
      <c r="A173">
        <v>171</v>
      </c>
      <c r="B173">
        <v>4</v>
      </c>
      <c r="C173">
        <v>4</v>
      </c>
      <c r="D173" s="1">
        <v>21.2</v>
      </c>
      <c r="E173">
        <v>22.92</v>
      </c>
      <c r="G173">
        <v>171</v>
      </c>
      <c r="H173">
        <v>4</v>
      </c>
      <c r="I173">
        <v>4</v>
      </c>
    </row>
    <row r="174" spans="1:9">
      <c r="A174">
        <v>172</v>
      </c>
      <c r="B174">
        <v>2</v>
      </c>
      <c r="C174">
        <v>2</v>
      </c>
      <c r="D174" s="1">
        <v>26.05</v>
      </c>
      <c r="E174">
        <v>25.26</v>
      </c>
      <c r="G174">
        <v>172</v>
      </c>
      <c r="H174">
        <v>5</v>
      </c>
      <c r="I174">
        <v>4</v>
      </c>
    </row>
    <row r="175" spans="1:9">
      <c r="A175">
        <v>173</v>
      </c>
      <c r="B175">
        <v>5</v>
      </c>
      <c r="C175">
        <v>5</v>
      </c>
      <c r="D175" s="1">
        <v>18.829999999999998</v>
      </c>
      <c r="E175">
        <v>25.1</v>
      </c>
      <c r="G175">
        <v>173</v>
      </c>
      <c r="H175">
        <v>5</v>
      </c>
      <c r="I175">
        <v>4</v>
      </c>
    </row>
    <row r="176" spans="1:9">
      <c r="A176">
        <v>174</v>
      </c>
      <c r="B176">
        <v>1</v>
      </c>
      <c r="C176">
        <v>1</v>
      </c>
      <c r="D176" s="1">
        <v>24.17</v>
      </c>
      <c r="E176">
        <v>24.7</v>
      </c>
      <c r="G176">
        <v>174</v>
      </c>
      <c r="H176">
        <v>5</v>
      </c>
      <c r="I176">
        <v>5</v>
      </c>
    </row>
    <row r="177" spans="1:9">
      <c r="A177">
        <v>175</v>
      </c>
      <c r="B177">
        <v>2</v>
      </c>
      <c r="C177">
        <v>3</v>
      </c>
      <c r="D177" s="1">
        <v>21.4</v>
      </c>
      <c r="E177">
        <v>28.37</v>
      </c>
      <c r="G177">
        <v>175</v>
      </c>
      <c r="H177">
        <v>5</v>
      </c>
      <c r="I177">
        <v>5</v>
      </c>
    </row>
    <row r="178" spans="1:9">
      <c r="A178">
        <v>176</v>
      </c>
      <c r="B178">
        <v>2</v>
      </c>
      <c r="C178">
        <v>2</v>
      </c>
      <c r="D178" s="1">
        <v>21.01</v>
      </c>
      <c r="E178">
        <v>26.75</v>
      </c>
      <c r="G178">
        <v>176</v>
      </c>
      <c r="H178">
        <v>5</v>
      </c>
      <c r="I178">
        <v>5</v>
      </c>
    </row>
    <row r="179" spans="1:9">
      <c r="A179">
        <v>177</v>
      </c>
      <c r="B179">
        <v>1</v>
      </c>
      <c r="C179">
        <v>1</v>
      </c>
      <c r="D179" s="1">
        <v>25.48</v>
      </c>
      <c r="E179">
        <v>20.97</v>
      </c>
      <c r="G179">
        <v>177</v>
      </c>
      <c r="H179">
        <v>5</v>
      </c>
      <c r="I179">
        <v>5</v>
      </c>
    </row>
    <row r="180" spans="1:9">
      <c r="A180">
        <v>178</v>
      </c>
      <c r="B180">
        <v>1</v>
      </c>
      <c r="C180">
        <v>1</v>
      </c>
      <c r="D180" s="1">
        <v>21.83</v>
      </c>
      <c r="E180">
        <v>20.04</v>
      </c>
      <c r="G180">
        <v>178</v>
      </c>
      <c r="H180">
        <v>5</v>
      </c>
      <c r="I180">
        <v>5</v>
      </c>
    </row>
    <row r="181" spans="1:9">
      <c r="A181">
        <v>179</v>
      </c>
      <c r="B181">
        <v>1</v>
      </c>
      <c r="C181">
        <v>1</v>
      </c>
      <c r="D181" s="1">
        <v>20.8</v>
      </c>
      <c r="E181">
        <v>21.05</v>
      </c>
      <c r="G181">
        <v>179</v>
      </c>
      <c r="H181">
        <v>5</v>
      </c>
      <c r="I181">
        <v>5</v>
      </c>
    </row>
    <row r="182" spans="1:9">
      <c r="A182">
        <v>180</v>
      </c>
      <c r="B182">
        <v>1</v>
      </c>
      <c r="C182">
        <v>1</v>
      </c>
      <c r="D182" s="1">
        <v>22.39</v>
      </c>
      <c r="E182">
        <v>26.51</v>
      </c>
      <c r="G182">
        <v>180</v>
      </c>
      <c r="H182">
        <v>5</v>
      </c>
      <c r="I182">
        <v>5</v>
      </c>
    </row>
    <row r="183" spans="1:9">
      <c r="A183">
        <v>181</v>
      </c>
      <c r="B183">
        <v>2</v>
      </c>
      <c r="C183">
        <v>2</v>
      </c>
      <c r="D183" s="1">
        <v>16.79</v>
      </c>
      <c r="E183">
        <v>25.64</v>
      </c>
      <c r="G183">
        <v>181</v>
      </c>
      <c r="H183">
        <v>5</v>
      </c>
      <c r="I183">
        <v>5</v>
      </c>
    </row>
    <row r="184" spans="1:9">
      <c r="A184">
        <v>182</v>
      </c>
      <c r="B184">
        <v>2</v>
      </c>
      <c r="C184">
        <v>2</v>
      </c>
      <c r="D184" s="1">
        <v>19.03</v>
      </c>
      <c r="E184">
        <v>27.57</v>
      </c>
      <c r="G184">
        <v>182</v>
      </c>
      <c r="H184">
        <v>5</v>
      </c>
      <c r="I184">
        <v>5</v>
      </c>
    </row>
    <row r="185" spans="1:9">
      <c r="A185">
        <v>183</v>
      </c>
      <c r="B185">
        <v>2</v>
      </c>
      <c r="C185">
        <v>3</v>
      </c>
      <c r="D185" s="1">
        <v>19.489999999999998</v>
      </c>
      <c r="E185">
        <v>25.04</v>
      </c>
      <c r="G185">
        <v>183</v>
      </c>
      <c r="H185">
        <v>5</v>
      </c>
      <c r="I185">
        <v>5</v>
      </c>
    </row>
    <row r="186" spans="1:9">
      <c r="A186">
        <v>184</v>
      </c>
      <c r="B186">
        <v>1</v>
      </c>
      <c r="C186">
        <v>2</v>
      </c>
      <c r="D186" s="1">
        <v>21.45</v>
      </c>
      <c r="E186">
        <v>21.63</v>
      </c>
      <c r="G186">
        <v>184</v>
      </c>
      <c r="H186">
        <v>5</v>
      </c>
      <c r="I186">
        <v>5</v>
      </c>
    </row>
    <row r="187" spans="1:9">
      <c r="A187">
        <v>185</v>
      </c>
      <c r="B187">
        <v>1</v>
      </c>
      <c r="C187">
        <v>2</v>
      </c>
      <c r="D187" s="1">
        <v>21.38</v>
      </c>
      <c r="E187">
        <v>25.75</v>
      </c>
      <c r="G187">
        <v>185</v>
      </c>
      <c r="H187">
        <v>5</v>
      </c>
      <c r="I187">
        <v>5</v>
      </c>
    </row>
    <row r="188" spans="1:9">
      <c r="A188">
        <v>186</v>
      </c>
      <c r="B188">
        <v>3</v>
      </c>
      <c r="C188">
        <v>3</v>
      </c>
      <c r="D188" s="1">
        <v>17.98</v>
      </c>
      <c r="E188">
        <v>20.260000000000002</v>
      </c>
      <c r="G188">
        <v>186</v>
      </c>
      <c r="H188">
        <v>5</v>
      </c>
      <c r="I188">
        <v>5</v>
      </c>
    </row>
    <row r="189" spans="1:9">
      <c r="A189">
        <v>187</v>
      </c>
      <c r="B189">
        <v>1</v>
      </c>
      <c r="C189">
        <v>1</v>
      </c>
      <c r="D189" s="1">
        <v>20.84</v>
      </c>
      <c r="E189">
        <v>28.53</v>
      </c>
      <c r="G189">
        <v>187</v>
      </c>
      <c r="H189">
        <v>5</v>
      </c>
      <c r="I189">
        <v>5</v>
      </c>
    </row>
    <row r="190" spans="1:9">
      <c r="A190">
        <v>188</v>
      </c>
      <c r="B190">
        <v>6</v>
      </c>
      <c r="C190">
        <v>6</v>
      </c>
      <c r="D190" s="1">
        <v>21.33</v>
      </c>
      <c r="E190">
        <v>22.08</v>
      </c>
      <c r="G190">
        <v>188</v>
      </c>
      <c r="H190">
        <v>6</v>
      </c>
      <c r="I190">
        <v>6</v>
      </c>
    </row>
    <row r="191" spans="1:9">
      <c r="A191">
        <v>189</v>
      </c>
      <c r="B191">
        <v>2</v>
      </c>
      <c r="C191">
        <v>2</v>
      </c>
      <c r="D191" s="1">
        <v>23.1</v>
      </c>
      <c r="E191">
        <v>25.74</v>
      </c>
      <c r="G191">
        <v>189</v>
      </c>
      <c r="H191">
        <v>6</v>
      </c>
      <c r="I191">
        <v>6</v>
      </c>
    </row>
    <row r="192" spans="1:9">
      <c r="A192">
        <v>190</v>
      </c>
      <c r="B192">
        <v>1</v>
      </c>
      <c r="C192">
        <v>1</v>
      </c>
      <c r="D192" s="1">
        <v>18.739999999999998</v>
      </c>
      <c r="E192">
        <v>28.96</v>
      </c>
      <c r="G192">
        <v>190</v>
      </c>
      <c r="H192">
        <v>6</v>
      </c>
      <c r="I192">
        <v>6</v>
      </c>
    </row>
    <row r="193" spans="1:9">
      <c r="A193">
        <v>191</v>
      </c>
      <c r="B193">
        <v>1</v>
      </c>
      <c r="C193">
        <v>1</v>
      </c>
      <c r="D193" s="1">
        <v>23.81</v>
      </c>
      <c r="E193">
        <v>21.88</v>
      </c>
      <c r="G193">
        <v>191</v>
      </c>
      <c r="H193">
        <v>6</v>
      </c>
      <c r="I193">
        <v>6</v>
      </c>
    </row>
    <row r="194" spans="1:9">
      <c r="A194">
        <v>192</v>
      </c>
      <c r="B194">
        <v>1</v>
      </c>
      <c r="C194">
        <v>1</v>
      </c>
      <c r="D194" s="1">
        <v>23.49</v>
      </c>
      <c r="E194">
        <v>26.07</v>
      </c>
      <c r="G194">
        <v>192</v>
      </c>
      <c r="H194">
        <v>6</v>
      </c>
      <c r="I194">
        <v>6</v>
      </c>
    </row>
    <row r="195" spans="1:9">
      <c r="A195">
        <v>193</v>
      </c>
      <c r="B195">
        <v>4</v>
      </c>
      <c r="C195">
        <v>4</v>
      </c>
      <c r="D195" s="1">
        <v>22.98</v>
      </c>
      <c r="E195">
        <v>24.16</v>
      </c>
      <c r="G195">
        <v>193</v>
      </c>
      <c r="H195">
        <v>6</v>
      </c>
      <c r="I195">
        <v>6</v>
      </c>
    </row>
    <row r="196" spans="1:9">
      <c r="A196">
        <v>194</v>
      </c>
      <c r="B196">
        <v>1</v>
      </c>
      <c r="C196">
        <v>2</v>
      </c>
      <c r="D196" s="1">
        <v>21.4</v>
      </c>
      <c r="E196">
        <v>24.41</v>
      </c>
      <c r="G196">
        <v>194</v>
      </c>
      <c r="H196">
        <v>6</v>
      </c>
      <c r="I196">
        <v>6</v>
      </c>
    </row>
    <row r="197" spans="1:9">
      <c r="A197">
        <v>195</v>
      </c>
      <c r="B197">
        <v>3</v>
      </c>
      <c r="C197">
        <v>3</v>
      </c>
      <c r="D197" s="1">
        <v>22.84</v>
      </c>
      <c r="E197">
        <v>28.93</v>
      </c>
      <c r="G197">
        <v>195</v>
      </c>
      <c r="H197">
        <v>6</v>
      </c>
      <c r="I197">
        <v>6</v>
      </c>
    </row>
    <row r="198" spans="1:9">
      <c r="A198">
        <v>196</v>
      </c>
      <c r="B198">
        <v>4</v>
      </c>
      <c r="C198">
        <v>4</v>
      </c>
      <c r="D198" s="1">
        <v>20</v>
      </c>
      <c r="E198">
        <v>28.48</v>
      </c>
      <c r="G198">
        <v>196</v>
      </c>
      <c r="H198">
        <v>6</v>
      </c>
      <c r="I198">
        <v>6</v>
      </c>
    </row>
    <row r="199" spans="1:9">
      <c r="A199">
        <v>197</v>
      </c>
      <c r="B199">
        <v>1</v>
      </c>
      <c r="C199">
        <v>1</v>
      </c>
      <c r="D199" s="1">
        <v>26.4</v>
      </c>
      <c r="E199">
        <v>27.74</v>
      </c>
      <c r="G199">
        <v>197</v>
      </c>
      <c r="H199">
        <v>6</v>
      </c>
      <c r="I199">
        <v>6</v>
      </c>
    </row>
    <row r="200" spans="1:9">
      <c r="A200">
        <v>198</v>
      </c>
      <c r="B200">
        <v>6</v>
      </c>
      <c r="C200">
        <v>6</v>
      </c>
      <c r="D200" s="1">
        <v>22.07</v>
      </c>
      <c r="E200">
        <v>24.66</v>
      </c>
      <c r="G200">
        <v>198</v>
      </c>
      <c r="H200">
        <v>6</v>
      </c>
      <c r="I200">
        <v>6</v>
      </c>
    </row>
    <row r="201" spans="1:9">
      <c r="A201">
        <v>199</v>
      </c>
      <c r="B201">
        <v>4</v>
      </c>
      <c r="C201">
        <v>4</v>
      </c>
      <c r="D201" s="1">
        <v>23.11</v>
      </c>
      <c r="E201">
        <v>24.43</v>
      </c>
      <c r="G201">
        <v>199</v>
      </c>
      <c r="H201">
        <v>6</v>
      </c>
      <c r="I201">
        <v>6</v>
      </c>
    </row>
    <row r="202" spans="1:9">
      <c r="A202">
        <v>200</v>
      </c>
      <c r="B202">
        <v>5</v>
      </c>
      <c r="C202">
        <v>5</v>
      </c>
      <c r="D202" s="1">
        <v>20.68</v>
      </c>
      <c r="E202">
        <v>28.9</v>
      </c>
      <c r="G202">
        <v>200</v>
      </c>
      <c r="H202">
        <v>7</v>
      </c>
      <c r="I202">
        <v>7</v>
      </c>
    </row>
  </sheetData>
  <sortState xmlns:xlrd2="http://schemas.microsoft.com/office/spreadsheetml/2017/richdata2" ref="I3:I202">
    <sortCondition ref="I3:I20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B5837-8F4A-495C-B456-3969E180CF8E}">
  <dimension ref="A1:AT88"/>
  <sheetViews>
    <sheetView topLeftCell="A33" zoomScale="70" zoomScaleNormal="70" workbookViewId="0">
      <selection activeCell="B88" sqref="B88:W88"/>
    </sheetView>
  </sheetViews>
  <sheetFormatPr defaultColWidth="8.875" defaultRowHeight="15.6"/>
  <cols>
    <col min="1" max="1" width="5.25" customWidth="1"/>
    <col min="3" max="3" width="23.125" customWidth="1"/>
    <col min="4" max="4" width="10.125" bestFit="1" customWidth="1"/>
    <col min="5" max="5" width="9.625" customWidth="1"/>
    <col min="6" max="6" width="7.125" customWidth="1"/>
    <col min="7" max="7" width="4.25" customWidth="1"/>
    <col min="8" max="8" width="6.125" customWidth="1"/>
    <col min="10" max="10" width="18" customWidth="1"/>
    <col min="11" max="11" width="15.125" customWidth="1"/>
    <col min="12" max="12" width="19.5" customWidth="1"/>
    <col min="13" max="13" width="15.125" customWidth="1"/>
    <col min="15" max="15" width="11.125" customWidth="1"/>
    <col min="20" max="20" width="10.375" customWidth="1"/>
    <col min="23" max="23" width="11.125" customWidth="1"/>
    <col min="30" max="30" width="10.25" customWidth="1"/>
    <col min="31" max="31" width="16.625" customWidth="1"/>
    <col min="34" max="34" width="10.125" bestFit="1" customWidth="1"/>
    <col min="35" max="35" width="4.625" customWidth="1"/>
    <col min="36" max="36" width="11.125" customWidth="1"/>
    <col min="37" max="37" width="11.5" customWidth="1"/>
    <col min="38" max="38" width="16.5" customWidth="1"/>
    <col min="39" max="39" width="13.875" customWidth="1"/>
    <col min="41" max="41" width="22.5" customWidth="1"/>
  </cols>
  <sheetData>
    <row r="1" spans="1:46">
      <c r="A1" s="2"/>
      <c r="B1" s="2"/>
      <c r="C1" s="2"/>
      <c r="D1" s="2"/>
      <c r="E1" s="2"/>
      <c r="F1" s="2"/>
      <c r="G1" s="2"/>
      <c r="H1" s="2"/>
      <c r="I1" s="2"/>
      <c r="J1" s="2"/>
      <c r="AC1" s="2"/>
      <c r="AD1" s="2"/>
      <c r="AE1" s="2"/>
      <c r="AF1" s="2"/>
      <c r="AG1" s="2"/>
      <c r="AH1" s="2"/>
      <c r="AI1" s="2"/>
      <c r="AJ1" s="2"/>
      <c r="AK1" s="2"/>
      <c r="AL1" s="2"/>
    </row>
    <row r="2" spans="1:46">
      <c r="A2" s="40" t="s">
        <v>6</v>
      </c>
      <c r="F2" s="2"/>
      <c r="G2" s="2"/>
      <c r="H2" s="2"/>
      <c r="I2" s="2"/>
      <c r="J2" s="2"/>
      <c r="AC2" s="2" t="s">
        <v>6</v>
      </c>
      <c r="AI2" s="2"/>
      <c r="AJ2" s="2"/>
      <c r="AK2" s="2"/>
      <c r="AL2" s="2"/>
    </row>
    <row r="3" spans="1:46">
      <c r="A3" s="40"/>
      <c r="B3" s="2"/>
      <c r="C3" s="2"/>
      <c r="D3" s="2"/>
      <c r="E3" s="2"/>
      <c r="F3" s="2"/>
      <c r="G3" s="2"/>
      <c r="H3" s="2"/>
      <c r="I3" s="2"/>
      <c r="J3" s="2"/>
      <c r="AC3" s="2"/>
      <c r="AE3" s="2"/>
      <c r="AF3" s="2"/>
      <c r="AG3" s="2"/>
      <c r="AH3" s="2"/>
      <c r="AI3" s="2"/>
      <c r="AJ3" s="2"/>
      <c r="AK3" s="2"/>
      <c r="AL3" s="2"/>
    </row>
    <row r="4" spans="1:46">
      <c r="A4" s="40"/>
      <c r="B4" s="2"/>
      <c r="C4" s="2"/>
      <c r="D4" s="2"/>
      <c r="E4" s="2"/>
      <c r="F4" s="2"/>
      <c r="G4" s="2"/>
      <c r="H4" s="2"/>
      <c r="I4" s="2"/>
      <c r="J4" s="2"/>
      <c r="AC4" s="2"/>
      <c r="AD4" s="2"/>
      <c r="AE4" s="2"/>
      <c r="AF4" s="2"/>
      <c r="AG4" s="2"/>
      <c r="AH4" s="2"/>
      <c r="AI4" s="2"/>
      <c r="AJ4" s="2"/>
      <c r="AK4" s="2"/>
      <c r="AL4" s="2"/>
    </row>
    <row r="5" spans="1:46" ht="26.1">
      <c r="B5" s="41" t="s">
        <v>7</v>
      </c>
      <c r="C5" s="2"/>
      <c r="D5" s="2"/>
      <c r="E5" s="2"/>
      <c r="F5" s="2"/>
      <c r="G5" s="2"/>
      <c r="H5" s="63" t="s">
        <v>8</v>
      </c>
      <c r="I5" s="63"/>
      <c r="J5" s="63"/>
      <c r="K5" s="63"/>
      <c r="L5" s="63"/>
      <c r="M5" s="63"/>
      <c r="AD5" s="3" t="s">
        <v>9</v>
      </c>
      <c r="AE5" s="52" t="s">
        <v>10</v>
      </c>
      <c r="AF5" s="52"/>
      <c r="AG5" s="52"/>
      <c r="AH5" s="52"/>
      <c r="AI5" s="52"/>
      <c r="AJ5" s="51"/>
      <c r="AK5" s="51"/>
      <c r="AL5" s="2"/>
    </row>
    <row r="6" spans="1:46" ht="15.75" customHeight="1">
      <c r="AN6" s="53"/>
      <c r="AO6" s="54"/>
    </row>
    <row r="7" spans="1:46" ht="15.75" customHeight="1">
      <c r="AE7" s="2"/>
      <c r="AL7" s="2"/>
      <c r="AN7" s="55"/>
      <c r="AO7" s="56"/>
    </row>
    <row r="8" spans="1:46">
      <c r="E8" s="2"/>
    </row>
    <row r="9" spans="1:46">
      <c r="E9" s="2"/>
      <c r="J9" s="2"/>
      <c r="AE9" s="2"/>
      <c r="AF9" s="2"/>
      <c r="AG9" s="2"/>
      <c r="AH9" s="2"/>
      <c r="AI9" s="2"/>
      <c r="AJ9" s="2"/>
      <c r="AK9" s="2"/>
    </row>
    <row r="10" spans="1:46" ht="15.95" thickBot="1">
      <c r="A10" s="40"/>
      <c r="B10" s="2"/>
      <c r="C10" s="2"/>
      <c r="D10" s="2"/>
      <c r="E10" s="2"/>
      <c r="F10" s="2"/>
      <c r="G10" s="2"/>
      <c r="H10" s="2"/>
      <c r="I10" s="2"/>
      <c r="J10" s="2"/>
      <c r="AC10" s="2"/>
      <c r="AD10" s="2"/>
      <c r="AE10" s="2"/>
      <c r="AF10" s="2"/>
      <c r="AG10" s="2"/>
      <c r="AH10" s="2"/>
      <c r="AI10" s="2"/>
      <c r="AJ10" s="2"/>
      <c r="AK10" s="2"/>
      <c r="AL10" s="2"/>
    </row>
    <row r="11" spans="1:46" ht="15.75" customHeight="1">
      <c r="A11" s="40" t="s">
        <v>11</v>
      </c>
      <c r="B11" s="69" t="s">
        <v>12</v>
      </c>
      <c r="C11" s="70"/>
      <c r="D11" s="70"/>
      <c r="E11" s="70"/>
      <c r="F11" s="70"/>
      <c r="G11" s="70"/>
      <c r="H11" s="70"/>
      <c r="I11" s="70"/>
      <c r="J11" s="70"/>
      <c r="K11" s="70"/>
      <c r="L11" s="70"/>
      <c r="M11" s="70"/>
      <c r="N11" s="70"/>
      <c r="O11" s="70"/>
      <c r="P11" s="70"/>
      <c r="Q11" s="70"/>
      <c r="R11" s="71"/>
      <c r="AC11" s="2" t="s">
        <v>11</v>
      </c>
      <c r="AD11" s="69" t="s">
        <v>13</v>
      </c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1"/>
    </row>
    <row r="12" spans="1:46" ht="16.5" customHeight="1" thickBot="1">
      <c r="A12" s="40"/>
      <c r="B12" s="72"/>
      <c r="C12" s="73"/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3"/>
      <c r="Q12" s="73"/>
      <c r="R12" s="74"/>
      <c r="AC12" s="2"/>
      <c r="AD12" s="72"/>
      <c r="AE12" s="73"/>
      <c r="AF12" s="73"/>
      <c r="AG12" s="73"/>
      <c r="AH12" s="73"/>
      <c r="AI12" s="73"/>
      <c r="AJ12" s="73"/>
      <c r="AK12" s="73"/>
      <c r="AL12" s="73"/>
      <c r="AM12" s="73"/>
      <c r="AN12" s="73"/>
      <c r="AO12" s="73"/>
      <c r="AP12" s="73"/>
      <c r="AQ12" s="73"/>
      <c r="AR12" s="73"/>
      <c r="AS12" s="73"/>
      <c r="AT12" s="74"/>
    </row>
    <row r="13" spans="1:46">
      <c r="A13" s="40"/>
      <c r="D13" s="2"/>
      <c r="E13" s="2"/>
      <c r="F13" s="2"/>
      <c r="G13" s="2"/>
      <c r="H13" s="2"/>
      <c r="I13" s="2"/>
      <c r="J13" s="2"/>
      <c r="AC13" s="2"/>
      <c r="AF13" s="2"/>
      <c r="AG13" s="2"/>
      <c r="AH13" s="2"/>
      <c r="AI13" s="2"/>
      <c r="AJ13" s="2"/>
      <c r="AK13" s="2"/>
      <c r="AL13" s="2"/>
    </row>
    <row r="14" spans="1:46">
      <c r="A14" s="40"/>
      <c r="B14" s="2"/>
      <c r="C14" s="80" t="s">
        <v>14</v>
      </c>
      <c r="D14" s="81"/>
      <c r="E14" s="75" t="s">
        <v>15</v>
      </c>
      <c r="F14" s="75"/>
      <c r="G14" s="75" t="s">
        <v>16</v>
      </c>
      <c r="H14" s="75"/>
      <c r="I14" s="75" t="s">
        <v>17</v>
      </c>
      <c r="J14" s="75"/>
      <c r="K14" s="75"/>
      <c r="AC14" s="2"/>
      <c r="AD14" s="2"/>
      <c r="AE14" s="37" t="s">
        <v>14</v>
      </c>
      <c r="AF14" s="34"/>
      <c r="AG14" s="75" t="s">
        <v>15</v>
      </c>
      <c r="AH14" s="75"/>
      <c r="AI14" s="75" t="s">
        <v>16</v>
      </c>
      <c r="AJ14" s="75"/>
      <c r="AK14" s="75" t="s">
        <v>17</v>
      </c>
      <c r="AL14" s="75"/>
      <c r="AM14" s="75"/>
    </row>
    <row r="15" spans="1:46">
      <c r="A15" s="40"/>
      <c r="B15" s="7"/>
      <c r="C15" s="78" t="s">
        <v>18</v>
      </c>
      <c r="D15" s="79"/>
      <c r="E15" s="68" t="s">
        <v>19</v>
      </c>
      <c r="F15" s="68"/>
      <c r="G15" s="68" t="s">
        <v>20</v>
      </c>
      <c r="H15" s="68"/>
      <c r="I15" s="68" t="s">
        <v>21</v>
      </c>
      <c r="J15" s="68"/>
      <c r="K15" s="68"/>
      <c r="M15">
        <v>56</v>
      </c>
      <c r="O15" t="e">
        <f>SUMPRODUCT(M15:M21,'ex3'!#REF!)/199</f>
        <v>#REF!</v>
      </c>
      <c r="AC15" s="2"/>
      <c r="AD15" s="7"/>
      <c r="AE15" s="35" t="s">
        <v>18</v>
      </c>
      <c r="AF15" s="36"/>
      <c r="AG15" s="68" t="s">
        <v>19</v>
      </c>
      <c r="AH15" s="68"/>
      <c r="AI15" s="68" t="s">
        <v>20</v>
      </c>
      <c r="AJ15" s="68"/>
      <c r="AK15" s="68" t="s">
        <v>21</v>
      </c>
      <c r="AL15" s="68"/>
      <c r="AM15" s="68"/>
    </row>
    <row r="16" spans="1:46">
      <c r="A16" s="40"/>
      <c r="B16" s="7">
        <v>1</v>
      </c>
      <c r="C16" s="76">
        <f>COUNTIFS(Dados!$B$3:$B$202,'ex1'!B16)</f>
        <v>56</v>
      </c>
      <c r="D16" s="77"/>
      <c r="E16" s="65">
        <f t="shared" ref="E16:E23" si="0">C16/$C$25</f>
        <v>0.28000000000000003</v>
      </c>
      <c r="F16" s="65"/>
      <c r="G16" s="66">
        <f>C16</f>
        <v>56</v>
      </c>
      <c r="H16" s="66"/>
      <c r="I16" s="67">
        <f>E16</f>
        <v>0.28000000000000003</v>
      </c>
      <c r="J16" s="67"/>
      <c r="K16" s="67"/>
      <c r="M16">
        <v>55</v>
      </c>
      <c r="AC16" s="2"/>
      <c r="AD16" s="7">
        <v>1</v>
      </c>
      <c r="AE16" s="76">
        <f>COUNTIFS(Dados!$C$3:$C$202,'ex1'!AD16)</f>
        <v>39</v>
      </c>
      <c r="AF16" s="77"/>
      <c r="AG16" s="65">
        <f t="shared" ref="AG16:AG23" si="1">AE16/$C$25</f>
        <v>0.19500000000000001</v>
      </c>
      <c r="AH16" s="65"/>
      <c r="AI16" s="66">
        <f>AE16</f>
        <v>39</v>
      </c>
      <c r="AJ16" s="66"/>
      <c r="AK16" s="67">
        <f>AG16</f>
        <v>0.19500000000000001</v>
      </c>
      <c r="AL16" s="67"/>
      <c r="AM16" s="67"/>
    </row>
    <row r="17" spans="1:39">
      <c r="A17" s="40"/>
      <c r="B17" s="7">
        <v>2</v>
      </c>
      <c r="C17" s="76">
        <f>COUNTIFS(Dados!$B$3:$B$202,'ex1'!B17)</f>
        <v>55</v>
      </c>
      <c r="D17" s="77"/>
      <c r="E17" s="65">
        <f t="shared" si="0"/>
        <v>0.27500000000000002</v>
      </c>
      <c r="F17" s="65"/>
      <c r="G17" s="66">
        <f t="shared" ref="G17:G23" si="2">G16+C17</f>
        <v>111</v>
      </c>
      <c r="H17" s="66"/>
      <c r="I17" s="67">
        <f t="shared" ref="I17:I23" si="3">I16+E17</f>
        <v>0.55500000000000005</v>
      </c>
      <c r="J17" s="67"/>
      <c r="K17" s="67"/>
      <c r="M17">
        <v>33</v>
      </c>
      <c r="AC17" s="2"/>
      <c r="AD17" s="7">
        <v>2</v>
      </c>
      <c r="AE17" s="76">
        <f>COUNTIFS(Dados!$C$3:$C$202,'ex1'!AD17)</f>
        <v>56</v>
      </c>
      <c r="AF17" s="77"/>
      <c r="AG17" s="65">
        <f t="shared" si="1"/>
        <v>0.28000000000000003</v>
      </c>
      <c r="AH17" s="65"/>
      <c r="AI17" s="66">
        <f t="shared" ref="AI17:AI23" si="4">AI16+AE17</f>
        <v>95</v>
      </c>
      <c r="AJ17" s="66"/>
      <c r="AK17" s="67">
        <f t="shared" ref="AK17:AK23" si="5">AK16+AG17</f>
        <v>0.47500000000000003</v>
      </c>
      <c r="AL17" s="67"/>
      <c r="AM17" s="67"/>
    </row>
    <row r="18" spans="1:39">
      <c r="A18" s="40"/>
      <c r="B18" s="7">
        <v>3</v>
      </c>
      <c r="C18" s="76">
        <f>COUNTIFS(Dados!$B$3:$B$202,'ex1'!B18)</f>
        <v>33</v>
      </c>
      <c r="D18" s="77"/>
      <c r="E18" s="65">
        <f t="shared" si="0"/>
        <v>0.16500000000000001</v>
      </c>
      <c r="F18" s="65"/>
      <c r="G18" s="66">
        <f t="shared" si="2"/>
        <v>144</v>
      </c>
      <c r="H18" s="66"/>
      <c r="I18" s="67">
        <f t="shared" si="3"/>
        <v>0.72000000000000008</v>
      </c>
      <c r="J18" s="67"/>
      <c r="K18" s="67"/>
      <c r="M18">
        <v>27</v>
      </c>
      <c r="AC18" s="2"/>
      <c r="AD18" s="7">
        <v>3</v>
      </c>
      <c r="AE18" s="76">
        <f>COUNTIFS(Dados!$C$3:$C$202,'ex1'!AD18)</f>
        <v>50</v>
      </c>
      <c r="AF18" s="77"/>
      <c r="AG18" s="65">
        <f t="shared" si="1"/>
        <v>0.25</v>
      </c>
      <c r="AH18" s="65"/>
      <c r="AI18" s="66">
        <f t="shared" si="4"/>
        <v>145</v>
      </c>
      <c r="AJ18" s="66"/>
      <c r="AK18" s="67">
        <f t="shared" si="5"/>
        <v>0.72500000000000009</v>
      </c>
      <c r="AL18" s="67"/>
      <c r="AM18" s="67"/>
    </row>
    <row r="19" spans="1:39">
      <c r="A19" s="40"/>
      <c r="B19" s="7">
        <v>4</v>
      </c>
      <c r="C19" s="76">
        <f>COUNTIFS(Dados!$B$3:$B$202,'ex1'!B19)</f>
        <v>27</v>
      </c>
      <c r="D19" s="77"/>
      <c r="E19" s="65">
        <f t="shared" si="0"/>
        <v>0.13500000000000001</v>
      </c>
      <c r="F19" s="65"/>
      <c r="G19" s="66">
        <f t="shared" si="2"/>
        <v>171</v>
      </c>
      <c r="H19" s="66"/>
      <c r="I19" s="67">
        <f t="shared" si="3"/>
        <v>0.85500000000000009</v>
      </c>
      <c r="J19" s="67"/>
      <c r="K19" s="67"/>
      <c r="M19">
        <v>16</v>
      </c>
      <c r="AC19" s="2"/>
      <c r="AD19" s="7">
        <v>4</v>
      </c>
      <c r="AE19" s="76">
        <f>COUNTIFS(Dados!$C$3:$C$202,'ex1'!AD19)</f>
        <v>28</v>
      </c>
      <c r="AF19" s="77"/>
      <c r="AG19" s="65">
        <f t="shared" si="1"/>
        <v>0.14000000000000001</v>
      </c>
      <c r="AH19" s="65"/>
      <c r="AI19" s="66">
        <f t="shared" si="4"/>
        <v>173</v>
      </c>
      <c r="AJ19" s="66"/>
      <c r="AK19" s="67">
        <f t="shared" si="5"/>
        <v>0.8650000000000001</v>
      </c>
      <c r="AL19" s="67"/>
      <c r="AM19" s="67"/>
    </row>
    <row r="20" spans="1:39">
      <c r="A20" s="40"/>
      <c r="B20" s="7">
        <v>5</v>
      </c>
      <c r="C20" s="76">
        <f>COUNTIFS(Dados!$B$3:$B$202,'ex1'!B20)</f>
        <v>16</v>
      </c>
      <c r="D20" s="77"/>
      <c r="E20" s="65">
        <f t="shared" si="0"/>
        <v>0.08</v>
      </c>
      <c r="F20" s="65"/>
      <c r="G20" s="66">
        <f t="shared" si="2"/>
        <v>187</v>
      </c>
      <c r="H20" s="66"/>
      <c r="I20" s="67">
        <f t="shared" si="3"/>
        <v>0.93500000000000005</v>
      </c>
      <c r="J20" s="67"/>
      <c r="K20" s="67"/>
      <c r="M20">
        <v>12</v>
      </c>
      <c r="AC20" s="2"/>
      <c r="AD20" s="7">
        <v>5</v>
      </c>
      <c r="AE20" s="76">
        <f>COUNTIFS(Dados!$C$3:$C$202,'ex1'!AD20)</f>
        <v>14</v>
      </c>
      <c r="AF20" s="77"/>
      <c r="AG20" s="65">
        <f t="shared" si="1"/>
        <v>7.0000000000000007E-2</v>
      </c>
      <c r="AH20" s="65"/>
      <c r="AI20" s="66">
        <f t="shared" si="4"/>
        <v>187</v>
      </c>
      <c r="AJ20" s="66"/>
      <c r="AK20" s="67">
        <f t="shared" si="5"/>
        <v>0.93500000000000005</v>
      </c>
      <c r="AL20" s="67"/>
      <c r="AM20" s="67"/>
    </row>
    <row r="21" spans="1:39">
      <c r="A21" s="40"/>
      <c r="B21" s="7">
        <v>6</v>
      </c>
      <c r="C21" s="76">
        <f>COUNTIFS(Dados!$B$3:$B$202,'ex1'!B21)</f>
        <v>12</v>
      </c>
      <c r="D21" s="77"/>
      <c r="E21" s="65">
        <f t="shared" si="0"/>
        <v>0.06</v>
      </c>
      <c r="F21" s="65"/>
      <c r="G21" s="66">
        <f t="shared" si="2"/>
        <v>199</v>
      </c>
      <c r="H21" s="66"/>
      <c r="I21" s="67">
        <f t="shared" si="3"/>
        <v>0.99500000000000011</v>
      </c>
      <c r="J21" s="67"/>
      <c r="K21" s="67"/>
      <c r="M21">
        <v>1</v>
      </c>
      <c r="AC21" s="2"/>
      <c r="AD21" s="7">
        <v>6</v>
      </c>
      <c r="AE21" s="76">
        <f>COUNTIFS(Dados!$C$3:$C$202,'ex1'!AD21)</f>
        <v>12</v>
      </c>
      <c r="AF21" s="77"/>
      <c r="AG21" s="65">
        <f t="shared" si="1"/>
        <v>0.06</v>
      </c>
      <c r="AH21" s="65"/>
      <c r="AI21" s="66">
        <f t="shared" si="4"/>
        <v>199</v>
      </c>
      <c r="AJ21" s="66"/>
      <c r="AK21" s="67">
        <f t="shared" si="5"/>
        <v>0.99500000000000011</v>
      </c>
      <c r="AL21" s="67"/>
      <c r="AM21" s="67"/>
    </row>
    <row r="22" spans="1:39">
      <c r="A22" s="40"/>
      <c r="B22" s="7">
        <v>7</v>
      </c>
      <c r="C22" s="76">
        <f>COUNTIFS(Dados!$B$3:$B$202,'ex1'!B22)</f>
        <v>1</v>
      </c>
      <c r="D22" s="77"/>
      <c r="E22" s="65">
        <f t="shared" si="0"/>
        <v>5.0000000000000001E-3</v>
      </c>
      <c r="F22" s="65"/>
      <c r="G22" s="66">
        <f t="shared" si="2"/>
        <v>200</v>
      </c>
      <c r="H22" s="66"/>
      <c r="I22" s="67">
        <f t="shared" si="3"/>
        <v>1</v>
      </c>
      <c r="J22" s="67"/>
      <c r="K22" s="67"/>
      <c r="AC22" s="2"/>
      <c r="AD22" s="7">
        <v>7</v>
      </c>
      <c r="AE22" s="76">
        <f>COUNTIFS(Dados!$C$3:$C$202,'ex1'!AD22)</f>
        <v>1</v>
      </c>
      <c r="AF22" s="77"/>
      <c r="AG22" s="65">
        <f t="shared" si="1"/>
        <v>5.0000000000000001E-3</v>
      </c>
      <c r="AH22" s="65"/>
      <c r="AI22" s="66">
        <f t="shared" si="4"/>
        <v>200</v>
      </c>
      <c r="AJ22" s="66"/>
      <c r="AK22" s="67">
        <f t="shared" si="5"/>
        <v>1</v>
      </c>
      <c r="AL22" s="67"/>
      <c r="AM22" s="67"/>
    </row>
    <row r="23" spans="1:39">
      <c r="A23" s="40"/>
    </row>
    <row r="24" spans="1:39">
      <c r="A24" s="40"/>
      <c r="AC24" s="2"/>
      <c r="AD24" s="2"/>
      <c r="AE24" s="2"/>
    </row>
    <row r="25" spans="1:39">
      <c r="A25" s="40"/>
      <c r="B25" s="14" t="s">
        <v>22</v>
      </c>
      <c r="C25" s="85">
        <f>SUM(C16:D22)</f>
        <v>200</v>
      </c>
      <c r="D25" s="86"/>
      <c r="E25" s="83">
        <f>SUM(E16:F22)</f>
        <v>1</v>
      </c>
      <c r="F25" s="66"/>
      <c r="G25" s="84" t="s">
        <v>23</v>
      </c>
      <c r="H25" s="66"/>
      <c r="I25" s="84" t="s">
        <v>23</v>
      </c>
      <c r="J25" s="66"/>
      <c r="K25" s="66"/>
      <c r="AC25" s="2"/>
      <c r="AD25" s="14" t="s">
        <v>22</v>
      </c>
      <c r="AE25" s="87">
        <f>SUM(AE16:AF23)</f>
        <v>200</v>
      </c>
      <c r="AF25" s="86"/>
      <c r="AG25" s="83">
        <f>SUM(AG16:AH23)</f>
        <v>1</v>
      </c>
      <c r="AH25" s="66"/>
      <c r="AI25" s="84" t="s">
        <v>23</v>
      </c>
      <c r="AJ25" s="66"/>
      <c r="AK25" s="84" t="s">
        <v>23</v>
      </c>
      <c r="AL25" s="66"/>
      <c r="AM25" s="66"/>
    </row>
    <row r="26" spans="1:39">
      <c r="A26" s="40"/>
      <c r="B26" s="2"/>
      <c r="C26" s="2"/>
      <c r="D26" s="2"/>
      <c r="E26" s="2"/>
      <c r="F26" s="2"/>
      <c r="G26" s="2"/>
      <c r="H26" s="2"/>
      <c r="I26" s="2"/>
      <c r="J26" s="2"/>
      <c r="AC26" s="2"/>
      <c r="AD26" s="2"/>
      <c r="AE26" s="2"/>
      <c r="AF26" s="2"/>
      <c r="AG26" s="2"/>
      <c r="AH26" s="2"/>
      <c r="AI26" s="2"/>
      <c r="AJ26" s="2"/>
      <c r="AK26" s="2"/>
      <c r="AL26" s="2"/>
    </row>
    <row r="27" spans="1:39">
      <c r="A27" s="24"/>
    </row>
    <row r="28" spans="1:39">
      <c r="A28" s="24"/>
    </row>
    <row r="29" spans="1:39">
      <c r="A29" s="24"/>
    </row>
    <row r="30" spans="1:39">
      <c r="A30" s="24" t="s">
        <v>24</v>
      </c>
      <c r="B30" t="s">
        <v>25</v>
      </c>
    </row>
    <row r="31" spans="1:39">
      <c r="A31" s="24"/>
    </row>
    <row r="32" spans="1:39">
      <c r="A32" s="24"/>
      <c r="AC32" t="s">
        <v>24</v>
      </c>
    </row>
    <row r="33" spans="1:2">
      <c r="A33" s="24"/>
    </row>
    <row r="34" spans="1:2">
      <c r="A34" s="24"/>
    </row>
    <row r="35" spans="1:2">
      <c r="A35" s="24"/>
    </row>
    <row r="36" spans="1:2">
      <c r="A36" s="24"/>
    </row>
    <row r="37" spans="1:2">
      <c r="A37" s="24"/>
    </row>
    <row r="38" spans="1:2">
      <c r="A38" s="24"/>
    </row>
    <row r="39" spans="1:2">
      <c r="A39" s="24"/>
    </row>
    <row r="40" spans="1:2">
      <c r="A40" s="24"/>
    </row>
    <row r="41" spans="1:2">
      <c r="A41" s="24"/>
    </row>
    <row r="42" spans="1:2">
      <c r="A42" s="24"/>
    </row>
    <row r="43" spans="1:2">
      <c r="A43" s="24"/>
    </row>
    <row r="44" spans="1:2">
      <c r="A44" s="24"/>
    </row>
    <row r="45" spans="1:2">
      <c r="A45" s="24"/>
    </row>
    <row r="46" spans="1:2">
      <c r="A46" s="24"/>
    </row>
    <row r="47" spans="1:2">
      <c r="A47" s="24"/>
    </row>
    <row r="48" spans="1:2">
      <c r="A48" s="24" t="s">
        <v>26</v>
      </c>
      <c r="B48" t="s">
        <v>25</v>
      </c>
    </row>
    <row r="49" spans="1:40" ht="19.5" customHeight="1">
      <c r="A49" s="24"/>
      <c r="B49" s="82"/>
      <c r="C49" s="82"/>
      <c r="D49" s="82"/>
      <c r="AD49" s="82"/>
      <c r="AE49" s="82"/>
      <c r="AF49" s="82"/>
    </row>
    <row r="50" spans="1:40" ht="18.75" customHeight="1">
      <c r="A50" s="24"/>
    </row>
    <row r="51" spans="1:40" ht="18.75" customHeight="1">
      <c r="A51" s="24"/>
      <c r="B51" s="22" t="s">
        <v>27</v>
      </c>
      <c r="C51" s="39">
        <f>AVERAGE(Dados!B$3:B$202)</f>
        <v>2.66</v>
      </c>
      <c r="D51" t="s">
        <v>28</v>
      </c>
      <c r="L51" s="18"/>
      <c r="AD51" s="22" t="s">
        <v>27</v>
      </c>
      <c r="AE51" s="12">
        <f>AVERAGE(Dados!$C$3:$C$202)</f>
        <v>2.81</v>
      </c>
      <c r="AF51" t="s">
        <v>29</v>
      </c>
      <c r="AN51" s="18"/>
    </row>
    <row r="52" spans="1:40">
      <c r="A52" s="24"/>
      <c r="B52" s="22" t="s">
        <v>30</v>
      </c>
      <c r="C52" s="23">
        <f>MEDIAN(Dados!$B$3:$B$202)</f>
        <v>2</v>
      </c>
      <c r="D52" t="s">
        <v>31</v>
      </c>
      <c r="L52" s="20"/>
      <c r="AD52" s="22" t="s">
        <v>30</v>
      </c>
      <c r="AE52" s="23">
        <f>MEDIAN(Dados!$C$3:$C$202)</f>
        <v>3</v>
      </c>
      <c r="AF52" t="s">
        <v>32</v>
      </c>
      <c r="AN52" s="20"/>
    </row>
    <row r="53" spans="1:40">
      <c r="A53" s="24"/>
      <c r="B53" s="22" t="s">
        <v>33</v>
      </c>
      <c r="C53" s="23">
        <f>MODE(Dados!B3:B202)</f>
        <v>1</v>
      </c>
      <c r="D53" t="s">
        <v>34</v>
      </c>
      <c r="L53" s="21"/>
      <c r="AD53" s="22" t="s">
        <v>33</v>
      </c>
      <c r="AE53" s="23">
        <f>MODE(Dados!$C$3:$C$202)</f>
        <v>2</v>
      </c>
      <c r="AF53" t="s">
        <v>35</v>
      </c>
      <c r="AN53" s="21"/>
    </row>
    <row r="54" spans="1:40">
      <c r="A54" s="24"/>
      <c r="L54" s="19"/>
      <c r="AN54" s="19"/>
    </row>
    <row r="55" spans="1:40">
      <c r="A55" s="24"/>
    </row>
    <row r="56" spans="1:40">
      <c r="A56" s="24"/>
      <c r="AD56" t="s">
        <v>36</v>
      </c>
    </row>
    <row r="57" spans="1:40">
      <c r="A57" s="24"/>
    </row>
    <row r="58" spans="1:40">
      <c r="A58" s="24"/>
    </row>
    <row r="59" spans="1:40">
      <c r="A59" s="24"/>
    </row>
    <row r="60" spans="1:40">
      <c r="A60" s="24" t="s">
        <v>37</v>
      </c>
      <c r="B60" t="s">
        <v>25</v>
      </c>
    </row>
    <row r="61" spans="1:40">
      <c r="A61" s="24"/>
      <c r="B61" s="15"/>
      <c r="C61" s="15"/>
      <c r="D61" s="15"/>
      <c r="E61" s="15"/>
      <c r="F61" s="15"/>
      <c r="AD61" s="15"/>
      <c r="AE61" s="15"/>
      <c r="AF61" s="15"/>
      <c r="AG61" s="15"/>
      <c r="AH61" s="15"/>
    </row>
    <row r="62" spans="1:40">
      <c r="A62" s="24"/>
    </row>
    <row r="63" spans="1:40">
      <c r="A63" s="24"/>
      <c r="B63" s="60" t="s">
        <v>38</v>
      </c>
      <c r="C63" s="61"/>
      <c r="D63" s="38">
        <f>_xlfn.VAR.S(Dados!B3:B202)</f>
        <v>2.3662311557788951</v>
      </c>
      <c r="E63" t="s">
        <v>39</v>
      </c>
      <c r="AD63" s="60" t="s">
        <v>38</v>
      </c>
      <c r="AE63" s="61"/>
      <c r="AF63" s="38">
        <f>_xlfn.VAR.S(Dados!$C$3:$C$202)</f>
        <v>2.0742713567839193</v>
      </c>
      <c r="AG63" t="s">
        <v>40</v>
      </c>
    </row>
    <row r="64" spans="1:40">
      <c r="A64" s="24"/>
      <c r="B64" s="60" t="s">
        <v>41</v>
      </c>
      <c r="C64" s="61"/>
      <c r="D64" s="38">
        <f>SQRT(D63)</f>
        <v>1.5382558811130531</v>
      </c>
      <c r="E64" t="s">
        <v>42</v>
      </c>
      <c r="AD64" s="60" t="s">
        <v>41</v>
      </c>
      <c r="AE64" s="61"/>
      <c r="AF64" s="38">
        <f>SQRT(AF63)</f>
        <v>1.4402330911293211</v>
      </c>
      <c r="AG64" t="s">
        <v>43</v>
      </c>
    </row>
    <row r="65" spans="1:42">
      <c r="A65" s="24"/>
    </row>
    <row r="66" spans="1:42">
      <c r="A66" s="24"/>
      <c r="D66" s="24" t="s">
        <v>44</v>
      </c>
      <c r="E66" s="24" t="s">
        <v>45</v>
      </c>
      <c r="F66" s="44">
        <f>C51-D64</f>
        <v>1.121744118886947</v>
      </c>
      <c r="G66" t="s">
        <v>46</v>
      </c>
      <c r="H66" s="44">
        <f>C51+D64</f>
        <v>4.1982558811130533</v>
      </c>
      <c r="I66" t="s">
        <v>47</v>
      </c>
      <c r="AF66" s="24" t="s">
        <v>44</v>
      </c>
      <c r="AG66" s="24" t="s">
        <v>45</v>
      </c>
      <c r="AH66" s="44">
        <f>AE51-AF64</f>
        <v>1.369766908870679</v>
      </c>
      <c r="AI66" t="s">
        <v>46</v>
      </c>
      <c r="AJ66" s="45">
        <f>AE51+AF64</f>
        <v>4.2502330911293207</v>
      </c>
      <c r="AK66" s="25" t="s">
        <v>47</v>
      </c>
    </row>
    <row r="67" spans="1:42">
      <c r="A67" s="24"/>
    </row>
    <row r="68" spans="1:42">
      <c r="A68" s="24"/>
      <c r="C68" s="25" t="s">
        <v>48</v>
      </c>
      <c r="L68" s="43">
        <f>COUNTIFS(Dados!$B$3:$B$202,"&gt;"&amp;$F$66,Dados!$B$3:$B$202,"&lt;"&amp;$H$66)/C25</f>
        <v>0.57499999999999996</v>
      </c>
      <c r="M68" t="s">
        <v>49</v>
      </c>
      <c r="AE68" s="25" t="s">
        <v>50</v>
      </c>
      <c r="AN68" s="42">
        <f>COUNTIFS(Dados!$C$3:$C$202,"&gt;"&amp;$AH$66,Dados!$C$3:$C$202,"&lt;"&amp;$AJ$66)/AE25</f>
        <v>0.67</v>
      </c>
      <c r="AO68" t="s">
        <v>51</v>
      </c>
    </row>
    <row r="69" spans="1:42">
      <c r="A69" s="24"/>
    </row>
    <row r="70" spans="1:42">
      <c r="A70" s="24" t="s">
        <v>52</v>
      </c>
      <c r="B70" t="s">
        <v>25</v>
      </c>
    </row>
    <row r="71" spans="1:42">
      <c r="A71" s="24"/>
      <c r="B71" s="62" t="s">
        <v>53</v>
      </c>
      <c r="C71" s="62"/>
      <c r="D71" s="62"/>
      <c r="E71" s="62"/>
      <c r="F71" s="62"/>
      <c r="G71" s="62"/>
      <c r="H71" s="62"/>
      <c r="I71" s="62"/>
      <c r="J71" s="62"/>
      <c r="K71" s="62"/>
      <c r="L71" s="62"/>
      <c r="AD71" s="62" t="s">
        <v>54</v>
      </c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</row>
    <row r="72" spans="1:42">
      <c r="A72" s="24"/>
      <c r="B72" s="62" t="s">
        <v>55</v>
      </c>
      <c r="C72" s="62"/>
      <c r="D72" s="62"/>
      <c r="E72" s="62"/>
      <c r="F72" s="62"/>
      <c r="G72" s="62"/>
      <c r="H72" s="62"/>
      <c r="I72" s="62"/>
      <c r="J72" s="62"/>
      <c r="K72" s="62"/>
      <c r="L72" s="62"/>
      <c r="AD72" s="62" t="s">
        <v>56</v>
      </c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</row>
    <row r="73" spans="1:42">
      <c r="A73" s="24"/>
    </row>
    <row r="74" spans="1:42">
      <c r="A74" s="24"/>
      <c r="B74" t="s">
        <v>57</v>
      </c>
      <c r="AD74" t="s">
        <v>57</v>
      </c>
    </row>
    <row r="75" spans="1:42">
      <c r="A75" s="24"/>
      <c r="B75" t="s">
        <v>58</v>
      </c>
      <c r="AD75" t="s">
        <v>59</v>
      </c>
    </row>
    <row r="76" spans="1:42">
      <c r="A76" s="24"/>
      <c r="F76" s="28"/>
      <c r="AH76" s="28"/>
    </row>
    <row r="77" spans="1:42">
      <c r="A77" s="24"/>
    </row>
    <row r="78" spans="1:42">
      <c r="A78" s="24"/>
    </row>
    <row r="79" spans="1:42">
      <c r="A79" s="24" t="s">
        <v>60</v>
      </c>
      <c r="B79" t="s">
        <v>25</v>
      </c>
    </row>
    <row r="80" spans="1:42">
      <c r="A80" s="24"/>
      <c r="B80" s="75" t="s">
        <v>61</v>
      </c>
      <c r="C80" s="60"/>
      <c r="D80" s="9" t="str" cm="1">
        <f t="array" ref="D80">_xlfn.IFS(C51&gt;C52,IF(C52&gt;C53,"assimétrica positiva",""),C51&lt;G31, IF(C52&lt;C53,"assimétrica negativa",""),C51&lt;C52,IF(C52=C53,"simétrica",""))</f>
        <v>assimétrica positiva</v>
      </c>
      <c r="E80" s="9"/>
      <c r="AD80" s="75" t="s">
        <v>62</v>
      </c>
      <c r="AE80" s="60"/>
      <c r="AF80" s="9" t="s">
        <v>63</v>
      </c>
      <c r="AG80" s="9"/>
      <c r="AL80" t="str" cm="1">
        <f t="array" ref="AL80">_xlfn.IFS(AE51&gt;AE52,IF(AE52&gt;AE53,"assimétrica positiva",""),AE51&lt;AE52, IF(AE52&lt;AE53,"assimétrica negativa",""),AE51&lt;AE52,IF(AE52=AE53,"simétrica",""))</f>
        <v/>
      </c>
    </row>
    <row r="81" spans="1:33">
      <c r="A81" s="24"/>
      <c r="B81" s="60" t="s">
        <v>64</v>
      </c>
      <c r="C81" s="61"/>
      <c r="D81" s="49">
        <f>SKEW(Dados!$C$3:$C$202)</f>
        <v>0.67395025117537199</v>
      </c>
      <c r="E81" t="s">
        <v>65</v>
      </c>
      <c r="AD81" s="60" t="s">
        <v>66</v>
      </c>
      <c r="AE81" s="61"/>
      <c r="AF81" s="49">
        <f>SKEW(Dados!$B$3:$B$202)</f>
        <v>0.736529536659974</v>
      </c>
      <c r="AG81" t="s">
        <v>67</v>
      </c>
    </row>
    <row r="82" spans="1:33">
      <c r="A82" s="24"/>
      <c r="B82" t="s">
        <v>68</v>
      </c>
      <c r="AD82" t="s">
        <v>69</v>
      </c>
    </row>
    <row r="83" spans="1:33">
      <c r="A83" s="24" t="s">
        <v>70</v>
      </c>
      <c r="B83" t="s">
        <v>25</v>
      </c>
    </row>
    <row r="84" spans="1:33">
      <c r="A84" s="24"/>
    </row>
    <row r="85" spans="1:33">
      <c r="B85" s="64" t="s">
        <v>71</v>
      </c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</row>
    <row r="86" spans="1:33">
      <c r="B86" s="64" t="s">
        <v>72</v>
      </c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</row>
    <row r="87" spans="1:33">
      <c r="B87" s="64" t="s">
        <v>73</v>
      </c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</row>
    <row r="88" spans="1:33">
      <c r="B88" s="64" t="s">
        <v>74</v>
      </c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</row>
  </sheetData>
  <mergeCells count="99">
    <mergeCell ref="AE17:AF17"/>
    <mergeCell ref="AD80:AE80"/>
    <mergeCell ref="AG21:AH21"/>
    <mergeCell ref="AI21:AJ21"/>
    <mergeCell ref="AK21:AM21"/>
    <mergeCell ref="AG22:AH22"/>
    <mergeCell ref="AI22:AJ22"/>
    <mergeCell ref="AK22:AM22"/>
    <mergeCell ref="AG18:AH18"/>
    <mergeCell ref="AI18:AJ18"/>
    <mergeCell ref="AK18:AM18"/>
    <mergeCell ref="AG19:AH19"/>
    <mergeCell ref="AE19:AF19"/>
    <mergeCell ref="AE20:AF20"/>
    <mergeCell ref="AE21:AF21"/>
    <mergeCell ref="AI15:AJ15"/>
    <mergeCell ref="AK15:AM15"/>
    <mergeCell ref="AD63:AE63"/>
    <mergeCell ref="AD64:AE64"/>
    <mergeCell ref="AI19:AJ19"/>
    <mergeCell ref="AK19:AM19"/>
    <mergeCell ref="AG20:AH20"/>
    <mergeCell ref="AI20:AJ20"/>
    <mergeCell ref="AK20:AM20"/>
    <mergeCell ref="AD49:AF49"/>
    <mergeCell ref="AG25:AH25"/>
    <mergeCell ref="AI25:AJ25"/>
    <mergeCell ref="AK25:AM25"/>
    <mergeCell ref="AE18:AF18"/>
    <mergeCell ref="AE25:AF25"/>
    <mergeCell ref="AE22:AF22"/>
    <mergeCell ref="E25:F25"/>
    <mergeCell ref="G25:H25"/>
    <mergeCell ref="I25:K25"/>
    <mergeCell ref="C25:D25"/>
    <mergeCell ref="AD11:AT12"/>
    <mergeCell ref="AG16:AH16"/>
    <mergeCell ref="AI16:AJ16"/>
    <mergeCell ref="AK16:AM16"/>
    <mergeCell ref="AE16:AF16"/>
    <mergeCell ref="AG17:AH17"/>
    <mergeCell ref="AI17:AJ17"/>
    <mergeCell ref="AK17:AM17"/>
    <mergeCell ref="AG14:AH14"/>
    <mergeCell ref="AI14:AJ14"/>
    <mergeCell ref="AK14:AM14"/>
    <mergeCell ref="AG15:AH15"/>
    <mergeCell ref="C16:D16"/>
    <mergeCell ref="C15:D15"/>
    <mergeCell ref="C14:D14"/>
    <mergeCell ref="B80:C80"/>
    <mergeCell ref="B64:C64"/>
    <mergeCell ref="B63:C63"/>
    <mergeCell ref="B49:D49"/>
    <mergeCell ref="C22:D22"/>
    <mergeCell ref="C21:D21"/>
    <mergeCell ref="C20:D20"/>
    <mergeCell ref="C19:D19"/>
    <mergeCell ref="C18:D18"/>
    <mergeCell ref="C17:D17"/>
    <mergeCell ref="B11:R12"/>
    <mergeCell ref="E14:F14"/>
    <mergeCell ref="G14:H14"/>
    <mergeCell ref="I14:K14"/>
    <mergeCell ref="E15:F15"/>
    <mergeCell ref="I19:K19"/>
    <mergeCell ref="E22:F22"/>
    <mergeCell ref="G22:H22"/>
    <mergeCell ref="I22:K22"/>
    <mergeCell ref="E17:F17"/>
    <mergeCell ref="G17:H17"/>
    <mergeCell ref="I17:K17"/>
    <mergeCell ref="E18:F18"/>
    <mergeCell ref="G18:H18"/>
    <mergeCell ref="E20:F20"/>
    <mergeCell ref="G20:H20"/>
    <mergeCell ref="I20:K20"/>
    <mergeCell ref="H5:M5"/>
    <mergeCell ref="B85:W85"/>
    <mergeCell ref="B86:W86"/>
    <mergeCell ref="B87:W87"/>
    <mergeCell ref="B88:W88"/>
    <mergeCell ref="E21:F21"/>
    <mergeCell ref="G21:H21"/>
    <mergeCell ref="I21:K21"/>
    <mergeCell ref="G15:H15"/>
    <mergeCell ref="I15:K15"/>
    <mergeCell ref="E16:F16"/>
    <mergeCell ref="G16:H16"/>
    <mergeCell ref="I16:K16"/>
    <mergeCell ref="I18:K18"/>
    <mergeCell ref="E19:F19"/>
    <mergeCell ref="G19:H19"/>
    <mergeCell ref="B81:C81"/>
    <mergeCell ref="AD81:AE81"/>
    <mergeCell ref="AD71:AP71"/>
    <mergeCell ref="AD72:AP72"/>
    <mergeCell ref="B72:L72"/>
    <mergeCell ref="B71:L71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643E9-387C-45CD-9E08-AA283408F85C}">
  <dimension ref="A1:Z215"/>
  <sheetViews>
    <sheetView topLeftCell="A18" zoomScale="81" zoomScaleNormal="70" workbookViewId="0">
      <selection activeCell="D212" sqref="D212"/>
    </sheetView>
  </sheetViews>
  <sheetFormatPr defaultColWidth="8.875" defaultRowHeight="15.6"/>
  <cols>
    <col min="3" max="3" width="23.125" customWidth="1"/>
    <col min="6" max="6" width="9" customWidth="1"/>
    <col min="8" max="8" width="11.125" customWidth="1"/>
    <col min="11" max="11" width="8.5" customWidth="1"/>
    <col min="13" max="13" width="10.625" customWidth="1"/>
    <col min="15" max="15" width="11.125" customWidth="1"/>
    <col min="20" max="20" width="10.375" customWidth="1"/>
  </cols>
  <sheetData>
    <row r="1" spans="1:26">
      <c r="A1" s="2"/>
      <c r="B1" s="2"/>
      <c r="C1" s="2"/>
      <c r="D1" s="2"/>
      <c r="E1" s="2"/>
      <c r="F1" s="2"/>
      <c r="G1" s="2"/>
      <c r="H1" s="2"/>
      <c r="I1" s="2"/>
      <c r="J1" s="2"/>
    </row>
    <row r="2" spans="1:26">
      <c r="A2" s="2" t="s">
        <v>6</v>
      </c>
      <c r="B2" s="2" t="s">
        <v>75</v>
      </c>
      <c r="C2" s="2"/>
      <c r="D2" s="2"/>
      <c r="E2" s="2"/>
      <c r="F2" s="2"/>
      <c r="G2" s="2"/>
      <c r="H2" s="2"/>
      <c r="I2" s="2"/>
      <c r="J2" s="2"/>
    </row>
    <row r="3" spans="1:26">
      <c r="A3" s="2"/>
      <c r="B3" s="2" t="s">
        <v>76</v>
      </c>
      <c r="C3" s="2"/>
      <c r="D3" s="2"/>
      <c r="E3" s="2"/>
      <c r="F3" s="2"/>
      <c r="G3" s="2"/>
      <c r="H3" s="2"/>
      <c r="I3" s="2"/>
      <c r="J3" s="2"/>
    </row>
    <row r="4" spans="1:26">
      <c r="A4" s="2"/>
      <c r="B4" s="2"/>
      <c r="C4" s="2"/>
      <c r="D4" s="2"/>
      <c r="E4" s="2"/>
      <c r="F4" s="2"/>
      <c r="G4" s="2"/>
      <c r="H4" s="2"/>
      <c r="I4" s="2"/>
      <c r="J4" s="2"/>
    </row>
    <row r="5" spans="1:26" ht="26.1">
      <c r="A5" s="3" t="s">
        <v>7</v>
      </c>
      <c r="B5" s="2"/>
      <c r="C5" s="2"/>
      <c r="D5" s="2"/>
      <c r="E5" s="2"/>
      <c r="F5" s="2"/>
      <c r="G5" s="2"/>
      <c r="H5" s="2"/>
      <c r="I5" s="2"/>
      <c r="J5" s="2"/>
    </row>
    <row r="6" spans="1:26" ht="15.75" customHeight="1">
      <c r="A6" s="2"/>
      <c r="B6" s="98" t="s">
        <v>77</v>
      </c>
      <c r="C6" s="99"/>
      <c r="D6" s="5">
        <f>MAX(Dados!D3:D202)</f>
        <v>29.84</v>
      </c>
      <c r="E6" s="2"/>
      <c r="F6" s="100" t="s">
        <v>78</v>
      </c>
      <c r="G6" s="100"/>
      <c r="H6" s="13">
        <f>INT(LOG(COUNT(Dados!D3:D202),2))+1</f>
        <v>8</v>
      </c>
      <c r="J6" s="102" t="s">
        <v>79</v>
      </c>
      <c r="K6" s="102"/>
      <c r="L6" s="102"/>
      <c r="M6" s="102"/>
    </row>
    <row r="7" spans="1:26" ht="15.75" customHeight="1">
      <c r="A7" s="2"/>
      <c r="B7" s="98" t="s">
        <v>80</v>
      </c>
      <c r="C7" s="99"/>
      <c r="D7" s="6">
        <f>MIN(Dados!D3:D202)</f>
        <v>16.79</v>
      </c>
      <c r="E7" s="2"/>
      <c r="F7" s="100" t="s">
        <v>81</v>
      </c>
      <c r="G7" s="100"/>
      <c r="H7" s="14">
        <v>200</v>
      </c>
      <c r="J7" s="102"/>
      <c r="K7" s="102"/>
      <c r="L7" s="102"/>
      <c r="M7" s="102"/>
    </row>
    <row r="8" spans="1:26">
      <c r="A8" s="2"/>
      <c r="B8" s="98" t="s">
        <v>82</v>
      </c>
      <c r="C8" s="99"/>
      <c r="D8" s="6">
        <f>D6-D7</f>
        <v>13.05</v>
      </c>
      <c r="E8" s="2"/>
      <c r="F8" s="100" t="s">
        <v>83</v>
      </c>
      <c r="G8" s="100"/>
      <c r="H8" s="13">
        <f>ROUND((D6-D7)/H6+ 0.01,2)</f>
        <v>1.64</v>
      </c>
    </row>
    <row r="9" spans="1:26">
      <c r="A9" s="2"/>
      <c r="B9" s="2"/>
      <c r="C9" s="2"/>
      <c r="D9" s="2"/>
      <c r="E9" s="2"/>
      <c r="F9" s="2"/>
      <c r="G9" s="2"/>
      <c r="H9" s="2"/>
      <c r="I9" s="2"/>
      <c r="J9" s="2"/>
    </row>
    <row r="10" spans="1:26" ht="15.95" thickBot="1">
      <c r="A10" s="2"/>
      <c r="B10" s="2"/>
      <c r="C10" s="2"/>
      <c r="D10" s="2"/>
      <c r="E10" s="2"/>
      <c r="F10" s="2"/>
      <c r="G10" s="2"/>
      <c r="H10" s="2"/>
      <c r="I10" s="2"/>
      <c r="J10" s="2"/>
    </row>
    <row r="11" spans="1:26" ht="15.75" customHeight="1">
      <c r="A11" s="2" t="s">
        <v>11</v>
      </c>
      <c r="B11" s="69" t="s">
        <v>12</v>
      </c>
      <c r="C11" s="70"/>
      <c r="D11" s="70"/>
      <c r="E11" s="70"/>
      <c r="F11" s="70"/>
      <c r="G11" s="70"/>
      <c r="H11" s="70"/>
      <c r="I11" s="70"/>
      <c r="J11" s="70"/>
      <c r="K11" s="70"/>
      <c r="L11" s="70"/>
      <c r="M11" s="70"/>
      <c r="N11" s="70"/>
      <c r="O11" s="70"/>
      <c r="P11" s="70"/>
      <c r="Q11" s="70"/>
      <c r="R11" s="71"/>
    </row>
    <row r="12" spans="1:26" ht="16.5" customHeight="1" thickBot="1">
      <c r="A12" s="2"/>
      <c r="B12" s="72"/>
      <c r="C12" s="73"/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3"/>
      <c r="Q12" s="73"/>
      <c r="R12" s="74"/>
    </row>
    <row r="13" spans="1:26">
      <c r="A13" s="2"/>
      <c r="D13" s="2"/>
      <c r="E13" s="2"/>
      <c r="F13" s="2"/>
      <c r="G13" s="2"/>
      <c r="H13" s="2"/>
      <c r="I13" s="2"/>
      <c r="J13" s="2"/>
    </row>
    <row r="14" spans="1:26">
      <c r="A14" s="2"/>
      <c r="B14" s="2"/>
      <c r="C14" s="8" t="s">
        <v>84</v>
      </c>
      <c r="D14" s="2"/>
      <c r="E14" s="2"/>
      <c r="F14" s="2"/>
      <c r="G14" s="2"/>
      <c r="H14" s="100" t="s">
        <v>85</v>
      </c>
      <c r="I14" s="100"/>
      <c r="J14" s="100" t="s">
        <v>14</v>
      </c>
      <c r="K14" s="100"/>
      <c r="L14" s="75" t="s">
        <v>15</v>
      </c>
      <c r="M14" s="75"/>
      <c r="N14" s="75" t="s">
        <v>16</v>
      </c>
      <c r="O14" s="75"/>
      <c r="P14" s="75" t="s">
        <v>17</v>
      </c>
      <c r="Q14" s="75"/>
      <c r="R14" s="75"/>
      <c r="S14" s="101" t="s">
        <v>86</v>
      </c>
      <c r="T14" s="101"/>
      <c r="U14" s="101"/>
      <c r="V14" s="101"/>
      <c r="W14" s="101"/>
      <c r="X14" s="101"/>
      <c r="Y14" s="101"/>
      <c r="Z14" s="101"/>
    </row>
    <row r="15" spans="1:26">
      <c r="A15" s="2"/>
      <c r="B15" s="7"/>
      <c r="C15" s="7" t="s">
        <v>87</v>
      </c>
      <c r="D15" s="93" t="s">
        <v>88</v>
      </c>
      <c r="E15" s="93"/>
      <c r="F15" s="93" t="s">
        <v>89</v>
      </c>
      <c r="G15" s="93"/>
      <c r="H15" s="94" t="s">
        <v>90</v>
      </c>
      <c r="I15" s="95"/>
      <c r="J15" s="96" t="s">
        <v>18</v>
      </c>
      <c r="K15" s="96"/>
      <c r="L15" s="68" t="s">
        <v>19</v>
      </c>
      <c r="M15" s="68"/>
      <c r="N15" s="68" t="s">
        <v>20</v>
      </c>
      <c r="O15" s="68"/>
      <c r="P15" s="68" t="s">
        <v>21</v>
      </c>
      <c r="Q15" s="68"/>
      <c r="R15" s="68"/>
      <c r="S15" s="97" t="s">
        <v>91</v>
      </c>
      <c r="T15" s="97"/>
      <c r="U15" s="97" t="s">
        <v>92</v>
      </c>
      <c r="V15" s="97"/>
      <c r="W15" s="68" t="s">
        <v>93</v>
      </c>
      <c r="X15" s="68"/>
      <c r="Y15" s="68" t="s">
        <v>94</v>
      </c>
      <c r="Z15" s="68"/>
    </row>
    <row r="16" spans="1:26">
      <c r="A16" s="2"/>
      <c r="B16" s="7">
        <v>1</v>
      </c>
      <c r="C16" s="4" t="str">
        <f t="shared" ref="C16:C22" si="0">"["&amp;$D$7+B15 * $H$8&amp;"   ;    "&amp;$D$7+B16 * $H$8&amp;"["</f>
        <v>[16.79   ;    18.43[</v>
      </c>
      <c r="D16" s="91">
        <f t="shared" ref="D16:D23" si="1" xml:space="preserve"> $D$7 + $H$8 * B15</f>
        <v>16.79</v>
      </c>
      <c r="E16" s="91"/>
      <c r="F16" s="91">
        <f t="shared" ref="F16:F23" si="2" xml:space="preserve"> $D$7 + $H$8 * B16</f>
        <v>18.43</v>
      </c>
      <c r="G16" s="91"/>
      <c r="H16" s="92">
        <f>(D16+F16)/2</f>
        <v>17.61</v>
      </c>
      <c r="I16" s="92"/>
      <c r="J16" s="92">
        <f>COUNTIFS(Dados!$D$3:$D$202,"&gt;="&amp;D16,Dados!$D$3:$D$202,"&lt;"&amp;F16)</f>
        <v>10</v>
      </c>
      <c r="K16" s="92"/>
      <c r="L16" s="65">
        <f>J16/$J$25</f>
        <v>0.05</v>
      </c>
      <c r="M16" s="65"/>
      <c r="N16" s="66">
        <f>J16</f>
        <v>10</v>
      </c>
      <c r="O16" s="66"/>
      <c r="P16" s="67">
        <f>L16</f>
        <v>0.05</v>
      </c>
      <c r="Q16" s="67"/>
      <c r="R16" s="67"/>
      <c r="S16" s="66">
        <f>H16*J16</f>
        <v>176.1</v>
      </c>
      <c r="T16" s="66"/>
      <c r="U16" s="66">
        <f>((H16-$C$51)^2) * J16</f>
        <v>205.6259716000001</v>
      </c>
      <c r="V16" s="66"/>
      <c r="W16" s="66">
        <f>((H16-$C$51)^3)*J16</f>
        <v>-932.43153081736068</v>
      </c>
      <c r="X16" s="66"/>
      <c r="Y16" s="66">
        <f>((H16-$C$51)^4)*J16</f>
        <v>4228.204019644405</v>
      </c>
      <c r="Z16" s="66"/>
    </row>
    <row r="17" spans="1:26">
      <c r="A17" s="2"/>
      <c r="B17" s="7">
        <v>2</v>
      </c>
      <c r="C17" s="4" t="str">
        <f t="shared" si="0"/>
        <v>[18.43   ;    20.07[</v>
      </c>
      <c r="D17" s="91">
        <f t="shared" si="1"/>
        <v>18.43</v>
      </c>
      <c r="E17" s="91"/>
      <c r="F17" s="91">
        <f t="shared" si="2"/>
        <v>20.07</v>
      </c>
      <c r="G17" s="91"/>
      <c r="H17" s="92">
        <f t="shared" ref="H17:H23" si="3">(D17+F17)/2</f>
        <v>19.25</v>
      </c>
      <c r="I17" s="92"/>
      <c r="J17" s="92">
        <f>COUNTIFS(Dados!$D$3:$D$202,"&gt;="&amp;D17,Dados!$D$3:$D$202,"&lt;"&amp;F17)</f>
        <v>32</v>
      </c>
      <c r="K17" s="92"/>
      <c r="L17" s="65">
        <f t="shared" ref="L17:L23" si="4">J17/$J$25</f>
        <v>0.16</v>
      </c>
      <c r="M17" s="65"/>
      <c r="N17" s="66">
        <f>N16+J17</f>
        <v>42</v>
      </c>
      <c r="O17" s="66"/>
      <c r="P17" s="67">
        <f>P16+L17</f>
        <v>0.21000000000000002</v>
      </c>
      <c r="Q17" s="67"/>
      <c r="R17" s="67"/>
      <c r="S17" s="66">
        <f t="shared" ref="S17:S23" si="5">H17*J17</f>
        <v>616</v>
      </c>
      <c r="T17" s="66"/>
      <c r="U17" s="66">
        <f t="shared" ref="U17:U23" si="6">((H17-$C$51)^2) * J17</f>
        <v>268.1186931200001</v>
      </c>
      <c r="V17" s="66"/>
      <c r="W17" s="66">
        <f t="shared" ref="W17:W23" si="7">((H17-$C$51)^3)*J17</f>
        <v>-776.09636910515246</v>
      </c>
      <c r="X17" s="66"/>
      <c r="Y17" s="66">
        <f>((H17-$C$51)^4)*J17</f>
        <v>2246.4885500117748</v>
      </c>
      <c r="Z17" s="66"/>
    </row>
    <row r="18" spans="1:26">
      <c r="A18" s="2"/>
      <c r="B18" s="7">
        <v>3</v>
      </c>
      <c r="C18" s="4" t="str">
        <f t="shared" si="0"/>
        <v>[20.07   ;    21.71[</v>
      </c>
      <c r="D18" s="91">
        <f t="shared" si="1"/>
        <v>20.07</v>
      </c>
      <c r="E18" s="91"/>
      <c r="F18" s="91">
        <f t="shared" si="2"/>
        <v>21.71</v>
      </c>
      <c r="G18" s="91"/>
      <c r="H18" s="92">
        <f t="shared" si="3"/>
        <v>20.89</v>
      </c>
      <c r="I18" s="92"/>
      <c r="J18" s="92">
        <f>COUNTIFS(Dados!$D$3:$D$202,"&gt;="&amp;D18,Dados!$D$3:$D$202,"&lt;"&amp;F18)</f>
        <v>50</v>
      </c>
      <c r="K18" s="92"/>
      <c r="L18" s="65">
        <f t="shared" si="4"/>
        <v>0.25</v>
      </c>
      <c r="M18" s="65"/>
      <c r="N18" s="66">
        <f t="shared" ref="N18:N23" si="8">N17+J18</f>
        <v>92</v>
      </c>
      <c r="O18" s="66"/>
      <c r="P18" s="67">
        <f>P17+L18</f>
        <v>0.46</v>
      </c>
      <c r="Q18" s="67"/>
      <c r="R18" s="67"/>
      <c r="S18" s="66">
        <f t="shared" si="5"/>
        <v>1044.5</v>
      </c>
      <c r="T18" s="66"/>
      <c r="U18" s="66">
        <f t="shared" si="6"/>
        <v>78.701057999999989</v>
      </c>
      <c r="V18" s="66"/>
      <c r="W18" s="66">
        <f t="shared" si="7"/>
        <v>-98.738347366799985</v>
      </c>
      <c r="X18" s="66"/>
      <c r="Y18" s="66">
        <f t="shared" ref="Y18:Y23" si="9">((H18-$C$51)^4)*J18</f>
        <v>123.87713060638725</v>
      </c>
      <c r="Z18" s="66"/>
    </row>
    <row r="19" spans="1:26">
      <c r="A19" s="2"/>
      <c r="B19" s="7">
        <v>4</v>
      </c>
      <c r="C19" s="4" t="str">
        <f t="shared" si="0"/>
        <v>[21.71   ;    23.35[</v>
      </c>
      <c r="D19" s="91">
        <f t="shared" si="1"/>
        <v>21.71</v>
      </c>
      <c r="E19" s="91"/>
      <c r="F19" s="91">
        <f t="shared" si="2"/>
        <v>23.349999999999998</v>
      </c>
      <c r="G19" s="91"/>
      <c r="H19" s="92">
        <f t="shared" si="3"/>
        <v>22.53</v>
      </c>
      <c r="I19" s="92"/>
      <c r="J19" s="92">
        <f>COUNTIFS(Dados!$D$3:$D$202,"&gt;="&amp;D19,Dados!$D$3:$D$202,"&lt;"&amp;F19)</f>
        <v>47</v>
      </c>
      <c r="K19" s="92"/>
      <c r="L19" s="65">
        <f t="shared" si="4"/>
        <v>0.23499999999999999</v>
      </c>
      <c r="M19" s="65"/>
      <c r="N19" s="66">
        <f t="shared" si="8"/>
        <v>139</v>
      </c>
      <c r="O19" s="66"/>
      <c r="P19" s="67">
        <f>P18+L19</f>
        <v>0.69500000000000006</v>
      </c>
      <c r="Q19" s="67"/>
      <c r="R19" s="67"/>
      <c r="S19" s="66">
        <f t="shared" si="5"/>
        <v>1058.9100000000001</v>
      </c>
      <c r="T19" s="66"/>
      <c r="U19" s="66">
        <f t="shared" si="6"/>
        <v>6.9810585200000235</v>
      </c>
      <c r="V19" s="66"/>
      <c r="W19" s="66">
        <f t="shared" si="7"/>
        <v>2.6904999536080134</v>
      </c>
      <c r="X19" s="66"/>
      <c r="Y19" s="66">
        <f t="shared" si="9"/>
        <v>1.0369186821205303</v>
      </c>
      <c r="Z19" s="66"/>
    </row>
    <row r="20" spans="1:26">
      <c r="A20" s="2"/>
      <c r="B20" s="7">
        <v>5</v>
      </c>
      <c r="C20" s="4" t="str">
        <f t="shared" si="0"/>
        <v>[23.35   ;    24.99[</v>
      </c>
      <c r="D20" s="91">
        <f t="shared" si="1"/>
        <v>23.349999999999998</v>
      </c>
      <c r="E20" s="91"/>
      <c r="F20" s="91">
        <f t="shared" si="2"/>
        <v>24.99</v>
      </c>
      <c r="G20" s="91"/>
      <c r="H20" s="92">
        <f t="shared" si="3"/>
        <v>24.169999999999998</v>
      </c>
      <c r="I20" s="92"/>
      <c r="J20" s="92">
        <f>COUNTIFS(Dados!$D$3:$D$202,"&gt;="&amp;D20,Dados!$D$3:$D$202,"&lt;"&amp;F20)</f>
        <v>33</v>
      </c>
      <c r="K20" s="92"/>
      <c r="L20" s="65">
        <f t="shared" si="4"/>
        <v>0.16500000000000001</v>
      </c>
      <c r="M20" s="65"/>
      <c r="N20" s="66">
        <f t="shared" si="8"/>
        <v>172</v>
      </c>
      <c r="O20" s="66"/>
      <c r="P20" s="67">
        <f t="shared" ref="P20:P23" si="10">P19+L20</f>
        <v>0.8600000000000001</v>
      </c>
      <c r="Q20" s="67"/>
      <c r="R20" s="67"/>
      <c r="S20" s="66">
        <f t="shared" si="5"/>
        <v>797.6099999999999</v>
      </c>
      <c r="T20" s="66"/>
      <c r="U20" s="66">
        <f t="shared" si="6"/>
        <v>135.37409027999968</v>
      </c>
      <c r="V20" s="66"/>
      <c r="W20" s="66">
        <f t="shared" si="7"/>
        <v>274.18668245311102</v>
      </c>
      <c r="X20" s="66"/>
      <c r="Y20" s="66">
        <f t="shared" si="9"/>
        <v>555.33770664053043</v>
      </c>
      <c r="Z20" s="66"/>
    </row>
    <row r="21" spans="1:26">
      <c r="A21" s="2"/>
      <c r="B21" s="7">
        <v>6</v>
      </c>
      <c r="C21" s="4" t="str">
        <f t="shared" si="0"/>
        <v>[24.99   ;    26.63[</v>
      </c>
      <c r="D21" s="91">
        <f t="shared" si="1"/>
        <v>24.99</v>
      </c>
      <c r="E21" s="91"/>
      <c r="F21" s="91">
        <f t="shared" si="2"/>
        <v>26.63</v>
      </c>
      <c r="G21" s="91"/>
      <c r="H21" s="92">
        <f t="shared" si="3"/>
        <v>25.81</v>
      </c>
      <c r="I21" s="92"/>
      <c r="J21" s="92">
        <f>COUNTIFS(Dados!$D$3:$D$202,"&gt;="&amp;D21,Dados!$D$3:$D$202,"&lt;"&amp;F21)</f>
        <v>21</v>
      </c>
      <c r="K21" s="92"/>
      <c r="L21" s="65">
        <f t="shared" si="4"/>
        <v>0.105</v>
      </c>
      <c r="M21" s="65"/>
      <c r="N21" s="66">
        <f t="shared" si="8"/>
        <v>193</v>
      </c>
      <c r="O21" s="66"/>
      <c r="P21" s="67">
        <f t="shared" si="10"/>
        <v>0.96500000000000008</v>
      </c>
      <c r="Q21" s="67"/>
      <c r="R21" s="67"/>
      <c r="S21" s="66">
        <f t="shared" si="5"/>
        <v>542.01</v>
      </c>
      <c r="T21" s="66"/>
      <c r="U21" s="66">
        <f t="shared" si="6"/>
        <v>282.13830035999973</v>
      </c>
      <c r="V21" s="66"/>
      <c r="W21" s="66">
        <f t="shared" si="7"/>
        <v>1034.1497261395425</v>
      </c>
      <c r="X21" s="66"/>
      <c r="Y21" s="66">
        <f t="shared" si="9"/>
        <v>3790.5724061918772</v>
      </c>
      <c r="Z21" s="66"/>
    </row>
    <row r="22" spans="1:26">
      <c r="A22" s="2"/>
      <c r="B22" s="7">
        <v>7</v>
      </c>
      <c r="C22" s="4" t="str">
        <f t="shared" si="0"/>
        <v>[26.63   ;    28.27[</v>
      </c>
      <c r="D22" s="91">
        <f t="shared" si="1"/>
        <v>26.63</v>
      </c>
      <c r="E22" s="91"/>
      <c r="F22" s="91">
        <f t="shared" si="2"/>
        <v>28.269999999999996</v>
      </c>
      <c r="G22" s="91"/>
      <c r="H22" s="92">
        <f t="shared" si="3"/>
        <v>27.449999999999996</v>
      </c>
      <c r="I22" s="92"/>
      <c r="J22" s="92">
        <f>COUNTIFS(Dados!$D$3:$D$202,"&gt;="&amp;D22,Dados!$D$3:$D$202,"&lt;"&amp;F22)</f>
        <v>6</v>
      </c>
      <c r="K22" s="92"/>
      <c r="L22" s="65">
        <f t="shared" si="4"/>
        <v>0.03</v>
      </c>
      <c r="M22" s="65"/>
      <c r="N22" s="66">
        <f t="shared" si="8"/>
        <v>199</v>
      </c>
      <c r="O22" s="66"/>
      <c r="P22" s="67">
        <f t="shared" si="10"/>
        <v>0.99500000000000011</v>
      </c>
      <c r="Q22" s="67"/>
      <c r="R22" s="67"/>
      <c r="S22" s="66">
        <f t="shared" si="5"/>
        <v>164.7</v>
      </c>
      <c r="T22" s="66"/>
      <c r="U22" s="66">
        <f t="shared" si="6"/>
        <v>168.8836149599997</v>
      </c>
      <c r="V22" s="66"/>
      <c r="W22" s="66">
        <f t="shared" si="7"/>
        <v>895.9951308087816</v>
      </c>
      <c r="X22" s="66"/>
      <c r="Y22" s="66">
        <f t="shared" si="9"/>
        <v>4753.6125669929061</v>
      </c>
      <c r="Z22" s="66"/>
    </row>
    <row r="23" spans="1:26">
      <c r="A23" s="2"/>
      <c r="B23" s="7">
        <v>8</v>
      </c>
      <c r="C23" s="4" t="str">
        <f>"["&amp;$D$7+B22 * $H$8&amp;"   ;    "&amp;$D$7+B23 * $H$8 &amp;"["</f>
        <v>[28.27   ;    29.91[</v>
      </c>
      <c r="D23" s="91">
        <f t="shared" si="1"/>
        <v>28.269999999999996</v>
      </c>
      <c r="E23" s="91"/>
      <c r="F23" s="91">
        <f t="shared" si="2"/>
        <v>29.909999999999997</v>
      </c>
      <c r="G23" s="91"/>
      <c r="H23" s="92">
        <f t="shared" si="3"/>
        <v>29.089999999999996</v>
      </c>
      <c r="I23" s="92"/>
      <c r="J23" s="92">
        <f>COUNTIFS(Dados!$D$3:$D$202,"&gt;="&amp;D23,Dados!$D$3:$D$202,"&lt;"&amp;F23)</f>
        <v>1</v>
      </c>
      <c r="K23" s="92"/>
      <c r="L23" s="65">
        <f t="shared" si="4"/>
        <v>5.0000000000000001E-3</v>
      </c>
      <c r="M23" s="65"/>
      <c r="N23" s="66">
        <f t="shared" si="8"/>
        <v>200</v>
      </c>
      <c r="O23" s="66"/>
      <c r="P23" s="67">
        <f t="shared" si="10"/>
        <v>1</v>
      </c>
      <c r="Q23" s="67"/>
      <c r="R23" s="67"/>
      <c r="S23" s="66">
        <f t="shared" si="5"/>
        <v>29.089999999999996</v>
      </c>
      <c r="T23" s="66"/>
      <c r="U23" s="66">
        <f t="shared" si="6"/>
        <v>48.238581159999939</v>
      </c>
      <c r="V23" s="66"/>
      <c r="W23" s="66">
        <f t="shared" si="7"/>
        <v>335.03624158866336</v>
      </c>
      <c r="X23" s="66"/>
      <c r="Y23" s="66">
        <f t="shared" si="9"/>
        <v>2326.9607123299011</v>
      </c>
      <c r="Z23" s="66"/>
    </row>
    <row r="24" spans="1:26">
      <c r="A24" s="2"/>
      <c r="B24" s="2"/>
      <c r="C24" s="2"/>
      <c r="D24" s="2"/>
      <c r="E24" s="2"/>
      <c r="F24" s="2"/>
      <c r="G24" s="2"/>
      <c r="H24" s="2"/>
      <c r="I24" s="2"/>
      <c r="J24" s="2"/>
    </row>
    <row r="25" spans="1:26">
      <c r="A25" s="2"/>
      <c r="B25" s="2"/>
      <c r="C25" s="2"/>
      <c r="H25" s="2"/>
      <c r="I25" s="10" t="s">
        <v>22</v>
      </c>
      <c r="J25" s="91">
        <f>SUM(J16:K23)</f>
        <v>200</v>
      </c>
      <c r="K25" s="91"/>
      <c r="L25" s="83">
        <f>SUM(L16:M23)</f>
        <v>1</v>
      </c>
      <c r="M25" s="66"/>
      <c r="N25" s="84" t="s">
        <v>23</v>
      </c>
      <c r="O25" s="66"/>
      <c r="P25" s="84" t="s">
        <v>23</v>
      </c>
      <c r="Q25" s="66"/>
      <c r="R25" s="66"/>
      <c r="S25" s="66">
        <f>SUM(S16:T23)</f>
        <v>4428.92</v>
      </c>
      <c r="T25" s="66"/>
      <c r="U25" s="66">
        <f>SUM(U16:V23)</f>
        <v>1194.0613679999992</v>
      </c>
      <c r="V25" s="66"/>
      <c r="W25" s="66">
        <f>SUM(W16:X23)</f>
        <v>734.79203365439344</v>
      </c>
      <c r="X25" s="66"/>
      <c r="Y25" s="66">
        <f>SUM(Y16:Z23)</f>
        <v>18026.090011099899</v>
      </c>
      <c r="Z25" s="66"/>
    </row>
    <row r="26" spans="1:26">
      <c r="A26" s="2"/>
      <c r="B26" s="2"/>
      <c r="C26" s="2"/>
      <c r="D26" s="2"/>
      <c r="E26" s="2"/>
      <c r="F26" s="2"/>
      <c r="G26" s="2"/>
      <c r="H26" s="2"/>
      <c r="I26" s="2"/>
      <c r="J26" s="2"/>
    </row>
    <row r="32" spans="1:26">
      <c r="A32" t="s">
        <v>24</v>
      </c>
    </row>
    <row r="48" spans="1:1">
      <c r="A48" t="s">
        <v>26</v>
      </c>
    </row>
    <row r="49" spans="2:8">
      <c r="B49" s="82" t="s">
        <v>95</v>
      </c>
      <c r="C49" s="82"/>
      <c r="D49" s="82"/>
    </row>
    <row r="51" spans="2:8">
      <c r="B51" s="11" t="s">
        <v>96</v>
      </c>
      <c r="C51" s="12">
        <f>S25/J25</f>
        <v>22.144600000000001</v>
      </c>
      <c r="E51" t="s">
        <v>97</v>
      </c>
    </row>
    <row r="52" spans="2:8">
      <c r="B52" s="17"/>
      <c r="C52" s="17"/>
    </row>
    <row r="53" spans="2:8">
      <c r="B53" s="11" t="s">
        <v>30</v>
      </c>
      <c r="C53" s="12">
        <f>ROUND(F56+(F60-F57)*F59/F58,4)</f>
        <v>21.989100000000001</v>
      </c>
      <c r="E53" t="s">
        <v>98</v>
      </c>
    </row>
    <row r="56" spans="2:8">
      <c r="B56" s="75" t="s">
        <v>99</v>
      </c>
      <c r="C56" s="75"/>
      <c r="D56" s="75"/>
      <c r="E56" s="75"/>
      <c r="F56" s="9" cm="1">
        <f t="array" ref="F56">INDEX(D16:E23,F62,1)</f>
        <v>21.71</v>
      </c>
      <c r="H56" t="s">
        <v>100</v>
      </c>
    </row>
    <row r="57" spans="2:8">
      <c r="B57" s="75" t="s">
        <v>101</v>
      </c>
      <c r="C57" s="75"/>
      <c r="D57" s="75"/>
      <c r="E57" s="75"/>
      <c r="F57" s="9" cm="1">
        <f t="array" ref="F57">IF(F60=P16, 0,INDEX(P16:R23,-1 + F62,1))</f>
        <v>0.46</v>
      </c>
      <c r="H57" t="s">
        <v>102</v>
      </c>
    </row>
    <row r="58" spans="2:8">
      <c r="B58" s="75" t="s">
        <v>103</v>
      </c>
      <c r="C58" s="75"/>
      <c r="D58" s="75"/>
      <c r="E58" s="75"/>
      <c r="F58" s="9" cm="1">
        <f t="array" ref="F58">INDEX(L16:M23,F62,1)</f>
        <v>0.23499999999999999</v>
      </c>
      <c r="H58" t="s">
        <v>104</v>
      </c>
    </row>
    <row r="59" spans="2:8">
      <c r="B59" s="75" t="s">
        <v>105</v>
      </c>
      <c r="C59" s="75"/>
      <c r="D59" s="75"/>
      <c r="E59" s="75"/>
      <c r="F59" s="16">
        <f>H8</f>
        <v>1.64</v>
      </c>
      <c r="H59" t="s">
        <v>106</v>
      </c>
    </row>
    <row r="60" spans="2:8">
      <c r="B60" s="75" t="s">
        <v>107</v>
      </c>
      <c r="C60" s="75"/>
      <c r="D60" s="75"/>
      <c r="E60" s="75"/>
      <c r="F60" s="9">
        <v>0.5</v>
      </c>
    </row>
    <row r="62" spans="2:8">
      <c r="B62" s="75" t="s">
        <v>108</v>
      </c>
      <c r="C62" s="75"/>
      <c r="D62" s="75"/>
      <c r="E62" s="75"/>
      <c r="F62" s="9">
        <v>4</v>
      </c>
    </row>
    <row r="64" spans="2:8">
      <c r="B64" t="s">
        <v>109</v>
      </c>
    </row>
    <row r="65" spans="1:8">
      <c r="A65" t="s">
        <v>37</v>
      </c>
    </row>
    <row r="67" spans="1:8">
      <c r="B67" s="82" t="s">
        <v>110</v>
      </c>
      <c r="C67" s="82"/>
    </row>
    <row r="68" spans="1:8">
      <c r="B68" s="82" t="s">
        <v>111</v>
      </c>
      <c r="C68" s="82"/>
    </row>
    <row r="71" spans="1:8" ht="15.75" customHeight="1">
      <c r="B71" s="75" t="s">
        <v>99</v>
      </c>
      <c r="C71" s="75"/>
      <c r="D71" s="75"/>
      <c r="E71" s="75"/>
      <c r="F71" s="9" cm="1">
        <f t="array" ref="F71">INDEX(D16:E23,F77,1)</f>
        <v>18.43</v>
      </c>
      <c r="H71" t="s">
        <v>112</v>
      </c>
    </row>
    <row r="72" spans="1:8" ht="15.75" customHeight="1">
      <c r="B72" s="75" t="s">
        <v>101</v>
      </c>
      <c r="C72" s="75"/>
      <c r="D72" s="75"/>
      <c r="E72" s="75"/>
      <c r="F72" s="9" cm="1">
        <f t="array" ref="F72">IF(F75=P16, 0,INDEX(P16:R23,-1 + F77,1))</f>
        <v>0.05</v>
      </c>
      <c r="H72" t="s">
        <v>113</v>
      </c>
    </row>
    <row r="73" spans="1:8" ht="15.75" customHeight="1">
      <c r="B73" s="75" t="s">
        <v>103</v>
      </c>
      <c r="C73" s="75"/>
      <c r="D73" s="75"/>
      <c r="E73" s="75"/>
      <c r="F73" s="9" cm="1">
        <f t="array" ref="F73">INDEX(L16:M23,F77,1)</f>
        <v>0.16</v>
      </c>
      <c r="H73" t="s">
        <v>114</v>
      </c>
    </row>
    <row r="74" spans="1:8" ht="15.75" customHeight="1">
      <c r="B74" s="75" t="s">
        <v>105</v>
      </c>
      <c r="C74" s="75"/>
      <c r="D74" s="75"/>
      <c r="E74" s="75"/>
      <c r="F74" s="16">
        <f>$H$8</f>
        <v>1.64</v>
      </c>
      <c r="H74" s="1" t="s">
        <v>115</v>
      </c>
    </row>
    <row r="75" spans="1:8" ht="15.75" customHeight="1">
      <c r="B75" s="75" t="s">
        <v>107</v>
      </c>
      <c r="C75" s="75"/>
      <c r="D75" s="75"/>
      <c r="E75" s="75"/>
      <c r="F75" s="9">
        <v>0.2</v>
      </c>
    </row>
    <row r="77" spans="1:8" ht="15.75" customHeight="1">
      <c r="B77" s="75" t="s">
        <v>108</v>
      </c>
      <c r="C77" s="75"/>
      <c r="D77" s="75"/>
      <c r="E77" s="75"/>
      <c r="F77" s="9">
        <v>2</v>
      </c>
    </row>
    <row r="80" spans="1:8">
      <c r="B80" s="11" t="s">
        <v>116</v>
      </c>
      <c r="C80" s="12">
        <f>F71+(F75-F72)*F74/F73</f>
        <v>19.967500000000001</v>
      </c>
      <c r="E80" t="s">
        <v>117</v>
      </c>
    </row>
    <row r="82" spans="1:8" ht="15.75" customHeight="1">
      <c r="B82" s="75" t="s">
        <v>99</v>
      </c>
      <c r="C82" s="75"/>
      <c r="D82" s="75"/>
      <c r="E82" s="75"/>
      <c r="F82" s="9" cm="1">
        <f t="array" ref="F82">INDEX(D16:E23,F88,1)</f>
        <v>20.07</v>
      </c>
      <c r="H82" t="s">
        <v>118</v>
      </c>
    </row>
    <row r="83" spans="1:8" ht="15.75" customHeight="1">
      <c r="B83" s="75" t="s">
        <v>101</v>
      </c>
      <c r="C83" s="75"/>
      <c r="D83" s="75"/>
      <c r="E83" s="75"/>
      <c r="F83" s="9" cm="1">
        <f t="array" ref="F83">IF(F86=P16, 0,INDEX(P16:R23,-1 + F88,1))</f>
        <v>0.21000000000000002</v>
      </c>
      <c r="H83" t="s">
        <v>119</v>
      </c>
    </row>
    <row r="84" spans="1:8" ht="15.75" customHeight="1">
      <c r="B84" s="75" t="s">
        <v>103</v>
      </c>
      <c r="C84" s="75"/>
      <c r="D84" s="75"/>
      <c r="E84" s="75"/>
      <c r="F84" s="9" cm="1">
        <f t="array" ref="F84">INDEX(L16:M23,F88,1)</f>
        <v>0.25</v>
      </c>
      <c r="H84" t="s">
        <v>120</v>
      </c>
    </row>
    <row r="85" spans="1:8" ht="15.75" customHeight="1">
      <c r="B85" s="75" t="s">
        <v>105</v>
      </c>
      <c r="C85" s="75"/>
      <c r="D85" s="75"/>
      <c r="E85" s="75"/>
      <c r="F85" s="16">
        <f>$H$8</f>
        <v>1.64</v>
      </c>
      <c r="H85" s="1" t="s">
        <v>115</v>
      </c>
    </row>
    <row r="86" spans="1:8" ht="15.75" customHeight="1">
      <c r="B86" s="75" t="s">
        <v>107</v>
      </c>
      <c r="C86" s="75"/>
      <c r="D86" s="75"/>
      <c r="E86" s="75"/>
      <c r="F86" s="9">
        <v>0.45</v>
      </c>
    </row>
    <row r="88" spans="1:8" ht="15.75" customHeight="1">
      <c r="B88" s="75" t="s">
        <v>108</v>
      </c>
      <c r="C88" s="75"/>
      <c r="D88" s="75"/>
      <c r="E88" s="75"/>
      <c r="F88" s="9">
        <v>3</v>
      </c>
    </row>
    <row r="91" spans="1:8">
      <c r="B91" s="11" t="s">
        <v>121</v>
      </c>
      <c r="C91" s="12">
        <f>F82+(F86-F83)*F85/F84</f>
        <v>21.644400000000001</v>
      </c>
      <c r="E91" t="s">
        <v>122</v>
      </c>
    </row>
    <row r="93" spans="1:8">
      <c r="C93" s="11" t="s">
        <v>123</v>
      </c>
      <c r="D93" s="26">
        <f>ROUND(C80/100,4)</f>
        <v>0.19969999999999999</v>
      </c>
      <c r="F93" t="s">
        <v>124</v>
      </c>
    </row>
    <row r="94" spans="1:8">
      <c r="C94" s="11" t="s">
        <v>125</v>
      </c>
      <c r="D94" s="26">
        <f>ROUND(C91/100,4)</f>
        <v>0.21640000000000001</v>
      </c>
      <c r="F94" t="s">
        <v>126</v>
      </c>
    </row>
    <row r="96" spans="1:8">
      <c r="A96" t="s">
        <v>52</v>
      </c>
      <c r="B96" s="82" t="s">
        <v>127</v>
      </c>
      <c r="C96" s="82"/>
      <c r="D96" s="82"/>
      <c r="E96" s="15"/>
      <c r="F96" s="15"/>
    </row>
    <row r="98" spans="1:10">
      <c r="B98" s="60" t="s">
        <v>128</v>
      </c>
      <c r="C98" s="61"/>
      <c r="D98" s="9">
        <f>ROUND(U25/($J$25-1),4)</f>
        <v>6.0003000000000002</v>
      </c>
      <c r="F98" t="s">
        <v>129</v>
      </c>
    </row>
    <row r="99" spans="1:10">
      <c r="B99" s="60" t="s">
        <v>130</v>
      </c>
      <c r="C99" s="61"/>
      <c r="D99" s="9">
        <f>ROUND(SQRT(D98),4)</f>
        <v>2.4496000000000002</v>
      </c>
      <c r="F99" t="s">
        <v>131</v>
      </c>
    </row>
    <row r="100" spans="1:10">
      <c r="B100" s="89" t="s">
        <v>132</v>
      </c>
      <c r="C100" s="90"/>
      <c r="D100" s="9">
        <f>ROUND(D99/C51,4)</f>
        <v>0.1106</v>
      </c>
      <c r="F100" t="s">
        <v>133</v>
      </c>
    </row>
    <row r="102" spans="1:10">
      <c r="A102" t="s">
        <v>60</v>
      </c>
    </row>
    <row r="103" spans="1:10">
      <c r="B103" s="75" t="s">
        <v>134</v>
      </c>
      <c r="C103" s="75"/>
      <c r="D103" s="9">
        <f>ROUND((W25/J25)/(D99^3),4)</f>
        <v>0.24990000000000001</v>
      </c>
      <c r="E103" s="88" t="str" cm="1">
        <f t="array" ref="E103">_xlfn.IFS(D103&gt;0,"Distribuição assimétrica positiva, enviesada à direita",D103&lt;0,"Distribuição assimétrica negativa, enviesada à esquerda",D103=0,"Distribuição simétrica")</f>
        <v>Distribuição assimétrica positiva, enviesada à direita</v>
      </c>
      <c r="F103" s="82"/>
      <c r="G103" s="82"/>
      <c r="H103" s="82"/>
      <c r="I103" s="82"/>
      <c r="J103" s="82"/>
    </row>
    <row r="104" spans="1:10">
      <c r="B104" s="75" t="s">
        <v>135</v>
      </c>
      <c r="C104" s="75"/>
      <c r="D104" s="9">
        <f>(Y25/J25)/(D99^4)</f>
        <v>2.5031728877426982</v>
      </c>
      <c r="E104" s="88" t="str" cm="1">
        <f t="array" ref="E104">_xlfn.IFS(D104 &gt; 3,"Distribuição leptocúrtica",D104&lt;3,"Distribuição platicúrtica",D104=3,"Distribuição mesocúrtica")</f>
        <v>Distribuição platicúrtica</v>
      </c>
      <c r="F104" s="82"/>
      <c r="G104" s="82"/>
      <c r="H104" s="82"/>
      <c r="I104" s="82"/>
      <c r="J104" s="82"/>
    </row>
    <row r="108" spans="1:10">
      <c r="A108" s="2"/>
      <c r="B108" s="2"/>
      <c r="C108" s="2"/>
      <c r="D108" s="2"/>
      <c r="E108" s="2"/>
      <c r="F108" s="2"/>
      <c r="G108" s="2"/>
      <c r="H108" s="2"/>
      <c r="I108" s="2"/>
      <c r="J108" s="2"/>
    </row>
    <row r="109" spans="1:10">
      <c r="A109" s="2"/>
      <c r="B109" s="2"/>
      <c r="C109" s="2"/>
      <c r="D109" s="2"/>
      <c r="E109" s="2"/>
      <c r="F109" s="2"/>
      <c r="G109" s="2"/>
      <c r="H109" s="2"/>
      <c r="I109" s="2"/>
      <c r="J109" s="2"/>
    </row>
    <row r="110" spans="1:10">
      <c r="A110" s="2"/>
      <c r="B110" s="2"/>
      <c r="C110" s="2"/>
      <c r="D110" s="2"/>
      <c r="E110" s="2"/>
      <c r="F110" s="2"/>
      <c r="G110" s="2"/>
      <c r="H110" s="2"/>
      <c r="I110" s="2"/>
      <c r="J110" s="2"/>
    </row>
    <row r="111" spans="1:10">
      <c r="A111" s="2"/>
      <c r="B111" s="2"/>
      <c r="C111" s="2"/>
      <c r="D111" s="2"/>
      <c r="E111" s="2"/>
      <c r="F111" s="2"/>
      <c r="G111" s="2"/>
      <c r="H111" s="2"/>
      <c r="I111" s="2"/>
      <c r="J111" s="2"/>
    </row>
    <row r="112" spans="1:10" ht="26.1">
      <c r="A112" s="3" t="s">
        <v>9</v>
      </c>
      <c r="B112" s="2"/>
      <c r="C112" s="2"/>
      <c r="D112" s="2"/>
      <c r="E112" s="2"/>
      <c r="F112" s="2"/>
      <c r="G112" s="2"/>
      <c r="H112" s="2"/>
      <c r="I112" s="2"/>
      <c r="J112" s="2"/>
    </row>
    <row r="113" spans="1:26" ht="15.75" customHeight="1">
      <c r="A113" s="2"/>
      <c r="B113" s="98" t="s">
        <v>77</v>
      </c>
      <c r="C113" s="99"/>
      <c r="D113" s="5">
        <f>MAX(Dados!E3:E202)</f>
        <v>29.95</v>
      </c>
      <c r="E113" s="2"/>
      <c r="F113" s="100" t="s">
        <v>78</v>
      </c>
      <c r="G113" s="100"/>
      <c r="H113" s="13">
        <f>INT(LOG(COUNT(Dados!E3:E202),2))+1</f>
        <v>8</v>
      </c>
      <c r="J113" s="102" t="s">
        <v>79</v>
      </c>
      <c r="K113" s="102"/>
      <c r="L113" s="102"/>
      <c r="M113" s="102"/>
    </row>
    <row r="114" spans="1:26">
      <c r="A114" s="2"/>
      <c r="B114" s="98" t="s">
        <v>80</v>
      </c>
      <c r="C114" s="99"/>
      <c r="D114" s="6">
        <f>MIN(Dados!E3:E202)</f>
        <v>20.04</v>
      </c>
      <c r="E114" s="2"/>
      <c r="F114" s="100" t="s">
        <v>81</v>
      </c>
      <c r="G114" s="100"/>
      <c r="H114" s="14">
        <v>200</v>
      </c>
      <c r="J114" s="102"/>
      <c r="K114" s="102"/>
      <c r="L114" s="102"/>
      <c r="M114" s="102"/>
    </row>
    <row r="115" spans="1:26">
      <c r="A115" s="2"/>
      <c r="B115" s="98" t="s">
        <v>82</v>
      </c>
      <c r="C115" s="99"/>
      <c r="D115" s="6">
        <f>D113-D114</f>
        <v>9.91</v>
      </c>
      <c r="E115" s="2"/>
      <c r="F115" s="100" t="s">
        <v>83</v>
      </c>
      <c r="G115" s="100"/>
      <c r="H115" s="13">
        <f>ROUND((D113-D114)/H113,2)</f>
        <v>1.24</v>
      </c>
    </row>
    <row r="116" spans="1:26">
      <c r="A116" s="2"/>
      <c r="B116" s="2"/>
      <c r="C116" s="2"/>
      <c r="D116" s="2"/>
      <c r="E116" s="2"/>
      <c r="F116" s="2"/>
      <c r="G116" s="2"/>
      <c r="H116" s="2"/>
      <c r="I116" s="2"/>
      <c r="J116" s="2"/>
    </row>
    <row r="117" spans="1:26" ht="15.95" thickBot="1">
      <c r="A117" s="2"/>
      <c r="B117" s="2"/>
      <c r="C117" s="2"/>
      <c r="D117" s="2"/>
      <c r="E117" s="2"/>
      <c r="F117" s="2"/>
      <c r="G117" s="2"/>
      <c r="H117" s="2"/>
      <c r="I117" s="2"/>
      <c r="J117" s="2"/>
    </row>
    <row r="118" spans="1:26">
      <c r="A118" s="2" t="s">
        <v>11</v>
      </c>
      <c r="B118" s="69" t="s">
        <v>13</v>
      </c>
      <c r="C118" s="70"/>
      <c r="D118" s="70"/>
      <c r="E118" s="70"/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1"/>
    </row>
    <row r="119" spans="1:26" ht="15.95" thickBot="1">
      <c r="A119" s="2"/>
      <c r="B119" s="72"/>
      <c r="C119" s="73"/>
      <c r="D119" s="73"/>
      <c r="E119" s="73"/>
      <c r="F119" s="73"/>
      <c r="G119" s="73"/>
      <c r="H119" s="73"/>
      <c r="I119" s="73"/>
      <c r="J119" s="73"/>
      <c r="K119" s="73"/>
      <c r="L119" s="73"/>
      <c r="M119" s="73"/>
      <c r="N119" s="73"/>
      <c r="O119" s="73"/>
      <c r="P119" s="73"/>
      <c r="Q119" s="73"/>
      <c r="R119" s="74"/>
    </row>
    <row r="120" spans="1:26">
      <c r="A120" s="2"/>
      <c r="D120" s="2"/>
      <c r="E120" s="2"/>
      <c r="F120" s="2"/>
      <c r="G120" s="2"/>
      <c r="H120" s="2"/>
      <c r="I120" s="2"/>
      <c r="J120" s="2"/>
    </row>
    <row r="121" spans="1:26">
      <c r="A121" s="2"/>
      <c r="B121" s="2"/>
      <c r="C121" s="8" t="s">
        <v>84</v>
      </c>
      <c r="D121" s="2"/>
      <c r="E121" s="2"/>
      <c r="F121" s="2"/>
      <c r="G121" s="2"/>
      <c r="H121" s="100" t="s">
        <v>85</v>
      </c>
      <c r="I121" s="100"/>
      <c r="J121" s="100" t="s">
        <v>14</v>
      </c>
      <c r="K121" s="100"/>
      <c r="L121" s="75" t="s">
        <v>15</v>
      </c>
      <c r="M121" s="75"/>
      <c r="N121" s="75" t="s">
        <v>16</v>
      </c>
      <c r="O121" s="75"/>
      <c r="P121" s="75" t="s">
        <v>17</v>
      </c>
      <c r="Q121" s="75"/>
      <c r="R121" s="75"/>
      <c r="S121" s="101" t="s">
        <v>86</v>
      </c>
      <c r="T121" s="101"/>
      <c r="U121" s="101"/>
      <c r="V121" s="101"/>
      <c r="W121" s="101"/>
      <c r="X121" s="101"/>
      <c r="Y121" s="101"/>
      <c r="Z121" s="101"/>
    </row>
    <row r="122" spans="1:26">
      <c r="A122" s="2"/>
      <c r="B122" s="7"/>
      <c r="C122" s="7" t="s">
        <v>87</v>
      </c>
      <c r="D122" s="93" t="s">
        <v>88</v>
      </c>
      <c r="E122" s="93"/>
      <c r="F122" s="93" t="s">
        <v>89</v>
      </c>
      <c r="G122" s="93"/>
      <c r="H122" s="94" t="s">
        <v>90</v>
      </c>
      <c r="I122" s="95"/>
      <c r="J122" s="96" t="s">
        <v>18</v>
      </c>
      <c r="K122" s="96"/>
      <c r="L122" s="68" t="s">
        <v>19</v>
      </c>
      <c r="M122" s="68"/>
      <c r="N122" s="68" t="s">
        <v>20</v>
      </c>
      <c r="O122" s="68"/>
      <c r="P122" s="68" t="s">
        <v>21</v>
      </c>
      <c r="Q122" s="68"/>
      <c r="R122" s="68"/>
      <c r="S122" s="97" t="s">
        <v>91</v>
      </c>
      <c r="T122" s="97"/>
      <c r="U122" s="97" t="s">
        <v>92</v>
      </c>
      <c r="V122" s="97"/>
      <c r="W122" s="68" t="s">
        <v>93</v>
      </c>
      <c r="X122" s="68"/>
      <c r="Y122" s="68" t="s">
        <v>94</v>
      </c>
      <c r="Z122" s="68"/>
    </row>
    <row r="123" spans="1:26">
      <c r="A123" s="2"/>
      <c r="B123" s="7">
        <v>1</v>
      </c>
      <c r="C123" s="4" t="str">
        <f t="shared" ref="C123:C130" si="11">"["&amp;$D$114+B122 * $H$115&amp;"   ;    "&amp;$D$114+B123 * $H$115&amp;"["</f>
        <v>[20.04   ;    21.28[</v>
      </c>
      <c r="D123" s="91">
        <f t="shared" ref="D123:D130" si="12">$D$114 + $H$115* B122</f>
        <v>20.04</v>
      </c>
      <c r="E123" s="91"/>
      <c r="F123" s="91">
        <f t="shared" ref="F123:F130" si="13" xml:space="preserve"> $D$114 + $H$115 * B123</f>
        <v>21.279999999999998</v>
      </c>
      <c r="G123" s="91"/>
      <c r="H123" s="92">
        <f t="shared" ref="H123:H130" si="14">(D123+F123)/2</f>
        <v>20.659999999999997</v>
      </c>
      <c r="I123" s="92"/>
      <c r="J123" s="92">
        <f>COUNTIFS(Dados!$E$3:$E$202,"&gt;="&amp;D123,Dados!$E$3:$E$202,"&lt;"&amp;F123)</f>
        <v>20</v>
      </c>
      <c r="K123" s="92"/>
      <c r="L123" s="65">
        <f t="shared" ref="L123:L130" si="15">J123/$J$132</f>
        <v>0.1</v>
      </c>
      <c r="M123" s="65"/>
      <c r="N123" s="66">
        <f>J123</f>
        <v>20</v>
      </c>
      <c r="O123" s="66"/>
      <c r="P123" s="67">
        <f>L123</f>
        <v>0.1</v>
      </c>
      <c r="Q123" s="67"/>
      <c r="R123" s="67"/>
      <c r="S123" s="66">
        <f t="shared" ref="S123:S130" si="16">H123*J123</f>
        <v>413.19999999999993</v>
      </c>
      <c r="T123" s="66"/>
      <c r="U123" s="66">
        <f t="shared" ref="U123:U130" si="17">((H123-$C$158)^2) * J123</f>
        <v>423.27360319999946</v>
      </c>
      <c r="V123" s="66"/>
      <c r="W123" s="66">
        <f t="shared" ref="W123:W130" si="18">((H123-$C$158)^3)*J123</f>
        <v>-1947.2278841612763</v>
      </c>
      <c r="X123" s="66"/>
      <c r="Y123" s="66">
        <f t="shared" ref="Y123:Y130" si="19">((H123-$C$158)^4)*J123</f>
        <v>8958.0271582955302</v>
      </c>
      <c r="Z123" s="66"/>
    </row>
    <row r="124" spans="1:26">
      <c r="A124" s="2"/>
      <c r="B124" s="7">
        <v>2</v>
      </c>
      <c r="C124" s="4" t="str">
        <f t="shared" si="11"/>
        <v>[21.28   ;    22.52[</v>
      </c>
      <c r="D124" s="91">
        <f t="shared" si="12"/>
        <v>21.279999999999998</v>
      </c>
      <c r="E124" s="91"/>
      <c r="F124" s="91">
        <f t="shared" si="13"/>
        <v>22.52</v>
      </c>
      <c r="G124" s="91"/>
      <c r="H124" s="92">
        <f t="shared" si="14"/>
        <v>21.9</v>
      </c>
      <c r="I124" s="92"/>
      <c r="J124" s="92">
        <f>COUNTIFS(Dados!$E$3:$E$202,"&gt;="&amp;D124,Dados!$E$3:$E$202,"&lt;"&amp;F124)</f>
        <v>22</v>
      </c>
      <c r="K124" s="92"/>
      <c r="L124" s="65">
        <f t="shared" si="15"/>
        <v>0.11</v>
      </c>
      <c r="M124" s="65"/>
      <c r="N124" s="66">
        <f t="shared" ref="N124:N130" si="20">N123+J124</f>
        <v>42</v>
      </c>
      <c r="O124" s="66"/>
      <c r="P124" s="67">
        <f t="shared" ref="P124:P130" si="21">P123+L124</f>
        <v>0.21000000000000002</v>
      </c>
      <c r="Q124" s="67"/>
      <c r="R124" s="67"/>
      <c r="S124" s="66">
        <f t="shared" si="16"/>
        <v>481.79999999999995</v>
      </c>
      <c r="T124" s="66"/>
      <c r="U124" s="66">
        <f t="shared" si="17"/>
        <v>248.43033951999925</v>
      </c>
      <c r="V124" s="66"/>
      <c r="W124" s="66">
        <f t="shared" si="18"/>
        <v>-834.82531292300428</v>
      </c>
      <c r="X124" s="66"/>
      <c r="Y124" s="66">
        <f t="shared" si="19"/>
        <v>2805.3469815464596</v>
      </c>
      <c r="Z124" s="66"/>
    </row>
    <row r="125" spans="1:26">
      <c r="A125" s="2"/>
      <c r="B125" s="7">
        <v>3</v>
      </c>
      <c r="C125" s="4" t="str">
        <f t="shared" si="11"/>
        <v>[22.52   ;    23.76[</v>
      </c>
      <c r="D125" s="91">
        <f t="shared" si="12"/>
        <v>22.52</v>
      </c>
      <c r="E125" s="91"/>
      <c r="F125" s="91">
        <f t="shared" si="13"/>
        <v>23.759999999999998</v>
      </c>
      <c r="G125" s="91"/>
      <c r="H125" s="92">
        <f t="shared" si="14"/>
        <v>23.14</v>
      </c>
      <c r="I125" s="92"/>
      <c r="J125" s="92">
        <f>COUNTIFS(Dados!$E$3:$E$202,"&gt;="&amp;D125,Dados!$E$3:$E$202,"&lt;"&amp;F125)</f>
        <v>23</v>
      </c>
      <c r="K125" s="92"/>
      <c r="L125" s="65">
        <f t="shared" si="15"/>
        <v>0.115</v>
      </c>
      <c r="M125" s="65"/>
      <c r="N125" s="66">
        <f t="shared" si="20"/>
        <v>65</v>
      </c>
      <c r="O125" s="66"/>
      <c r="P125" s="67">
        <f t="shared" si="21"/>
        <v>0.32500000000000001</v>
      </c>
      <c r="Q125" s="67"/>
      <c r="R125" s="67"/>
      <c r="S125" s="66">
        <f t="shared" si="16"/>
        <v>532.22</v>
      </c>
      <c r="T125" s="66"/>
      <c r="U125" s="66">
        <f t="shared" si="17"/>
        <v>103.41021167999932</v>
      </c>
      <c r="V125" s="66"/>
      <c r="W125" s="66">
        <f t="shared" si="18"/>
        <v>-219.27101284626983</v>
      </c>
      <c r="X125" s="66"/>
      <c r="Y125" s="66">
        <f t="shared" si="19"/>
        <v>464.94225563922896</v>
      </c>
      <c r="Z125" s="66"/>
    </row>
    <row r="126" spans="1:26">
      <c r="A126" s="2"/>
      <c r="B126" s="7">
        <v>4</v>
      </c>
      <c r="C126" s="4" t="str">
        <f t="shared" si="11"/>
        <v>[23.76   ;    25[</v>
      </c>
      <c r="D126" s="91">
        <f t="shared" si="12"/>
        <v>23.759999999999998</v>
      </c>
      <c r="E126" s="91"/>
      <c r="F126" s="91">
        <f t="shared" si="13"/>
        <v>25</v>
      </c>
      <c r="G126" s="91"/>
      <c r="H126" s="92">
        <f t="shared" si="14"/>
        <v>24.38</v>
      </c>
      <c r="I126" s="92"/>
      <c r="J126" s="92">
        <f>COUNTIFS(Dados!$E$3:$E$202,"&gt;="&amp;D126,Dados!$E$3:$E$202,"&lt;"&amp;F126)</f>
        <v>26</v>
      </c>
      <c r="K126" s="92"/>
      <c r="L126" s="65">
        <f t="shared" si="15"/>
        <v>0.13</v>
      </c>
      <c r="M126" s="65"/>
      <c r="N126" s="66">
        <f t="shared" si="20"/>
        <v>91</v>
      </c>
      <c r="O126" s="66"/>
      <c r="P126" s="67">
        <f t="shared" si="21"/>
        <v>0.45500000000000002</v>
      </c>
      <c r="Q126" s="67"/>
      <c r="R126" s="67"/>
      <c r="S126" s="66">
        <f t="shared" si="16"/>
        <v>633.88</v>
      </c>
      <c r="T126" s="66"/>
      <c r="U126" s="66">
        <f t="shared" si="17"/>
        <v>20.152708159999751</v>
      </c>
      <c r="V126" s="66"/>
      <c r="W126" s="66">
        <f t="shared" si="18"/>
        <v>-17.742444264063668</v>
      </c>
      <c r="X126" s="66"/>
      <c r="Y126" s="66">
        <f t="shared" si="19"/>
        <v>15.620447930081559</v>
      </c>
      <c r="Z126" s="66"/>
    </row>
    <row r="127" spans="1:26">
      <c r="A127" s="2"/>
      <c r="B127" s="7">
        <v>5</v>
      </c>
      <c r="C127" s="4" t="str">
        <f t="shared" si="11"/>
        <v>[25   ;    26.24[</v>
      </c>
      <c r="D127" s="91">
        <f t="shared" si="12"/>
        <v>25</v>
      </c>
      <c r="E127" s="91"/>
      <c r="F127" s="91">
        <f t="shared" si="13"/>
        <v>26.24</v>
      </c>
      <c r="G127" s="91"/>
      <c r="H127" s="92">
        <f t="shared" si="14"/>
        <v>25.619999999999997</v>
      </c>
      <c r="I127" s="92"/>
      <c r="J127" s="92">
        <f>COUNTIFS(Dados!$E$3:$E$202,"&gt;="&amp;D127,Dados!$E$3:$E$202,"&lt;"&amp;F127)</f>
        <v>35</v>
      </c>
      <c r="K127" s="92"/>
      <c r="L127" s="65">
        <f t="shared" si="15"/>
        <v>0.17499999999999999</v>
      </c>
      <c r="M127" s="65"/>
      <c r="N127" s="66">
        <f t="shared" si="20"/>
        <v>126</v>
      </c>
      <c r="O127" s="66"/>
      <c r="P127" s="67">
        <f t="shared" si="21"/>
        <v>0.63</v>
      </c>
      <c r="Q127" s="67"/>
      <c r="R127" s="67"/>
      <c r="S127" s="66">
        <f t="shared" si="16"/>
        <v>896.69999999999993</v>
      </c>
      <c r="T127" s="66"/>
      <c r="U127" s="66">
        <f t="shared" si="17"/>
        <v>4.5259256000000985</v>
      </c>
      <c r="V127" s="66"/>
      <c r="W127" s="66">
        <f t="shared" si="18"/>
        <v>1.6275228457600532</v>
      </c>
      <c r="X127" s="66"/>
      <c r="Y127" s="66">
        <f t="shared" si="19"/>
        <v>0.58525721533532149</v>
      </c>
      <c r="Z127" s="66"/>
    </row>
    <row r="128" spans="1:26">
      <c r="A128" s="2"/>
      <c r="B128" s="7">
        <v>6</v>
      </c>
      <c r="C128" s="4" t="str">
        <f t="shared" si="11"/>
        <v>[26.24   ;    27.48[</v>
      </c>
      <c r="D128" s="91">
        <f t="shared" si="12"/>
        <v>26.24</v>
      </c>
      <c r="E128" s="91"/>
      <c r="F128" s="91">
        <f t="shared" si="13"/>
        <v>27.479999999999997</v>
      </c>
      <c r="G128" s="91"/>
      <c r="H128" s="92">
        <f t="shared" si="14"/>
        <v>26.86</v>
      </c>
      <c r="I128" s="92"/>
      <c r="J128" s="92">
        <f>COUNTIFS(Dados!$E$3:$E$202,"&gt;="&amp;D128,Dados!$E$3:$E$202,"&lt;"&amp;F128)</f>
        <v>17</v>
      </c>
      <c r="K128" s="92"/>
      <c r="L128" s="65">
        <f t="shared" si="15"/>
        <v>8.5000000000000006E-2</v>
      </c>
      <c r="M128" s="65"/>
      <c r="N128" s="66">
        <f t="shared" si="20"/>
        <v>143</v>
      </c>
      <c r="O128" s="66"/>
      <c r="P128" s="67">
        <f t="shared" si="21"/>
        <v>0.71499999999999997</v>
      </c>
      <c r="Q128" s="67"/>
      <c r="R128" s="67"/>
      <c r="S128" s="66">
        <f t="shared" si="16"/>
        <v>456.62</v>
      </c>
      <c r="T128" s="66"/>
      <c r="U128" s="66">
        <f t="shared" si="17"/>
        <v>43.49824272000032</v>
      </c>
      <c r="V128" s="66"/>
      <c r="W128" s="66">
        <f t="shared" si="18"/>
        <v>69.579789054912766</v>
      </c>
      <c r="X128" s="66"/>
      <c r="Y128" s="66">
        <f t="shared" si="19"/>
        <v>111.29983057223886</v>
      </c>
      <c r="Z128" s="66"/>
    </row>
    <row r="129" spans="1:26">
      <c r="A129" s="2"/>
      <c r="B129" s="7">
        <v>7</v>
      </c>
      <c r="C129" s="4" t="str">
        <f t="shared" si="11"/>
        <v>[27.48   ;    28.72[</v>
      </c>
      <c r="D129" s="91">
        <f t="shared" si="12"/>
        <v>27.479999999999997</v>
      </c>
      <c r="E129" s="91"/>
      <c r="F129" s="91">
        <f t="shared" si="13"/>
        <v>28.72</v>
      </c>
      <c r="G129" s="91"/>
      <c r="H129" s="92">
        <f t="shared" si="14"/>
        <v>28.099999999999998</v>
      </c>
      <c r="I129" s="92"/>
      <c r="J129" s="92">
        <f>COUNTIFS(Dados!$E$3:$E$202,"&gt;="&amp;D129,Dados!$E$3:$E$202,"&lt;"&amp;F129)</f>
        <v>28</v>
      </c>
      <c r="K129" s="92"/>
      <c r="L129" s="65">
        <f t="shared" si="15"/>
        <v>0.14000000000000001</v>
      </c>
      <c r="M129" s="65"/>
      <c r="N129" s="66">
        <f t="shared" si="20"/>
        <v>171</v>
      </c>
      <c r="O129" s="66"/>
      <c r="P129" s="67">
        <f t="shared" si="21"/>
        <v>0.85499999999999998</v>
      </c>
      <c r="Q129" s="67"/>
      <c r="R129" s="67"/>
      <c r="S129" s="66">
        <f t="shared" si="16"/>
        <v>786.8</v>
      </c>
      <c r="T129" s="66"/>
      <c r="U129" s="66">
        <f t="shared" si="17"/>
        <v>225.77318848000067</v>
      </c>
      <c r="V129" s="66"/>
      <c r="W129" s="66">
        <f t="shared" si="18"/>
        <v>641.10554600781086</v>
      </c>
      <c r="X129" s="66"/>
      <c r="Y129" s="66">
        <f t="shared" si="19"/>
        <v>1820.4833084437823</v>
      </c>
      <c r="Z129" s="66"/>
    </row>
    <row r="130" spans="1:26">
      <c r="A130" s="2"/>
      <c r="B130" s="7">
        <v>8</v>
      </c>
      <c r="C130" s="4" t="str">
        <f t="shared" si="11"/>
        <v>[28.72   ;    29.96[</v>
      </c>
      <c r="D130" s="91">
        <f t="shared" si="12"/>
        <v>28.72</v>
      </c>
      <c r="E130" s="91"/>
      <c r="F130" s="91">
        <f t="shared" si="13"/>
        <v>29.96</v>
      </c>
      <c r="G130" s="91"/>
      <c r="H130" s="92">
        <f t="shared" si="14"/>
        <v>29.34</v>
      </c>
      <c r="I130" s="92"/>
      <c r="J130" s="92">
        <f>COUNTIFS(Dados!$E$3:$E$202,"&gt;="&amp;D130,Dados!$E$3:$E$202,"&lt;"&amp;F130)</f>
        <v>29</v>
      </c>
      <c r="K130" s="92"/>
      <c r="L130" s="65">
        <f t="shared" si="15"/>
        <v>0.14499999999999999</v>
      </c>
      <c r="M130" s="65"/>
      <c r="N130" s="66">
        <f t="shared" si="20"/>
        <v>200</v>
      </c>
      <c r="O130" s="66"/>
      <c r="P130" s="67">
        <f t="shared" si="21"/>
        <v>1</v>
      </c>
      <c r="Q130" s="67"/>
      <c r="R130" s="67"/>
      <c r="S130" s="66">
        <f t="shared" si="16"/>
        <v>850.86</v>
      </c>
      <c r="T130" s="66"/>
      <c r="U130" s="66">
        <f t="shared" si="17"/>
        <v>482.65094864000145</v>
      </c>
      <c r="V130" s="66"/>
      <c r="W130" s="66">
        <f t="shared" si="18"/>
        <v>1969.0228100717529</v>
      </c>
      <c r="X130" s="66"/>
      <c r="Y130" s="66">
        <f t="shared" si="19"/>
        <v>8032.8254559687366</v>
      </c>
      <c r="Z130" s="66"/>
    </row>
    <row r="131" spans="1:26">
      <c r="A131" s="2"/>
      <c r="B131" s="2"/>
      <c r="C131" s="2"/>
      <c r="D131" s="2"/>
      <c r="E131" s="2"/>
      <c r="F131" s="2"/>
      <c r="G131" s="2"/>
      <c r="H131" s="2"/>
      <c r="I131" s="2"/>
      <c r="J131" s="2"/>
    </row>
    <row r="132" spans="1:26">
      <c r="A132" s="2"/>
      <c r="B132" s="2"/>
      <c r="C132" s="2"/>
      <c r="D132" s="2"/>
      <c r="E132" s="2"/>
      <c r="F132" s="2"/>
      <c r="G132" s="2"/>
      <c r="H132" s="2"/>
      <c r="I132" s="10" t="s">
        <v>22</v>
      </c>
      <c r="J132" s="91">
        <f>SUM(J123:K130)</f>
        <v>200</v>
      </c>
      <c r="K132" s="91"/>
      <c r="L132" s="83">
        <f>SUM(L123:M130)</f>
        <v>1</v>
      </c>
      <c r="M132" s="66"/>
      <c r="N132" s="84" t="s">
        <v>23</v>
      </c>
      <c r="O132" s="66"/>
      <c r="P132" s="84" t="s">
        <v>23</v>
      </c>
      <c r="Q132" s="66"/>
      <c r="R132" s="66"/>
      <c r="S132" s="66">
        <f>SUM(S123:T130)</f>
        <v>5052.079999999999</v>
      </c>
      <c r="T132" s="66"/>
      <c r="U132" s="66">
        <f>SUM(U123:V130)</f>
        <v>1551.7151680000002</v>
      </c>
      <c r="V132" s="66"/>
      <c r="W132" s="66">
        <f>SUM(W123:X130)</f>
        <v>-337.7309862143768</v>
      </c>
      <c r="X132" s="66"/>
      <c r="Y132" s="66">
        <f>SUM(Y123:Z130)</f>
        <v>22209.130695611395</v>
      </c>
      <c r="Z132" s="66"/>
    </row>
    <row r="133" spans="1:26">
      <c r="A133" s="2"/>
      <c r="B133" s="2"/>
      <c r="C133" s="2"/>
      <c r="D133" s="2"/>
      <c r="E133" s="2"/>
      <c r="F133" s="2"/>
      <c r="G133" s="2"/>
      <c r="H133" s="2"/>
      <c r="I133" s="2"/>
      <c r="J133" s="2"/>
    </row>
    <row r="139" spans="1:26">
      <c r="A139" t="s">
        <v>24</v>
      </c>
    </row>
    <row r="142" spans="1:26">
      <c r="N142" s="27"/>
      <c r="P142" s="27"/>
    </row>
    <row r="155" spans="1:5">
      <c r="A155" t="s">
        <v>26</v>
      </c>
    </row>
    <row r="156" spans="1:5">
      <c r="B156" s="82" t="s">
        <v>95</v>
      </c>
      <c r="C156" s="82"/>
      <c r="D156" s="82"/>
    </row>
    <row r="158" spans="1:5">
      <c r="B158" s="11" t="s">
        <v>96</v>
      </c>
      <c r="C158" s="12">
        <f>S132/J132</f>
        <v>25.260399999999994</v>
      </c>
      <c r="E158" t="s">
        <v>136</v>
      </c>
    </row>
    <row r="159" spans="1:5">
      <c r="B159" s="17"/>
      <c r="C159" s="17"/>
    </row>
    <row r="160" spans="1:5">
      <c r="B160" s="11" t="s">
        <v>30</v>
      </c>
      <c r="C160" s="12">
        <f>ROUND(F163+(F167-F164)*F166/F165,4)</f>
        <v>25.429200000000002</v>
      </c>
      <c r="E160" t="s">
        <v>137</v>
      </c>
    </row>
    <row r="163" spans="1:8">
      <c r="B163" s="75" t="s">
        <v>99</v>
      </c>
      <c r="C163" s="75"/>
      <c r="D163" s="75"/>
      <c r="E163" s="75"/>
      <c r="F163" s="9" cm="1">
        <f t="array" ref="F163">INDEX(D123:E130,F169,1)</f>
        <v>23.759999999999998</v>
      </c>
      <c r="H163" t="s">
        <v>138</v>
      </c>
    </row>
    <row r="164" spans="1:8">
      <c r="B164" s="75" t="s">
        <v>101</v>
      </c>
      <c r="C164" s="75"/>
      <c r="D164" s="75"/>
      <c r="E164" s="75"/>
      <c r="F164" s="9" cm="1">
        <f t="array" ref="F164">IF(F167=P123, 0,INDEX(P123:R130,-1 + F169,1))</f>
        <v>0.32500000000000001</v>
      </c>
      <c r="H164" t="s">
        <v>139</v>
      </c>
    </row>
    <row r="165" spans="1:8">
      <c r="B165" s="75" t="s">
        <v>103</v>
      </c>
      <c r="C165" s="75"/>
      <c r="D165" s="75"/>
      <c r="E165" s="75"/>
      <c r="F165" s="9" cm="1">
        <f t="array" ref="F165">INDEX(L123:M130,F169,1)</f>
        <v>0.13</v>
      </c>
      <c r="H165" t="s">
        <v>140</v>
      </c>
    </row>
    <row r="166" spans="1:8">
      <c r="B166" s="75" t="s">
        <v>105</v>
      </c>
      <c r="C166" s="75"/>
      <c r="D166" s="75"/>
      <c r="E166" s="75"/>
      <c r="F166" s="16">
        <f>H115</f>
        <v>1.24</v>
      </c>
      <c r="H166" t="s">
        <v>141</v>
      </c>
    </row>
    <row r="167" spans="1:8">
      <c r="B167" s="75" t="s">
        <v>107</v>
      </c>
      <c r="C167" s="75"/>
      <c r="D167" s="75"/>
      <c r="E167" s="75"/>
      <c r="F167" s="9">
        <v>0.5</v>
      </c>
    </row>
    <row r="169" spans="1:8">
      <c r="B169" s="75" t="s">
        <v>108</v>
      </c>
      <c r="C169" s="75"/>
      <c r="D169" s="75"/>
      <c r="E169" s="75"/>
      <c r="F169" s="9">
        <v>4</v>
      </c>
    </row>
    <row r="171" spans="1:8">
      <c r="B171" t="s">
        <v>109</v>
      </c>
    </row>
    <row r="172" spans="1:8">
      <c r="A172" t="s">
        <v>37</v>
      </c>
    </row>
    <row r="174" spans="1:8">
      <c r="B174" s="82" t="s">
        <v>110</v>
      </c>
      <c r="C174" s="82"/>
    </row>
    <row r="175" spans="1:8">
      <c r="B175" s="82" t="s">
        <v>111</v>
      </c>
      <c r="C175" s="82"/>
    </row>
    <row r="178" spans="2:8">
      <c r="B178" s="75" t="s">
        <v>99</v>
      </c>
      <c r="C178" s="75"/>
      <c r="D178" s="75"/>
      <c r="E178" s="75"/>
      <c r="F178" s="9" cm="1">
        <f t="array" ref="F178">INDEX(D123:E130,F184,1)</f>
        <v>21.279999999999998</v>
      </c>
      <c r="H178" t="s">
        <v>142</v>
      </c>
    </row>
    <row r="179" spans="2:8">
      <c r="B179" s="75" t="s">
        <v>101</v>
      </c>
      <c r="C179" s="75"/>
      <c r="D179" s="75"/>
      <c r="E179" s="75"/>
      <c r="F179" s="9" cm="1">
        <f t="array" ref="F179">IF(F182=P123, 0,INDEX(P123:R130,-1 + F184,1))</f>
        <v>0.1</v>
      </c>
      <c r="H179" t="s">
        <v>143</v>
      </c>
    </row>
    <row r="180" spans="2:8">
      <c r="B180" s="75" t="s">
        <v>103</v>
      </c>
      <c r="C180" s="75"/>
      <c r="D180" s="75"/>
      <c r="E180" s="75"/>
      <c r="F180" s="9" cm="1">
        <f t="array" ref="F180">INDEX(L123:M130,F184,1)</f>
        <v>0.11</v>
      </c>
      <c r="H180" t="s">
        <v>144</v>
      </c>
    </row>
    <row r="181" spans="2:8">
      <c r="B181" s="75" t="s">
        <v>105</v>
      </c>
      <c r="C181" s="75"/>
      <c r="D181" s="75"/>
      <c r="E181" s="75"/>
      <c r="F181" s="16">
        <f>H115</f>
        <v>1.24</v>
      </c>
      <c r="H181" t="s">
        <v>141</v>
      </c>
    </row>
    <row r="182" spans="2:8">
      <c r="B182" s="75" t="s">
        <v>107</v>
      </c>
      <c r="C182" s="75"/>
      <c r="D182" s="75"/>
      <c r="E182" s="75"/>
      <c r="F182" s="9">
        <v>0.2</v>
      </c>
    </row>
    <row r="184" spans="2:8">
      <c r="B184" s="75" t="s">
        <v>108</v>
      </c>
      <c r="C184" s="75"/>
      <c r="D184" s="75"/>
      <c r="E184" s="75"/>
      <c r="F184" s="9">
        <v>2</v>
      </c>
    </row>
    <row r="187" spans="2:8">
      <c r="B187" s="11" t="s">
        <v>116</v>
      </c>
      <c r="C187" s="12">
        <f>ROUND(F178+(F182-F179)*F181/F180,4)</f>
        <v>22.407299999999999</v>
      </c>
      <c r="E187" t="s">
        <v>145</v>
      </c>
    </row>
    <row r="189" spans="2:8">
      <c r="B189" s="75" t="s">
        <v>99</v>
      </c>
      <c r="C189" s="75"/>
      <c r="D189" s="75"/>
      <c r="E189" s="75"/>
      <c r="F189" s="9" cm="1">
        <f t="array" ref="F189">INDEX(D123:E130,F195,1)</f>
        <v>22.52</v>
      </c>
      <c r="H189" t="s">
        <v>146</v>
      </c>
    </row>
    <row r="190" spans="2:8">
      <c r="B190" s="75" t="s">
        <v>101</v>
      </c>
      <c r="C190" s="75"/>
      <c r="D190" s="75"/>
      <c r="E190" s="75"/>
      <c r="F190" s="9" cm="1">
        <f t="array" ref="F190">IF(F193=P123, 0,INDEX(P123:R130,-1 + F195,1))</f>
        <v>0.21000000000000002</v>
      </c>
      <c r="H190" t="s">
        <v>147</v>
      </c>
    </row>
    <row r="191" spans="2:8">
      <c r="B191" s="75" t="s">
        <v>103</v>
      </c>
      <c r="C191" s="75"/>
      <c r="D191" s="75"/>
      <c r="E191" s="75"/>
      <c r="F191" s="9" cm="1">
        <f t="array" ref="F191">INDEX(L123:M130,F195,1)</f>
        <v>0.115</v>
      </c>
      <c r="H191" t="s">
        <v>148</v>
      </c>
    </row>
    <row r="192" spans="2:8">
      <c r="B192" s="75" t="s">
        <v>105</v>
      </c>
      <c r="C192" s="75"/>
      <c r="D192" s="75"/>
      <c r="E192" s="75"/>
      <c r="F192" s="16">
        <f>H115</f>
        <v>1.24</v>
      </c>
      <c r="H192" t="s">
        <v>141</v>
      </c>
    </row>
    <row r="193" spans="1:6">
      <c r="B193" s="75" t="s">
        <v>107</v>
      </c>
      <c r="C193" s="75"/>
      <c r="D193" s="75"/>
      <c r="E193" s="75"/>
      <c r="F193" s="9">
        <v>0.45</v>
      </c>
    </row>
    <row r="195" spans="1:6">
      <c r="B195" s="75" t="s">
        <v>108</v>
      </c>
      <c r="C195" s="75"/>
      <c r="D195" s="75"/>
      <c r="E195" s="75"/>
      <c r="F195" s="9">
        <v>3</v>
      </c>
    </row>
    <row r="197" spans="1:6">
      <c r="E197" t="s">
        <v>149</v>
      </c>
    </row>
    <row r="198" spans="1:6">
      <c r="B198" s="11" t="s">
        <v>121</v>
      </c>
      <c r="C198" s="12">
        <f>ROUND(F189+(F193-F190)*F192/F191,4)</f>
        <v>25.107800000000001</v>
      </c>
    </row>
    <row r="200" spans="1:6">
      <c r="C200" s="11" t="s">
        <v>123</v>
      </c>
      <c r="D200" s="26">
        <f>ROUND(C187/100,4)</f>
        <v>0.22409999999999999</v>
      </c>
      <c r="F200" t="s">
        <v>150</v>
      </c>
    </row>
    <row r="201" spans="1:6">
      <c r="C201" s="11" t="s">
        <v>125</v>
      </c>
      <c r="D201" s="26">
        <f>ROUND(C198/100,4)</f>
        <v>0.25109999999999999</v>
      </c>
      <c r="F201" t="s">
        <v>151</v>
      </c>
    </row>
    <row r="203" spans="1:6">
      <c r="A203" t="s">
        <v>52</v>
      </c>
      <c r="B203" s="82" t="s">
        <v>127</v>
      </c>
      <c r="C203" s="82"/>
      <c r="D203" s="82"/>
      <c r="E203" s="15"/>
      <c r="F203" s="15"/>
    </row>
    <row r="205" spans="1:6">
      <c r="B205" s="60" t="s">
        <v>128</v>
      </c>
      <c r="C205" s="61"/>
      <c r="D205" s="9">
        <f>ROUND(U132/($J$25-1),4)</f>
        <v>7.7976000000000001</v>
      </c>
      <c r="F205" t="s">
        <v>152</v>
      </c>
    </row>
    <row r="206" spans="1:6">
      <c r="B206" s="60" t="s">
        <v>130</v>
      </c>
      <c r="C206" s="61"/>
      <c r="D206" s="9">
        <f>ROUND(SQRT(D205),4)</f>
        <v>2.7924000000000002</v>
      </c>
      <c r="F206" t="s">
        <v>153</v>
      </c>
    </row>
    <row r="207" spans="1:6">
      <c r="B207" s="89" t="s">
        <v>132</v>
      </c>
      <c r="C207" s="90"/>
      <c r="D207" s="9">
        <f>ROUND(D206/C158,4)</f>
        <v>0.1105</v>
      </c>
      <c r="F207" t="s">
        <v>154</v>
      </c>
    </row>
    <row r="209" spans="1:10">
      <c r="A209" t="s">
        <v>60</v>
      </c>
    </row>
    <row r="210" spans="1:10">
      <c r="B210" s="75" t="s">
        <v>134</v>
      </c>
      <c r="C210" s="75"/>
      <c r="D210" s="9">
        <f>ROUND((W132/J132)/(D206^3),4)</f>
        <v>-7.7600000000000002E-2</v>
      </c>
      <c r="E210" s="88" t="str" cm="1">
        <f t="array" ref="E210">_xlfn.IFS(D210&gt;0,"Distribuição assimétrica positiva, enviesada à direita",D210&lt;0,"Distribuição assimétrica negativa, enviesada à esquerda",D210=0,"Distribuição simétrica")</f>
        <v>Distribuição assimétrica negativa, enviesada à esquerda</v>
      </c>
      <c r="F210" s="82"/>
      <c r="G210" s="82"/>
      <c r="H210" s="82"/>
      <c r="I210" s="82"/>
      <c r="J210" s="82"/>
    </row>
    <row r="211" spans="1:10">
      <c r="B211" s="75" t="s">
        <v>135</v>
      </c>
      <c r="C211" s="75"/>
      <c r="D211" s="9">
        <f>ROUND((Y132/J132)/(D206^4),4)</f>
        <v>1.8264</v>
      </c>
      <c r="E211" s="88" t="str" cm="1">
        <f t="array" ref="E211">_xlfn.IFS(D211 &gt; 3,"Distribuição leptocúrtica",D211&lt;3,"Distribuição platicúrtica",D211=3,"Distribuição mesocúrtica")</f>
        <v>Distribuição platicúrtica</v>
      </c>
      <c r="F211" s="82"/>
      <c r="G211" s="82"/>
      <c r="H211" s="82"/>
      <c r="I211" s="82"/>
      <c r="J211" s="82"/>
    </row>
    <row r="215" spans="1:10">
      <c r="A215" t="s">
        <v>70</v>
      </c>
    </row>
  </sheetData>
  <mergeCells count="300">
    <mergeCell ref="B98:C98"/>
    <mergeCell ref="B99:C99"/>
    <mergeCell ref="B96:D96"/>
    <mergeCell ref="B74:E74"/>
    <mergeCell ref="B75:E75"/>
    <mergeCell ref="B77:E77"/>
    <mergeCell ref="B6:C6"/>
    <mergeCell ref="B7:C7"/>
    <mergeCell ref="B8:C8"/>
    <mergeCell ref="B58:E58"/>
    <mergeCell ref="B59:E59"/>
    <mergeCell ref="B60:E60"/>
    <mergeCell ref="B62:E62"/>
    <mergeCell ref="B67:C67"/>
    <mergeCell ref="B68:C68"/>
    <mergeCell ref="D17:E17"/>
    <mergeCell ref="D18:E18"/>
    <mergeCell ref="D19:E19"/>
    <mergeCell ref="B49:D49"/>
    <mergeCell ref="J6:M7"/>
    <mergeCell ref="B56:E56"/>
    <mergeCell ref="B57:E57"/>
    <mergeCell ref="H15:I15"/>
    <mergeCell ref="B11:R12"/>
    <mergeCell ref="D16:E16"/>
    <mergeCell ref="D20:E20"/>
    <mergeCell ref="D21:E21"/>
    <mergeCell ref="D15:E15"/>
    <mergeCell ref="F15:G15"/>
    <mergeCell ref="F16:G16"/>
    <mergeCell ref="H14:I14"/>
    <mergeCell ref="H16:I16"/>
    <mergeCell ref="D22:E22"/>
    <mergeCell ref="D23:E23"/>
    <mergeCell ref="F17:G17"/>
    <mergeCell ref="F18:G18"/>
    <mergeCell ref="F8:G8"/>
    <mergeCell ref="F7:G7"/>
    <mergeCell ref="F6:G6"/>
    <mergeCell ref="F19:G19"/>
    <mergeCell ref="F20:G20"/>
    <mergeCell ref="F21:G21"/>
    <mergeCell ref="P14:R14"/>
    <mergeCell ref="S14:Z14"/>
    <mergeCell ref="J25:K25"/>
    <mergeCell ref="L14:M14"/>
    <mergeCell ref="L15:M15"/>
    <mergeCell ref="L16:M16"/>
    <mergeCell ref="L17:M17"/>
    <mergeCell ref="L18:M18"/>
    <mergeCell ref="L20:M20"/>
    <mergeCell ref="L19:M19"/>
    <mergeCell ref="L21:M21"/>
    <mergeCell ref="L22:M22"/>
    <mergeCell ref="L23:M23"/>
    <mergeCell ref="J14:K14"/>
    <mergeCell ref="J15:K15"/>
    <mergeCell ref="N23:O23"/>
    <mergeCell ref="P15:R15"/>
    <mergeCell ref="P20:R20"/>
    <mergeCell ref="N15:O15"/>
    <mergeCell ref="N14:O14"/>
    <mergeCell ref="N16:O16"/>
    <mergeCell ref="N17:O17"/>
    <mergeCell ref="N18:O18"/>
    <mergeCell ref="N22:O22"/>
    <mergeCell ref="N21:O21"/>
    <mergeCell ref="H17:I17"/>
    <mergeCell ref="H18:I18"/>
    <mergeCell ref="H19:I19"/>
    <mergeCell ref="H20:I20"/>
    <mergeCell ref="H21:I21"/>
    <mergeCell ref="H22:I22"/>
    <mergeCell ref="P16:R16"/>
    <mergeCell ref="P17:R17"/>
    <mergeCell ref="P18:R18"/>
    <mergeCell ref="P19:R19"/>
    <mergeCell ref="N19:O19"/>
    <mergeCell ref="N20:O20"/>
    <mergeCell ref="J16:K16"/>
    <mergeCell ref="J17:K17"/>
    <mergeCell ref="J19:K19"/>
    <mergeCell ref="J18:K18"/>
    <mergeCell ref="J20:K20"/>
    <mergeCell ref="S21:T21"/>
    <mergeCell ref="S23:T23"/>
    <mergeCell ref="S22:T22"/>
    <mergeCell ref="U20:V20"/>
    <mergeCell ref="P21:R21"/>
    <mergeCell ref="P22:R22"/>
    <mergeCell ref="P23:R23"/>
    <mergeCell ref="J113:M114"/>
    <mergeCell ref="H23:I23"/>
    <mergeCell ref="J21:K21"/>
    <mergeCell ref="J22:K22"/>
    <mergeCell ref="J23:K23"/>
    <mergeCell ref="S121:Z121"/>
    <mergeCell ref="W122:X122"/>
    <mergeCell ref="Y122:Z122"/>
    <mergeCell ref="W123:X123"/>
    <mergeCell ref="Y123:Z123"/>
    <mergeCell ref="W124:X124"/>
    <mergeCell ref="Y124:Z124"/>
    <mergeCell ref="W125:X125"/>
    <mergeCell ref="Y125:Z125"/>
    <mergeCell ref="Y25:Z25"/>
    <mergeCell ref="E103:J103"/>
    <mergeCell ref="E104:J104"/>
    <mergeCell ref="W15:X15"/>
    <mergeCell ref="W16:X16"/>
    <mergeCell ref="W18:X18"/>
    <mergeCell ref="W17:X17"/>
    <mergeCell ref="W19:X19"/>
    <mergeCell ref="W20:X20"/>
    <mergeCell ref="W21:X21"/>
    <mergeCell ref="S15:T15"/>
    <mergeCell ref="U15:V15"/>
    <mergeCell ref="U16:V16"/>
    <mergeCell ref="U17:V17"/>
    <mergeCell ref="U18:V18"/>
    <mergeCell ref="S16:T16"/>
    <mergeCell ref="S17:T17"/>
    <mergeCell ref="S18:T18"/>
    <mergeCell ref="S19:T19"/>
    <mergeCell ref="S20:T20"/>
    <mergeCell ref="U19:V19"/>
    <mergeCell ref="U21:V21"/>
    <mergeCell ref="U22:V22"/>
    <mergeCell ref="U23:V23"/>
    <mergeCell ref="Y15:Z15"/>
    <mergeCell ref="Y16:Z16"/>
    <mergeCell ref="Y17:Z17"/>
    <mergeCell ref="Y18:Z18"/>
    <mergeCell ref="Y19:Z19"/>
    <mergeCell ref="Y20:Z20"/>
    <mergeCell ref="Y21:Z21"/>
    <mergeCell ref="Y22:Z22"/>
    <mergeCell ref="Y23:Z23"/>
    <mergeCell ref="B113:C113"/>
    <mergeCell ref="F113:G113"/>
    <mergeCell ref="W22:X22"/>
    <mergeCell ref="W23:X23"/>
    <mergeCell ref="W25:X25"/>
    <mergeCell ref="B103:C103"/>
    <mergeCell ref="B104:C104"/>
    <mergeCell ref="L25:M25"/>
    <mergeCell ref="N25:O25"/>
    <mergeCell ref="P25:R25"/>
    <mergeCell ref="S25:T25"/>
    <mergeCell ref="U25:V25"/>
    <mergeCell ref="B82:E82"/>
    <mergeCell ref="B83:E83"/>
    <mergeCell ref="B84:E84"/>
    <mergeCell ref="B85:E85"/>
    <mergeCell ref="B86:E86"/>
    <mergeCell ref="B88:E88"/>
    <mergeCell ref="F22:G22"/>
    <mergeCell ref="F23:G23"/>
    <mergeCell ref="B100:C100"/>
    <mergeCell ref="B71:E71"/>
    <mergeCell ref="B72:E72"/>
    <mergeCell ref="B73:E73"/>
    <mergeCell ref="B114:C114"/>
    <mergeCell ref="F114:G114"/>
    <mergeCell ref="B115:C115"/>
    <mergeCell ref="F115:G115"/>
    <mergeCell ref="B118:R119"/>
    <mergeCell ref="H121:I121"/>
    <mergeCell ref="J121:K121"/>
    <mergeCell ref="L121:M121"/>
    <mergeCell ref="N121:O121"/>
    <mergeCell ref="P121:R121"/>
    <mergeCell ref="D122:E122"/>
    <mergeCell ref="F122:G122"/>
    <mergeCell ref="H122:I122"/>
    <mergeCell ref="J122:K122"/>
    <mergeCell ref="L122:M122"/>
    <mergeCell ref="N122:O122"/>
    <mergeCell ref="P122:R122"/>
    <mergeCell ref="S122:T122"/>
    <mergeCell ref="U122:V122"/>
    <mergeCell ref="D123:E123"/>
    <mergeCell ref="F123:G123"/>
    <mergeCell ref="H123:I123"/>
    <mergeCell ref="J123:K123"/>
    <mergeCell ref="L123:M123"/>
    <mergeCell ref="N123:O123"/>
    <mergeCell ref="P123:R123"/>
    <mergeCell ref="S123:T123"/>
    <mergeCell ref="U123:V123"/>
    <mergeCell ref="D124:E124"/>
    <mergeCell ref="F124:G124"/>
    <mergeCell ref="H124:I124"/>
    <mergeCell ref="J124:K124"/>
    <mergeCell ref="L124:M124"/>
    <mergeCell ref="N124:O124"/>
    <mergeCell ref="P124:R124"/>
    <mergeCell ref="S124:T124"/>
    <mergeCell ref="U124:V124"/>
    <mergeCell ref="D125:E125"/>
    <mergeCell ref="F125:G125"/>
    <mergeCell ref="H125:I125"/>
    <mergeCell ref="J125:K125"/>
    <mergeCell ref="L125:M125"/>
    <mergeCell ref="N125:O125"/>
    <mergeCell ref="P125:R125"/>
    <mergeCell ref="S125:T125"/>
    <mergeCell ref="U125:V125"/>
    <mergeCell ref="Y126:Z126"/>
    <mergeCell ref="D127:E127"/>
    <mergeCell ref="F127:G127"/>
    <mergeCell ref="H127:I127"/>
    <mergeCell ref="J127:K127"/>
    <mergeCell ref="L127:M127"/>
    <mergeCell ref="N127:O127"/>
    <mergeCell ref="P127:R127"/>
    <mergeCell ref="S127:T127"/>
    <mergeCell ref="U127:V127"/>
    <mergeCell ref="W127:X127"/>
    <mergeCell ref="Y127:Z127"/>
    <mergeCell ref="D126:E126"/>
    <mergeCell ref="F126:G126"/>
    <mergeCell ref="H126:I126"/>
    <mergeCell ref="J126:K126"/>
    <mergeCell ref="L126:M126"/>
    <mergeCell ref="N126:O126"/>
    <mergeCell ref="P126:R126"/>
    <mergeCell ref="S126:T126"/>
    <mergeCell ref="U126:V126"/>
    <mergeCell ref="W126:X126"/>
    <mergeCell ref="W128:X128"/>
    <mergeCell ref="Y128:Z128"/>
    <mergeCell ref="D129:E129"/>
    <mergeCell ref="F129:G129"/>
    <mergeCell ref="H129:I129"/>
    <mergeCell ref="J129:K129"/>
    <mergeCell ref="L129:M129"/>
    <mergeCell ref="N129:O129"/>
    <mergeCell ref="P129:R129"/>
    <mergeCell ref="S129:T129"/>
    <mergeCell ref="U129:V129"/>
    <mergeCell ref="W129:X129"/>
    <mergeCell ref="Y129:Z129"/>
    <mergeCell ref="D128:E128"/>
    <mergeCell ref="F128:G128"/>
    <mergeCell ref="H128:I128"/>
    <mergeCell ref="J128:K128"/>
    <mergeCell ref="L128:M128"/>
    <mergeCell ref="N128:O128"/>
    <mergeCell ref="P128:R128"/>
    <mergeCell ref="S128:T128"/>
    <mergeCell ref="U128:V128"/>
    <mergeCell ref="W130:X130"/>
    <mergeCell ref="Y130:Z130"/>
    <mergeCell ref="W132:X132"/>
    <mergeCell ref="Y132:Z132"/>
    <mergeCell ref="B156:D156"/>
    <mergeCell ref="B163:E163"/>
    <mergeCell ref="B164:E164"/>
    <mergeCell ref="B165:E165"/>
    <mergeCell ref="B166:E166"/>
    <mergeCell ref="D130:E130"/>
    <mergeCell ref="F130:G130"/>
    <mergeCell ref="H130:I130"/>
    <mergeCell ref="J130:K130"/>
    <mergeCell ref="L130:M130"/>
    <mergeCell ref="N130:O130"/>
    <mergeCell ref="P130:R130"/>
    <mergeCell ref="S130:T130"/>
    <mergeCell ref="U130:V130"/>
    <mergeCell ref="J132:K132"/>
    <mergeCell ref="L132:M132"/>
    <mergeCell ref="N132:O132"/>
    <mergeCell ref="P132:R132"/>
    <mergeCell ref="S132:T132"/>
    <mergeCell ref="U132:V132"/>
    <mergeCell ref="B167:E167"/>
    <mergeCell ref="B169:E169"/>
    <mergeCell ref="B174:C174"/>
    <mergeCell ref="B175:C175"/>
    <mergeCell ref="B178:E178"/>
    <mergeCell ref="B179:E179"/>
    <mergeCell ref="B180:E180"/>
    <mergeCell ref="B181:E181"/>
    <mergeCell ref="B182:E182"/>
    <mergeCell ref="B206:C206"/>
    <mergeCell ref="B210:C210"/>
    <mergeCell ref="E210:J210"/>
    <mergeCell ref="B211:C211"/>
    <mergeCell ref="E211:J211"/>
    <mergeCell ref="B184:E184"/>
    <mergeCell ref="B189:E189"/>
    <mergeCell ref="B190:E190"/>
    <mergeCell ref="B191:E191"/>
    <mergeCell ref="B192:E192"/>
    <mergeCell ref="B193:E193"/>
    <mergeCell ref="B195:E195"/>
    <mergeCell ref="B203:D203"/>
    <mergeCell ref="B205:C205"/>
    <mergeCell ref="B207:C207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95634-9418-4679-961E-6975609F9E65}">
  <dimension ref="B2:M35"/>
  <sheetViews>
    <sheetView tabSelected="1" zoomScale="72" workbookViewId="0">
      <selection activeCell="B34" sqref="B34:M35"/>
    </sheetView>
  </sheetViews>
  <sheetFormatPr defaultColWidth="8.875" defaultRowHeight="15.6"/>
  <cols>
    <col min="2" max="2" width="19.375" customWidth="1"/>
    <col min="3" max="3" width="14.375" customWidth="1"/>
    <col min="4" max="4" width="14.5" customWidth="1"/>
    <col min="5" max="5" width="12.25" customWidth="1"/>
    <col min="6" max="6" width="11" customWidth="1"/>
    <col min="8" max="8" width="19.75" customWidth="1"/>
    <col min="9" max="9" width="13.875" customWidth="1"/>
    <col min="10" max="10" width="16.75" customWidth="1"/>
    <col min="11" max="11" width="16.125" customWidth="1"/>
    <col min="24" max="24" width="18.625" customWidth="1"/>
    <col min="25" max="25" width="11" customWidth="1"/>
    <col min="26" max="26" width="18" customWidth="1"/>
  </cols>
  <sheetData>
    <row r="2" spans="2:11">
      <c r="F2" s="2"/>
      <c r="G2" s="2"/>
    </row>
    <row r="3" spans="2:11" ht="21">
      <c r="B3" s="107" t="s">
        <v>155</v>
      </c>
      <c r="C3" s="107"/>
      <c r="D3" s="107"/>
      <c r="E3" s="107"/>
      <c r="F3" s="107"/>
      <c r="G3" s="107"/>
    </row>
    <row r="4" spans="2:11" ht="21">
      <c r="B4" s="107" t="s">
        <v>156</v>
      </c>
      <c r="C4" s="107"/>
      <c r="D4" s="107"/>
      <c r="E4" s="107"/>
      <c r="F4" s="107"/>
      <c r="G4" s="107"/>
    </row>
    <row r="5" spans="2:11" ht="15.6" customHeight="1"/>
    <row r="6" spans="2:11">
      <c r="B6" s="109" t="s">
        <v>157</v>
      </c>
      <c r="C6" s="110"/>
      <c r="D6" s="110"/>
      <c r="E6" s="110"/>
    </row>
    <row r="7" spans="2:11">
      <c r="B7" s="111"/>
      <c r="C7" s="112"/>
      <c r="D7" s="112"/>
      <c r="E7" s="112"/>
    </row>
    <row r="8" spans="2:11">
      <c r="B8" s="105" t="s">
        <v>158</v>
      </c>
      <c r="C8" s="106"/>
      <c r="D8" s="105" t="s">
        <v>159</v>
      </c>
      <c r="E8" s="106"/>
      <c r="G8" s="108" t="s">
        <v>158</v>
      </c>
      <c r="H8" s="108"/>
      <c r="I8" s="108" t="s">
        <v>159</v>
      </c>
      <c r="J8" s="108"/>
    </row>
    <row r="9" spans="2:11">
      <c r="B9" s="11" t="s">
        <v>160</v>
      </c>
      <c r="C9" s="12">
        <v>200</v>
      </c>
      <c r="D9" s="11" t="s">
        <v>160</v>
      </c>
      <c r="E9" s="12">
        <v>200</v>
      </c>
      <c r="G9" s="11" t="s">
        <v>161</v>
      </c>
      <c r="H9" s="12">
        <f>ROUND(C19*SQRT((C11*C11/C9)),4)</f>
        <v>0.43099999999999999</v>
      </c>
      <c r="I9" s="11" t="s">
        <v>161</v>
      </c>
      <c r="J9" s="12">
        <f>ROUND(C19*SQRT((E11*E11/E9)),4)</f>
        <v>0.37780000000000002</v>
      </c>
      <c r="K9" t="s">
        <v>162</v>
      </c>
    </row>
    <row r="10" spans="2:11">
      <c r="B10" s="11" t="s">
        <v>163</v>
      </c>
      <c r="C10" s="12">
        <f>AVERAGE(Dados!B3:B202)</f>
        <v>2.66</v>
      </c>
      <c r="D10" s="11" t="s">
        <v>164</v>
      </c>
      <c r="E10" s="12">
        <f>AVERAGE(Dados!C3:C202)</f>
        <v>2.81</v>
      </c>
    </row>
    <row r="11" spans="2:11">
      <c r="B11" s="11" t="s">
        <v>128</v>
      </c>
      <c r="C11" s="12">
        <f>ROUND('ex1'!D63,4)</f>
        <v>2.3662000000000001</v>
      </c>
      <c r="D11" s="11" t="s">
        <v>128</v>
      </c>
      <c r="E11" s="12">
        <f>ROUND('ex1'!AF63,4)</f>
        <v>2.0743</v>
      </c>
    </row>
    <row r="12" spans="2:11">
      <c r="G12" s="15"/>
    </row>
    <row r="15" spans="2:11">
      <c r="B15" s="101" t="s">
        <v>165</v>
      </c>
      <c r="C15" s="101"/>
      <c r="D15" s="50">
        <v>0.99</v>
      </c>
    </row>
    <row r="16" spans="2:11">
      <c r="B16" s="101" t="s">
        <v>166</v>
      </c>
      <c r="C16" s="101"/>
      <c r="D16" s="50">
        <f>1-D15</f>
        <v>1.0000000000000009E-2</v>
      </c>
      <c r="F16" s="47" t="s">
        <v>167</v>
      </c>
    </row>
    <row r="19" spans="2:6">
      <c r="B19" s="11" t="s">
        <v>168</v>
      </c>
      <c r="C19" s="9">
        <f>ROUND(_xlfn.NORM.S.INV(1-D16/2),4)</f>
        <v>2.5758000000000001</v>
      </c>
      <c r="E19" t="s">
        <v>169</v>
      </c>
    </row>
    <row r="22" spans="2:6">
      <c r="B22" s="104" t="s">
        <v>170</v>
      </c>
      <c r="C22" s="104"/>
      <c r="D22" s="104"/>
      <c r="E22" s="104"/>
    </row>
    <row r="23" spans="2:6">
      <c r="B23" s="104"/>
      <c r="C23" s="104"/>
      <c r="D23" s="104"/>
      <c r="E23" s="104"/>
    </row>
    <row r="24" spans="2:6">
      <c r="B24" s="46"/>
      <c r="C24" s="46"/>
      <c r="D24" s="46"/>
      <c r="E24" s="46"/>
    </row>
    <row r="27" spans="2:6">
      <c r="B27" s="57"/>
    </row>
    <row r="29" spans="2:6" ht="17.45" customHeight="1">
      <c r="B29" s="113" t="str">
        <f>"ICa= ["&amp;C10-H9&amp;"   ;    "&amp;C10+H9&amp;"["</f>
        <v>ICa= [2,229   ;    3,091[</v>
      </c>
      <c r="C29" s="113"/>
      <c r="D29" s="58"/>
      <c r="E29" s="58"/>
      <c r="F29" s="58"/>
    </row>
    <row r="31" spans="2:6">
      <c r="B31" s="114" t="str">
        <f>"ICb = ["&amp;E10-J9&amp;"   ;    "&amp;E10+J9&amp;"["</f>
        <v>ICb = [2,4322   ;    3,1878[</v>
      </c>
      <c r="C31" s="114"/>
      <c r="D31" s="59"/>
      <c r="E31" s="59"/>
      <c r="F31" s="59"/>
    </row>
    <row r="34" spans="2:13">
      <c r="B34" s="103" t="s">
        <v>171</v>
      </c>
      <c r="C34" s="103"/>
      <c r="D34" s="103"/>
      <c r="E34" s="103"/>
      <c r="F34" s="103"/>
      <c r="G34" s="103"/>
      <c r="H34" s="103"/>
      <c r="I34" s="103"/>
      <c r="J34" s="103"/>
      <c r="K34" s="103"/>
      <c r="L34" s="103"/>
      <c r="M34" s="103"/>
    </row>
    <row r="35" spans="2:13">
      <c r="B35" s="103"/>
      <c r="C35" s="103"/>
      <c r="D35" s="103"/>
      <c r="E35" s="103"/>
      <c r="F35" s="103"/>
      <c r="G35" s="103"/>
      <c r="H35" s="103"/>
      <c r="I35" s="103"/>
      <c r="J35" s="103"/>
      <c r="K35" s="103"/>
      <c r="L35" s="103"/>
      <c r="M35" s="103"/>
    </row>
  </sheetData>
  <mergeCells count="13">
    <mergeCell ref="B3:G3"/>
    <mergeCell ref="B4:G4"/>
    <mergeCell ref="I8:J8"/>
    <mergeCell ref="G8:H8"/>
    <mergeCell ref="B6:E7"/>
    <mergeCell ref="B34:M35"/>
    <mergeCell ref="B22:E23"/>
    <mergeCell ref="B15:C15"/>
    <mergeCell ref="B16:C16"/>
    <mergeCell ref="D8:E8"/>
    <mergeCell ref="B8:C8"/>
    <mergeCell ref="B29:C29"/>
    <mergeCell ref="B31:C31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CD3AE-203B-4BC3-A066-1A473500E461}">
  <dimension ref="A1:U24"/>
  <sheetViews>
    <sheetView zoomScale="94" workbookViewId="0">
      <selection activeCell="A21" sqref="A21:T24"/>
    </sheetView>
  </sheetViews>
  <sheetFormatPr defaultColWidth="8.875" defaultRowHeight="15.6"/>
  <cols>
    <col min="1" max="1" width="12.125" customWidth="1"/>
    <col min="5" max="5" width="12" customWidth="1"/>
    <col min="8" max="8" width="8.875" customWidth="1"/>
    <col min="9" max="9" width="12.875" customWidth="1"/>
    <col min="12" max="12" width="10.125" customWidth="1"/>
    <col min="13" max="13" width="6.625" customWidth="1"/>
  </cols>
  <sheetData>
    <row r="1" spans="1:21">
      <c r="C1" s="82" t="s">
        <v>172</v>
      </c>
      <c r="D1" s="82"/>
      <c r="E1" s="82"/>
      <c r="F1" s="82"/>
      <c r="G1" s="82"/>
      <c r="H1" s="82"/>
      <c r="I1" s="82"/>
      <c r="J1" s="82"/>
      <c r="K1" s="82"/>
    </row>
    <row r="2" spans="1:21" ht="15.75" customHeight="1">
      <c r="C2" s="82" t="s">
        <v>173</v>
      </c>
      <c r="D2" s="82"/>
      <c r="E2" s="82"/>
      <c r="F2" s="82"/>
      <c r="G2" s="82"/>
      <c r="H2" s="82"/>
      <c r="I2" s="82"/>
      <c r="J2" s="82"/>
      <c r="K2" s="82"/>
      <c r="L2" s="30" t="s">
        <v>174</v>
      </c>
      <c r="M2" s="12">
        <v>2</v>
      </c>
    </row>
    <row r="3" spans="1:21">
      <c r="A3" s="119" t="s">
        <v>175</v>
      </c>
      <c r="B3" s="120"/>
      <c r="E3" s="119" t="s">
        <v>176</v>
      </c>
      <c r="F3" s="120"/>
    </row>
    <row r="4" spans="1:21">
      <c r="A4" t="s">
        <v>160</v>
      </c>
      <c r="B4">
        <v>200</v>
      </c>
      <c r="E4" s="11" t="s">
        <v>160</v>
      </c>
      <c r="F4" s="9">
        <v>200</v>
      </c>
      <c r="J4" s="121" t="s">
        <v>177</v>
      </c>
      <c r="K4" s="122"/>
      <c r="L4" s="122"/>
      <c r="M4" s="123"/>
    </row>
    <row r="5" spans="1:21" ht="15.75" customHeight="1">
      <c r="A5" s="11" t="s">
        <v>178</v>
      </c>
      <c r="B5" s="9">
        <f>COUNTIF(Dados!B3:B202,"&gt;"&amp;'ex4'!M2)</f>
        <v>89</v>
      </c>
      <c r="E5" s="11" t="s">
        <v>179</v>
      </c>
      <c r="F5" s="9">
        <f>COUNTIF(Dados!C3:C202,"&gt;"&amp;'ex4'!M2)</f>
        <v>105</v>
      </c>
      <c r="I5" s="11" t="s">
        <v>179</v>
      </c>
      <c r="J5" s="88" t="s">
        <v>180</v>
      </c>
      <c r="K5" s="82"/>
      <c r="L5" s="82"/>
      <c r="M5" s="124"/>
    </row>
    <row r="6" spans="1:21" ht="15.75" customHeight="1">
      <c r="A6" s="11" t="s">
        <v>181</v>
      </c>
      <c r="B6" s="9">
        <f>B5/B4</f>
        <v>0.44500000000000001</v>
      </c>
      <c r="C6" t="s">
        <v>182</v>
      </c>
      <c r="E6" s="11" t="s">
        <v>183</v>
      </c>
      <c r="F6" s="9">
        <f>F5/F4</f>
        <v>0.52500000000000002</v>
      </c>
      <c r="I6" s="11" t="s">
        <v>183</v>
      </c>
      <c r="J6" s="88" t="s">
        <v>184</v>
      </c>
      <c r="K6" s="82"/>
      <c r="L6" s="82"/>
      <c r="M6" s="124"/>
      <c r="O6" s="75" t="s">
        <v>165</v>
      </c>
      <c r="P6" s="75"/>
      <c r="Q6" s="75"/>
      <c r="R6" s="29">
        <v>0.97</v>
      </c>
    </row>
    <row r="7" spans="1:21">
      <c r="A7" s="11" t="s">
        <v>185</v>
      </c>
      <c r="B7" s="9">
        <f>1-B6</f>
        <v>0.55499999999999994</v>
      </c>
      <c r="E7" s="11" t="s">
        <v>186</v>
      </c>
      <c r="F7" s="9">
        <f>1-F6</f>
        <v>0.47499999999999998</v>
      </c>
      <c r="I7" s="11" t="s">
        <v>186</v>
      </c>
      <c r="J7" s="88" t="s">
        <v>187</v>
      </c>
      <c r="K7" s="82"/>
      <c r="L7" s="82"/>
      <c r="M7" s="124"/>
      <c r="O7" s="75" t="s">
        <v>166</v>
      </c>
      <c r="P7" s="75"/>
      <c r="Q7" s="75"/>
      <c r="R7" s="29">
        <f>1-R6</f>
        <v>3.0000000000000027E-2</v>
      </c>
      <c r="S7" s="17" t="s">
        <v>188</v>
      </c>
    </row>
    <row r="8" spans="1:21" ht="15.75" customHeight="1">
      <c r="A8" s="11" t="s">
        <v>189</v>
      </c>
      <c r="B8" s="9">
        <f>ROUND(B7*B6,4)</f>
        <v>0.247</v>
      </c>
      <c r="E8" s="11" t="s">
        <v>190</v>
      </c>
      <c r="F8" s="9">
        <f>ROUND(F7*F6,4)</f>
        <v>0.24940000000000001</v>
      </c>
      <c r="I8" s="11" t="s">
        <v>190</v>
      </c>
      <c r="J8" s="125" t="s">
        <v>191</v>
      </c>
      <c r="K8" s="126"/>
      <c r="L8" s="126"/>
      <c r="M8" s="127"/>
    </row>
    <row r="9" spans="1:21">
      <c r="E9" s="17"/>
    </row>
    <row r="10" spans="1:21">
      <c r="O10" s="31" t="s">
        <v>168</v>
      </c>
      <c r="P10" s="9">
        <f>ROUND(_xlfn.NORM.S.INV(1-R7/2),4)</f>
        <v>2.1701000000000001</v>
      </c>
      <c r="R10" s="82" t="s">
        <v>192</v>
      </c>
      <c r="S10" s="82"/>
      <c r="T10" s="82"/>
      <c r="U10" s="82"/>
    </row>
    <row r="11" spans="1:21" ht="15.75" customHeight="1">
      <c r="A11" s="101" t="s">
        <v>193</v>
      </c>
      <c r="B11" s="101"/>
      <c r="C11" s="9">
        <f>B6-F6</f>
        <v>-8.0000000000000016E-2</v>
      </c>
      <c r="D11" t="s">
        <v>194</v>
      </c>
    </row>
    <row r="12" spans="1:21">
      <c r="O12" s="31" t="s">
        <v>195</v>
      </c>
      <c r="P12" s="9">
        <f>ROUND(P10*SQRT((B8/'ex3'!C9) + (F8/F4)),4)</f>
        <v>0.1081</v>
      </c>
      <c r="Q12" t="s">
        <v>182</v>
      </c>
      <c r="R12" s="82" t="s">
        <v>196</v>
      </c>
      <c r="S12" s="82"/>
      <c r="T12" s="82"/>
      <c r="U12" s="82"/>
    </row>
    <row r="13" spans="1:21" ht="15.75" customHeight="1"/>
    <row r="14" spans="1:21">
      <c r="A14" s="75" t="s">
        <v>197</v>
      </c>
      <c r="B14" s="75"/>
      <c r="C14" s="32">
        <f>C11-P12</f>
        <v>-0.18810000000000002</v>
      </c>
      <c r="D14" t="s">
        <v>198</v>
      </c>
    </row>
    <row r="15" spans="1:21">
      <c r="A15" s="75" t="s">
        <v>199</v>
      </c>
      <c r="B15" s="75"/>
      <c r="C15" s="32">
        <f>C11+P12</f>
        <v>2.8099999999999986E-2</v>
      </c>
      <c r="D15" t="s">
        <v>200</v>
      </c>
      <c r="O15" s="116" t="s">
        <v>201</v>
      </c>
      <c r="P15" s="117"/>
      <c r="Q15" s="117"/>
      <c r="R15" s="117"/>
      <c r="S15" s="118"/>
    </row>
    <row r="16" spans="1:21" ht="15.75" customHeight="1"/>
    <row r="17" spans="1:20">
      <c r="O17" s="116" t="s">
        <v>202</v>
      </c>
      <c r="P17" s="117"/>
      <c r="Q17" s="118"/>
    </row>
    <row r="18" spans="1:20">
      <c r="B18" s="82" t="str">
        <f>"IC97 = ["&amp;C14&amp;"   ;    "&amp;C15&amp;"["</f>
        <v>IC97 = [-0,1881   ;    0,0281[</v>
      </c>
      <c r="C18" s="82"/>
      <c r="D18" s="82"/>
    </row>
    <row r="19" spans="1:20">
      <c r="B19" s="82"/>
      <c r="C19" s="82"/>
      <c r="D19" s="82"/>
    </row>
    <row r="21" spans="1:20" ht="15.6" customHeight="1">
      <c r="A21" s="115" t="s">
        <v>203</v>
      </c>
      <c r="B21" s="115"/>
      <c r="C21" s="115"/>
      <c r="D21" s="115"/>
      <c r="E21" s="115"/>
      <c r="F21" s="115"/>
      <c r="G21" s="115"/>
      <c r="H21" s="115"/>
      <c r="I21" s="115"/>
      <c r="J21" s="115"/>
      <c r="K21" s="115"/>
      <c r="L21" s="115"/>
      <c r="M21" s="115"/>
      <c r="N21" s="115"/>
      <c r="O21" s="115"/>
      <c r="P21" s="115"/>
      <c r="Q21" s="115"/>
      <c r="R21" s="115"/>
      <c r="S21" s="115"/>
      <c r="T21" s="115"/>
    </row>
    <row r="22" spans="1:20" ht="15.6" customHeight="1">
      <c r="A22" s="115"/>
      <c r="B22" s="115"/>
      <c r="C22" s="115"/>
      <c r="D22" s="115"/>
      <c r="E22" s="115"/>
      <c r="F22" s="115"/>
      <c r="G22" s="115"/>
      <c r="H22" s="115"/>
      <c r="I22" s="115"/>
      <c r="J22" s="115"/>
      <c r="K22" s="115"/>
      <c r="L22" s="115"/>
      <c r="M22" s="115"/>
      <c r="N22" s="115"/>
      <c r="O22" s="115"/>
      <c r="P22" s="115"/>
      <c r="Q22" s="115"/>
      <c r="R22" s="115"/>
      <c r="S22" s="115"/>
      <c r="T22" s="115"/>
    </row>
    <row r="23" spans="1:20" ht="15.6" customHeight="1">
      <c r="A23" s="115"/>
      <c r="B23" s="115"/>
      <c r="C23" s="115"/>
      <c r="D23" s="115"/>
      <c r="E23" s="115"/>
      <c r="F23" s="115"/>
      <c r="G23" s="115"/>
      <c r="H23" s="115"/>
      <c r="I23" s="115"/>
      <c r="J23" s="115"/>
      <c r="K23" s="115"/>
      <c r="L23" s="115"/>
      <c r="M23" s="115"/>
      <c r="N23" s="115"/>
      <c r="O23" s="115"/>
      <c r="P23" s="115"/>
      <c r="Q23" s="115"/>
      <c r="R23" s="115"/>
      <c r="S23" s="115"/>
      <c r="T23" s="115"/>
    </row>
    <row r="24" spans="1:20" ht="15.6" customHeight="1">
      <c r="A24" s="115"/>
      <c r="B24" s="115"/>
      <c r="C24" s="115"/>
      <c r="D24" s="115"/>
      <c r="E24" s="115"/>
      <c r="F24" s="115"/>
      <c r="G24" s="115"/>
      <c r="H24" s="115"/>
      <c r="I24" s="115"/>
      <c r="J24" s="115"/>
      <c r="K24" s="115"/>
      <c r="L24" s="115"/>
      <c r="M24" s="115"/>
      <c r="N24" s="115"/>
      <c r="O24" s="115"/>
      <c r="P24" s="115"/>
      <c r="Q24" s="115"/>
      <c r="R24" s="115"/>
      <c r="S24" s="115"/>
      <c r="T24" s="115"/>
    </row>
  </sheetData>
  <mergeCells count="21">
    <mergeCell ref="R10:U10"/>
    <mergeCell ref="C1:K1"/>
    <mergeCell ref="O6:Q6"/>
    <mergeCell ref="O7:Q7"/>
    <mergeCell ref="C2:K2"/>
    <mergeCell ref="A3:B3"/>
    <mergeCell ref="E3:F3"/>
    <mergeCell ref="A14:B14"/>
    <mergeCell ref="A15:B15"/>
    <mergeCell ref="J4:M4"/>
    <mergeCell ref="J6:M6"/>
    <mergeCell ref="J7:M7"/>
    <mergeCell ref="J8:M8"/>
    <mergeCell ref="J5:M5"/>
    <mergeCell ref="B19:D19"/>
    <mergeCell ref="A11:B11"/>
    <mergeCell ref="A21:T24"/>
    <mergeCell ref="B18:D18"/>
    <mergeCell ref="O15:S15"/>
    <mergeCell ref="R12:U12"/>
    <mergeCell ref="O17:Q17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74774-B08B-4968-9E80-9F4CE42C9938}">
  <dimension ref="A1:P29"/>
  <sheetViews>
    <sheetView zoomScale="69" workbookViewId="0">
      <selection sqref="A1:D2"/>
    </sheetView>
  </sheetViews>
  <sheetFormatPr defaultColWidth="8.875" defaultRowHeight="15.6"/>
  <cols>
    <col min="1" max="1" width="15.875" customWidth="1"/>
    <col min="2" max="2" width="14.5" customWidth="1"/>
    <col min="3" max="3" width="12.625" customWidth="1"/>
    <col min="4" max="4" width="14" customWidth="1"/>
    <col min="5" max="5" width="12.5" customWidth="1"/>
  </cols>
  <sheetData>
    <row r="1" spans="1:15" ht="15.6" customHeight="1">
      <c r="A1" s="109" t="s">
        <v>204</v>
      </c>
      <c r="B1" s="110"/>
      <c r="C1" s="110"/>
      <c r="D1" s="110"/>
      <c r="J1" t="s">
        <v>205</v>
      </c>
    </row>
    <row r="2" spans="1:15" ht="15.6" customHeight="1">
      <c r="A2" s="111"/>
      <c r="B2" s="112"/>
      <c r="C2" s="112"/>
      <c r="D2" s="112"/>
      <c r="J2" t="s">
        <v>206</v>
      </c>
    </row>
    <row r="3" spans="1:15">
      <c r="A3" s="105" t="s">
        <v>158</v>
      </c>
      <c r="B3" s="106"/>
      <c r="C3" s="105" t="s">
        <v>159</v>
      </c>
      <c r="D3" s="106"/>
      <c r="E3" s="96" t="s">
        <v>207</v>
      </c>
      <c r="F3" s="96"/>
    </row>
    <row r="4" spans="1:15">
      <c r="A4" s="11" t="s">
        <v>208</v>
      </c>
      <c r="B4" s="12">
        <v>200</v>
      </c>
      <c r="C4" s="11" t="s">
        <v>209</v>
      </c>
      <c r="D4" s="12">
        <v>200</v>
      </c>
      <c r="E4" s="11" t="s">
        <v>210</v>
      </c>
      <c r="F4" s="12">
        <f>ROUND(D6^2/D4,4)</f>
        <v>3.9E-2</v>
      </c>
      <c r="H4" t="s">
        <v>211</v>
      </c>
    </row>
    <row r="5" spans="1:15">
      <c r="A5" s="11" t="s">
        <v>212</v>
      </c>
      <c r="B5" s="12">
        <f>'ex2'!C51</f>
        <v>22.144600000000001</v>
      </c>
      <c r="C5" s="11" t="s">
        <v>213</v>
      </c>
      <c r="D5" s="12">
        <f>'ex2'!C158</f>
        <v>25.260399999999994</v>
      </c>
      <c r="E5" s="10" t="s">
        <v>214</v>
      </c>
      <c r="F5" s="12">
        <f>ROUND(B6^2/B4,4)</f>
        <v>0.03</v>
      </c>
      <c r="H5" t="s">
        <v>215</v>
      </c>
    </row>
    <row r="6" spans="1:15">
      <c r="A6" s="11" t="s">
        <v>216</v>
      </c>
      <c r="B6" s="12">
        <f>'ex2'!D99</f>
        <v>2.4496000000000002</v>
      </c>
      <c r="C6" s="11" t="s">
        <v>217</v>
      </c>
      <c r="D6" s="12">
        <f>'ex2'!D206</f>
        <v>2.7924000000000002</v>
      </c>
    </row>
    <row r="8" spans="1:15">
      <c r="G8" s="75" t="s">
        <v>165</v>
      </c>
      <c r="H8" s="75"/>
      <c r="I8" s="75"/>
      <c r="J8" s="29">
        <v>0.97</v>
      </c>
    </row>
    <row r="9" spans="1:15">
      <c r="G9" s="75" t="s">
        <v>218</v>
      </c>
      <c r="H9" s="75"/>
      <c r="I9" s="75"/>
      <c r="J9" s="29">
        <f>1-J8</f>
        <v>3.0000000000000027E-2</v>
      </c>
      <c r="L9" s="47" t="s">
        <v>219</v>
      </c>
    </row>
    <row r="10" spans="1:15">
      <c r="G10" s="75" t="s">
        <v>168</v>
      </c>
      <c r="H10" s="75"/>
      <c r="I10" s="75"/>
      <c r="J10" s="9">
        <f>ROUND(_xlfn.NORM.S.INV(1-J9/2),4)</f>
        <v>2.1701000000000001</v>
      </c>
      <c r="L10" t="s">
        <v>220</v>
      </c>
    </row>
    <row r="12" spans="1:15">
      <c r="A12" s="11" t="s">
        <v>221</v>
      </c>
      <c r="B12" s="12">
        <f>D5-B5</f>
        <v>3.115799999999993</v>
      </c>
      <c r="D12" t="s">
        <v>222</v>
      </c>
    </row>
    <row r="13" spans="1:15">
      <c r="A13" s="17"/>
      <c r="B13" s="17"/>
    </row>
    <row r="14" spans="1:15" ht="15.6" customHeight="1">
      <c r="A14" s="11" t="s">
        <v>223</v>
      </c>
      <c r="B14" s="33">
        <f>ROUND(B12-J17,4)</f>
        <v>2.5457999999999998</v>
      </c>
      <c r="D14" t="s">
        <v>224</v>
      </c>
      <c r="I14" s="134" t="s">
        <v>225</v>
      </c>
      <c r="J14" s="135"/>
      <c r="K14" s="135"/>
      <c r="L14" s="135"/>
      <c r="M14" s="135"/>
      <c r="N14" s="135"/>
      <c r="O14" s="136"/>
    </row>
    <row r="15" spans="1:15" ht="15.6" customHeight="1">
      <c r="A15" s="11" t="s">
        <v>226</v>
      </c>
      <c r="B15" s="33">
        <f>ROUND(B12+J17,4)</f>
        <v>3.6858</v>
      </c>
      <c r="D15" t="s">
        <v>227</v>
      </c>
      <c r="I15" s="137"/>
      <c r="J15" s="138"/>
      <c r="K15" s="138"/>
      <c r="L15" s="138"/>
      <c r="M15" s="138"/>
      <c r="N15" s="138"/>
      <c r="O15" s="139"/>
    </row>
    <row r="17" spans="1:16">
      <c r="I17" s="11" t="s">
        <v>195</v>
      </c>
      <c r="J17" s="12">
        <f>ROUND(J10*SQRT(F4+F5),4)</f>
        <v>0.56999999999999995</v>
      </c>
      <c r="L17" t="s">
        <v>228</v>
      </c>
    </row>
    <row r="18" spans="1:16" ht="15.6" customHeight="1">
      <c r="A18" s="128" t="s">
        <v>229</v>
      </c>
      <c r="B18" s="129"/>
      <c r="C18" s="129"/>
      <c r="D18" s="129"/>
      <c r="E18" s="129"/>
      <c r="F18" s="130"/>
    </row>
    <row r="19" spans="1:16" ht="15.6" customHeight="1">
      <c r="A19" s="131"/>
      <c r="B19" s="132"/>
      <c r="C19" s="132"/>
      <c r="D19" s="132"/>
      <c r="E19" s="132"/>
      <c r="F19" s="133"/>
    </row>
    <row r="22" spans="1:16">
      <c r="B22" s="82" t="str">
        <f>"IC97 = ["&amp;B14&amp;"   ;    "&amp;B15&amp;"["</f>
        <v>IC97 = [2,5458   ;    3,6858[</v>
      </c>
      <c r="C22" s="82"/>
    </row>
    <row r="25" spans="1:16" ht="15.6" customHeight="1">
      <c r="A25" s="48"/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</row>
    <row r="26" spans="1:16" ht="15.6" customHeight="1">
      <c r="A26" s="48"/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</row>
    <row r="27" spans="1:16" ht="15.6" customHeight="1">
      <c r="A27" s="48"/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</row>
    <row r="28" spans="1:16" ht="15.6" customHeight="1">
      <c r="A28" s="48"/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</row>
    <row r="29" spans="1:16" ht="15.6" customHeight="1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</row>
  </sheetData>
  <mergeCells count="10">
    <mergeCell ref="I14:O15"/>
    <mergeCell ref="A3:B3"/>
    <mergeCell ref="G8:I8"/>
    <mergeCell ref="G9:I9"/>
    <mergeCell ref="G10:I10"/>
    <mergeCell ref="A1:D2"/>
    <mergeCell ref="C3:D3"/>
    <mergeCell ref="E3:F3"/>
    <mergeCell ref="B22:C22"/>
    <mergeCell ref="A18:F19"/>
  </mergeCells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6764391778E2B4FBABC02A2DE5CC80E" ma:contentTypeVersion="6" ma:contentTypeDescription="Create a new document." ma:contentTypeScope="" ma:versionID="879fdc203221cbdf6b0c19015bcc282d">
  <xsd:schema xmlns:xsd="http://www.w3.org/2001/XMLSchema" xmlns:xs="http://www.w3.org/2001/XMLSchema" xmlns:p="http://schemas.microsoft.com/office/2006/metadata/properties" xmlns:ns3="b163ee49-d5ca-4566-8d9a-132778b8595f" xmlns:ns4="bd9de7ca-1bc7-4476-8342-8c6da5362d49" targetNamespace="http://schemas.microsoft.com/office/2006/metadata/properties" ma:root="true" ma:fieldsID="b5c8926de64cf4aae878c584bad00f16" ns3:_="" ns4:_="">
    <xsd:import namespace="b163ee49-d5ca-4566-8d9a-132778b8595f"/>
    <xsd:import namespace="bd9de7ca-1bc7-4476-8342-8c6da5362d49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63ee49-d5ca-4566-8d9a-132778b8595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_activity" ma:index="10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9de7ca-1bc7-4476-8342-8c6da5362d49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3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163ee49-d5ca-4566-8d9a-132778b8595f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3EF4CF3-951E-4698-A741-220F3FBC5E73}"/>
</file>

<file path=customXml/itemProps2.xml><?xml version="1.0" encoding="utf-8"?>
<ds:datastoreItem xmlns:ds="http://schemas.openxmlformats.org/officeDocument/2006/customXml" ds:itemID="{050B4B00-C426-4303-9C7E-C050DF5E7B38}"/>
</file>

<file path=customXml/itemProps3.xml><?xml version="1.0" encoding="utf-8"?>
<ds:datastoreItem xmlns:ds="http://schemas.openxmlformats.org/officeDocument/2006/customXml" ds:itemID="{316B48C0-723B-46C1-9284-0651793FC06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Utilizador do Microsoft Office</dc:creator>
  <cp:keywords/>
  <dc:description/>
  <cp:lastModifiedBy/>
  <cp:revision/>
  <dcterms:created xsi:type="dcterms:W3CDTF">2023-05-09T13:24:18Z</dcterms:created>
  <dcterms:modified xsi:type="dcterms:W3CDTF">2023-06-29T19:00:47Z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0x01010076764391778E2B4FBABC02A2DE5CC80E</vt:lpwstr>
  </property>
</Properties>
</file>