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70" windowHeight="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1" i="1" l="1"/>
  <c r="H828" i="1"/>
  <c r="H826" i="1"/>
  <c r="H824" i="1"/>
  <c r="H822" i="1"/>
  <c r="B372" i="1"/>
  <c r="C372" i="1"/>
  <c r="D372" i="1" s="1"/>
  <c r="E372" i="1" s="1"/>
  <c r="B288" i="1"/>
  <c r="B287" i="1"/>
  <c r="B286" i="1"/>
  <c r="B285" i="1"/>
  <c r="B284" i="1"/>
  <c r="B790" i="1"/>
  <c r="C790" i="1" s="1"/>
  <c r="D790" i="1" s="1"/>
  <c r="E790" i="1" s="1"/>
  <c r="B792" i="1"/>
  <c r="B791" i="1"/>
  <c r="C791" i="1"/>
  <c r="D791" i="1" s="1"/>
  <c r="E791" i="1" s="1"/>
  <c r="B789" i="1"/>
  <c r="C789" i="1" s="1"/>
  <c r="D789" i="1" s="1"/>
  <c r="E789" i="1" s="1"/>
  <c r="C788" i="1"/>
  <c r="D788" i="1" s="1"/>
  <c r="E788" i="1" s="1"/>
  <c r="B788" i="1"/>
  <c r="B787" i="1"/>
  <c r="C787" i="1" s="1"/>
  <c r="D787" i="1" s="1"/>
  <c r="E787" i="1" s="1"/>
  <c r="C786" i="1"/>
  <c r="D786" i="1" s="1"/>
  <c r="E786" i="1" s="1"/>
  <c r="B786" i="1"/>
  <c r="H825" i="1" s="1"/>
  <c r="B785" i="1"/>
  <c r="C785" i="1" s="1"/>
  <c r="D785" i="1" s="1"/>
  <c r="E785" i="1" s="1"/>
  <c r="B784" i="1"/>
  <c r="H823" i="1" s="1"/>
  <c r="B783" i="1"/>
  <c r="C783" i="1" s="1"/>
  <c r="D783" i="1" s="1"/>
  <c r="E783" i="1" s="1"/>
  <c r="C782" i="1"/>
  <c r="D782" i="1" s="1"/>
  <c r="E782" i="1" s="1"/>
  <c r="B782" i="1"/>
  <c r="B716" i="1"/>
  <c r="B715" i="1"/>
  <c r="C720" i="1"/>
  <c r="D720" i="1" s="1"/>
  <c r="E720" i="1" s="1"/>
  <c r="B720" i="1"/>
  <c r="B719" i="1"/>
  <c r="C719" i="1" s="1"/>
  <c r="D719" i="1" s="1"/>
  <c r="E719" i="1" s="1"/>
  <c r="B718" i="1"/>
  <c r="C718" i="1" s="1"/>
  <c r="D718" i="1" s="1"/>
  <c r="E718" i="1" s="1"/>
  <c r="B717" i="1"/>
  <c r="C717" i="1" s="1"/>
  <c r="D717" i="1" s="1"/>
  <c r="E717" i="1" s="1"/>
  <c r="B714" i="1"/>
  <c r="C714" i="1" s="1"/>
  <c r="D714" i="1" s="1"/>
  <c r="E714" i="1" s="1"/>
  <c r="B713" i="1"/>
  <c r="C713" i="1" s="1"/>
  <c r="D713" i="1" s="1"/>
  <c r="E713" i="1" s="1"/>
  <c r="B712" i="1"/>
  <c r="C712" i="1" s="1"/>
  <c r="D712" i="1" s="1"/>
  <c r="E712" i="1" s="1"/>
  <c r="B711" i="1"/>
  <c r="C711" i="1" s="1"/>
  <c r="D711" i="1" s="1"/>
  <c r="E711" i="1" s="1"/>
  <c r="B643" i="1"/>
  <c r="B642" i="1"/>
  <c r="B650" i="1"/>
  <c r="C650" i="1" s="1"/>
  <c r="D650" i="1" s="1"/>
  <c r="E650" i="1" s="1"/>
  <c r="B649" i="1"/>
  <c r="C649" i="1" s="1"/>
  <c r="D649" i="1" s="1"/>
  <c r="E649" i="1" s="1"/>
  <c r="B648" i="1"/>
  <c r="B647" i="1"/>
  <c r="B645" i="1"/>
  <c r="B644" i="1"/>
  <c r="C644" i="1" s="1"/>
  <c r="D644" i="1" s="1"/>
  <c r="E644" i="1" s="1"/>
  <c r="C648" i="1"/>
  <c r="D648" i="1" s="1"/>
  <c r="E648" i="1" s="1"/>
  <c r="C647" i="1"/>
  <c r="D647" i="1" s="1"/>
  <c r="E647" i="1" s="1"/>
  <c r="B646" i="1"/>
  <c r="C646" i="1" s="1"/>
  <c r="D646" i="1" s="1"/>
  <c r="E646" i="1" s="1"/>
  <c r="F646" i="1" s="1"/>
  <c r="C645" i="1"/>
  <c r="D645" i="1" s="1"/>
  <c r="E645" i="1" s="1"/>
  <c r="B576" i="1"/>
  <c r="B575" i="1"/>
  <c r="B574" i="1"/>
  <c r="B580" i="1"/>
  <c r="B579" i="1"/>
  <c r="C579" i="1" s="1"/>
  <c r="D579" i="1" s="1"/>
  <c r="E579" i="1" s="1"/>
  <c r="B578" i="1"/>
  <c r="C578" i="1" s="1"/>
  <c r="D578" i="1" s="1"/>
  <c r="E578" i="1" s="1"/>
  <c r="B577" i="1"/>
  <c r="C577" i="1" s="1"/>
  <c r="D577" i="1" s="1"/>
  <c r="E577" i="1" s="1"/>
  <c r="C580" i="1"/>
  <c r="D580" i="1" s="1"/>
  <c r="E580" i="1" s="1"/>
  <c r="B509" i="1"/>
  <c r="B508" i="1"/>
  <c r="B511" i="1"/>
  <c r="C511" i="1" s="1"/>
  <c r="D511" i="1" s="1"/>
  <c r="E511" i="1" s="1"/>
  <c r="B510" i="1"/>
  <c r="C510" i="1" s="1"/>
  <c r="D510" i="1" s="1"/>
  <c r="E510" i="1" s="1"/>
  <c r="B443" i="1"/>
  <c r="B442" i="1"/>
  <c r="I821" i="1"/>
  <c r="D284" i="1"/>
  <c r="H827" i="1"/>
  <c r="I827" i="1" s="1"/>
  <c r="H821" i="1"/>
  <c r="I822" i="1"/>
  <c r="B373" i="1"/>
  <c r="H830" i="1" l="1"/>
  <c r="I830" i="1" s="1"/>
  <c r="H829" i="1"/>
  <c r="I829" i="1" s="1"/>
  <c r="F782" i="1"/>
  <c r="F783" i="1"/>
  <c r="I824" i="1"/>
  <c r="I823" i="1"/>
  <c r="F786" i="1"/>
  <c r="F787" i="1"/>
  <c r="F791" i="1"/>
  <c r="F790" i="1"/>
  <c r="F789" i="1"/>
  <c r="F788" i="1"/>
  <c r="I825" i="1"/>
  <c r="I826" i="1"/>
  <c r="I828" i="1"/>
  <c r="C784" i="1"/>
  <c r="D784" i="1" s="1"/>
  <c r="E784" i="1" s="1"/>
  <c r="F718" i="1"/>
  <c r="F717" i="1"/>
  <c r="F720" i="1"/>
  <c r="F719" i="1"/>
  <c r="F711" i="1"/>
  <c r="F712" i="1"/>
  <c r="F713" i="1"/>
  <c r="F714" i="1"/>
  <c r="F650" i="1"/>
  <c r="F649" i="1"/>
  <c r="F648" i="1"/>
  <c r="F647" i="1"/>
  <c r="F645" i="1"/>
  <c r="F644" i="1"/>
  <c r="F578" i="1"/>
  <c r="F577" i="1"/>
  <c r="F579" i="1"/>
  <c r="F580" i="1"/>
  <c r="F510" i="1"/>
  <c r="F511" i="1"/>
  <c r="C241" i="1"/>
  <c r="F241" i="1"/>
  <c r="C242" i="1"/>
  <c r="F242" i="1"/>
  <c r="D242" i="1" s="1"/>
  <c r="G242" i="1" s="1"/>
  <c r="H242" i="1" s="1"/>
  <c r="B264" i="1" s="1"/>
  <c r="C243" i="1"/>
  <c r="F243" i="1"/>
  <c r="C244" i="1"/>
  <c r="F244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C792" i="1"/>
  <c r="C793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C716" i="1"/>
  <c r="C715" i="1"/>
  <c r="C721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C642" i="1"/>
  <c r="C643" i="1"/>
  <c r="C651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C574" i="1"/>
  <c r="C575" i="1"/>
  <c r="C581" i="1"/>
  <c r="C576" i="1"/>
  <c r="B573" i="1"/>
  <c r="C573" i="1" s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C512" i="1"/>
  <c r="C509" i="1"/>
  <c r="C508" i="1"/>
  <c r="B507" i="1"/>
  <c r="C507" i="1" s="1"/>
  <c r="B506" i="1"/>
  <c r="C506" i="1" s="1"/>
  <c r="B505" i="1"/>
  <c r="C505" i="1" s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42" i="1" s="1"/>
  <c r="C434" i="1"/>
  <c r="D434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F365" i="1"/>
  <c r="F431" i="1" s="1"/>
  <c r="B444" i="1" s="1"/>
  <c r="C444" i="1" s="1"/>
  <c r="F366" i="1"/>
  <c r="F432" i="1" s="1"/>
  <c r="F367" i="1"/>
  <c r="F433" i="1" s="1"/>
  <c r="F368" i="1"/>
  <c r="F434" i="1" s="1"/>
  <c r="F364" i="1"/>
  <c r="B377" i="1" s="1"/>
  <c r="C377" i="1" s="1"/>
  <c r="E365" i="1"/>
  <c r="E431" i="1" s="1"/>
  <c r="B439" i="1" s="1"/>
  <c r="C439" i="1" s="1"/>
  <c r="E366" i="1"/>
  <c r="E432" i="1" s="1"/>
  <c r="B440" i="1" s="1"/>
  <c r="C440" i="1" s="1"/>
  <c r="E367" i="1"/>
  <c r="E433" i="1" s="1"/>
  <c r="B441" i="1" s="1"/>
  <c r="C441" i="1" s="1"/>
  <c r="E368" i="1"/>
  <c r="E434" i="1" s="1"/>
  <c r="E364" i="1"/>
  <c r="B296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17" i="1"/>
  <c r="E296" i="1"/>
  <c r="E295" i="1"/>
  <c r="E294" i="1"/>
  <c r="B292" i="1"/>
  <c r="B290" i="1"/>
  <c r="D285" i="1"/>
  <c r="D286" i="1"/>
  <c r="D287" i="1"/>
  <c r="D288" i="1"/>
  <c r="F75" i="1"/>
  <c r="D84" i="1"/>
  <c r="I831" i="1" l="1"/>
  <c r="F784" i="1"/>
  <c r="F785" i="1"/>
  <c r="B261" i="1"/>
  <c r="B263" i="1"/>
  <c r="B262" i="1"/>
  <c r="B260" i="1"/>
  <c r="D243" i="1"/>
  <c r="G243" i="1" s="1"/>
  <c r="H243" i="1" s="1"/>
  <c r="D244" i="1"/>
  <c r="G244" i="1" s="1"/>
  <c r="H244" i="1" s="1"/>
  <c r="D241" i="1"/>
  <c r="G241" i="1" s="1"/>
  <c r="H241" i="1" s="1"/>
  <c r="E288" i="1"/>
  <c r="D444" i="1"/>
  <c r="E444" i="1" s="1"/>
  <c r="F444" i="1" s="1"/>
  <c r="B375" i="1"/>
  <c r="C375" i="1" s="1"/>
  <c r="D375" i="1" s="1"/>
  <c r="E375" i="1" s="1"/>
  <c r="D439" i="1"/>
  <c r="E439" i="1" s="1"/>
  <c r="F439" i="1" s="1"/>
  <c r="B376" i="1"/>
  <c r="C376" i="1" s="1"/>
  <c r="D376" i="1" s="1"/>
  <c r="E376" i="1" s="1"/>
  <c r="D508" i="1"/>
  <c r="E508" i="1" s="1"/>
  <c r="D642" i="1"/>
  <c r="E642" i="1" s="1"/>
  <c r="D377" i="1"/>
  <c r="E377" i="1" s="1"/>
  <c r="D440" i="1"/>
  <c r="E440" i="1" s="1"/>
  <c r="F440" i="1" s="1"/>
  <c r="E286" i="1"/>
  <c r="C443" i="1"/>
  <c r="D443" i="1" s="1"/>
  <c r="E443" i="1" s="1"/>
  <c r="B293" i="1"/>
  <c r="E285" i="1"/>
  <c r="D442" i="1"/>
  <c r="E442" i="1" s="1"/>
  <c r="D793" i="1"/>
  <c r="E793" i="1" s="1"/>
  <c r="F793" i="1" s="1"/>
  <c r="D574" i="1"/>
  <c r="E574" i="1" s="1"/>
  <c r="D715" i="1"/>
  <c r="E715" i="1" s="1"/>
  <c r="D505" i="1"/>
  <c r="E505" i="1" s="1"/>
  <c r="D441" i="1"/>
  <c r="E441" i="1" s="1"/>
  <c r="F441" i="1" s="1"/>
  <c r="D573" i="1"/>
  <c r="E573" i="1" s="1"/>
  <c r="D509" i="1"/>
  <c r="E509" i="1" s="1"/>
  <c r="E284" i="1"/>
  <c r="D575" i="1"/>
  <c r="E575" i="1" s="1"/>
  <c r="D721" i="1"/>
  <c r="E721" i="1" s="1"/>
  <c r="F721" i="1" s="1"/>
  <c r="D576" i="1"/>
  <c r="E576" i="1" s="1"/>
  <c r="F576" i="1" s="1"/>
  <c r="E287" i="1"/>
  <c r="D512" i="1"/>
  <c r="E512" i="1" s="1"/>
  <c r="F512" i="1" s="1"/>
  <c r="D581" i="1"/>
  <c r="E581" i="1" s="1"/>
  <c r="F581" i="1" s="1"/>
  <c r="D506" i="1"/>
  <c r="E506" i="1" s="1"/>
  <c r="F506" i="1" s="1"/>
  <c r="D643" i="1"/>
  <c r="E643" i="1" s="1"/>
  <c r="D507" i="1"/>
  <c r="E507" i="1" s="1"/>
  <c r="F507" i="1" s="1"/>
  <c r="D651" i="1"/>
  <c r="E651" i="1" s="1"/>
  <c r="F651" i="1" s="1"/>
  <c r="D716" i="1"/>
  <c r="E716" i="1" s="1"/>
  <c r="D792" i="1"/>
  <c r="E792" i="1" s="1"/>
  <c r="B374" i="1"/>
  <c r="C374" i="1" s="1"/>
  <c r="D374" i="1" s="1"/>
  <c r="E374" i="1" s="1"/>
  <c r="C373" i="1"/>
  <c r="D373" i="1" s="1"/>
  <c r="E373" i="1" s="1"/>
  <c r="F430" i="1"/>
  <c r="E430" i="1"/>
  <c r="B438" i="1" s="1"/>
  <c r="C438" i="1" s="1"/>
  <c r="D438" i="1" s="1"/>
  <c r="E438" i="1" s="1"/>
  <c r="B259" i="1" l="1"/>
  <c r="B257" i="1"/>
  <c r="B258" i="1"/>
  <c r="B268" i="1"/>
  <c r="B266" i="1"/>
  <c r="B267" i="1"/>
  <c r="B265" i="1"/>
  <c r="B269" i="1"/>
  <c r="B270" i="1"/>
  <c r="B272" i="1"/>
  <c r="B271" i="1"/>
  <c r="B273" i="1"/>
  <c r="B274" i="1"/>
  <c r="F509" i="1"/>
  <c r="F442" i="1"/>
  <c r="F642" i="1"/>
  <c r="F508" i="1"/>
  <c r="F443" i="1"/>
  <c r="B295" i="1"/>
  <c r="B298" i="1" s="1"/>
  <c r="B299" i="1" s="1"/>
  <c r="B300" i="1" s="1"/>
  <c r="B845" i="1" s="1"/>
  <c r="B849" i="1" s="1"/>
  <c r="B723" i="1"/>
  <c r="B379" i="1"/>
  <c r="F792" i="1"/>
  <c r="F643" i="1"/>
  <c r="F575" i="1"/>
  <c r="F574" i="1"/>
  <c r="B446" i="1"/>
  <c r="F438" i="1"/>
  <c r="F573" i="1"/>
  <c r="B583" i="1"/>
  <c r="B653" i="1"/>
  <c r="F715" i="1"/>
  <c r="F716" i="1"/>
  <c r="B795" i="1"/>
  <c r="F505" i="1"/>
  <c r="B514" i="1"/>
  <c r="B515" i="1" l="1"/>
  <c r="B654" i="1"/>
  <c r="B696" i="1" s="1"/>
  <c r="B447" i="1"/>
  <c r="B486" i="1" s="1"/>
  <c r="B796" i="1"/>
  <c r="B833" i="1" s="1"/>
  <c r="B380" i="1"/>
  <c r="B584" i="1"/>
  <c r="B612" i="1" s="1"/>
  <c r="B724" i="1"/>
  <c r="B751" i="1" s="1"/>
  <c r="E854" i="1"/>
  <c r="E855" i="1" s="1"/>
  <c r="F854" i="1"/>
  <c r="F855" i="1" s="1"/>
  <c r="B854" i="1"/>
  <c r="B855" i="1" s="1"/>
  <c r="D854" i="1"/>
  <c r="D855" i="1" s="1"/>
  <c r="C854" i="1"/>
  <c r="C855" i="1" s="1"/>
  <c r="B421" i="1" l="1"/>
  <c r="B407" i="1"/>
  <c r="B408" i="1"/>
  <c r="B405" i="1"/>
  <c r="B406" i="1"/>
  <c r="B540" i="1"/>
  <c r="B541" i="1"/>
  <c r="B542" i="1"/>
  <c r="B543" i="1"/>
  <c r="B479" i="1"/>
  <c r="B483" i="1"/>
  <c r="B481" i="1"/>
  <c r="B487" i="1"/>
  <c r="B554" i="1"/>
  <c r="B546" i="1"/>
  <c r="B477" i="1"/>
  <c r="B544" i="1"/>
  <c r="B548" i="1"/>
  <c r="B558" i="1"/>
  <c r="B545" i="1"/>
  <c r="B553" i="1"/>
  <c r="B552" i="1"/>
  <c r="B551" i="1"/>
  <c r="B488" i="1"/>
  <c r="B557" i="1"/>
  <c r="B550" i="1"/>
  <c r="B559" i="1"/>
  <c r="B556" i="1"/>
  <c r="B549" i="1"/>
  <c r="B475" i="1"/>
  <c r="B555" i="1"/>
  <c r="B547" i="1"/>
  <c r="B410" i="1"/>
  <c r="B415" i="1"/>
  <c r="B473" i="1"/>
  <c r="B413" i="1"/>
  <c r="B489" i="1"/>
  <c r="B476" i="1"/>
  <c r="B482" i="1"/>
  <c r="B625" i="1"/>
  <c r="B490" i="1"/>
  <c r="B472" i="1"/>
  <c r="B474" i="1"/>
  <c r="B756" i="1"/>
  <c r="B491" i="1"/>
  <c r="B485" i="1"/>
  <c r="B478" i="1"/>
  <c r="B626" i="1"/>
  <c r="B686" i="1"/>
  <c r="B688" i="1"/>
  <c r="B682" i="1"/>
  <c r="B680" i="1"/>
  <c r="B763" i="1"/>
  <c r="B689" i="1"/>
  <c r="B694" i="1"/>
  <c r="B685" i="1"/>
  <c r="B624" i="1"/>
  <c r="B750" i="1"/>
  <c r="B758" i="1"/>
  <c r="B698" i="1"/>
  <c r="B620" i="1"/>
  <c r="B755" i="1"/>
  <c r="B691" i="1"/>
  <c r="B623" i="1"/>
  <c r="B684" i="1"/>
  <c r="B616" i="1"/>
  <c r="B753" i="1"/>
  <c r="B480" i="1"/>
  <c r="B484" i="1"/>
  <c r="B683" i="1"/>
  <c r="B609" i="1"/>
  <c r="B764" i="1"/>
  <c r="B610" i="1"/>
  <c r="B621" i="1"/>
  <c r="B679" i="1"/>
  <c r="B695" i="1"/>
  <c r="B693" i="1"/>
  <c r="B622" i="1"/>
  <c r="B613" i="1"/>
  <c r="B692" i="1"/>
  <c r="B697" i="1"/>
  <c r="B627" i="1"/>
  <c r="B619" i="1"/>
  <c r="B618" i="1"/>
  <c r="B765" i="1"/>
  <c r="B687" i="1"/>
  <c r="B681" i="1"/>
  <c r="B611" i="1"/>
  <c r="B628" i="1"/>
  <c r="B617" i="1"/>
  <c r="B768" i="1"/>
  <c r="B690" i="1"/>
  <c r="B614" i="1"/>
  <c r="B615" i="1"/>
  <c r="B759" i="1"/>
  <c r="B766" i="1"/>
  <c r="B836" i="1"/>
  <c r="B823" i="1"/>
  <c r="B825" i="1"/>
  <c r="B761" i="1"/>
  <c r="B767" i="1"/>
  <c r="B840" i="1"/>
  <c r="B832" i="1"/>
  <c r="B409" i="1"/>
  <c r="B422" i="1"/>
  <c r="B757" i="1"/>
  <c r="B760" i="1"/>
  <c r="B828" i="1"/>
  <c r="B822" i="1"/>
  <c r="B824" i="1"/>
  <c r="B417" i="1"/>
  <c r="B420" i="1"/>
  <c r="B830" i="1"/>
  <c r="B835" i="1"/>
  <c r="B424" i="1"/>
  <c r="B414" i="1"/>
  <c r="B749" i="1"/>
  <c r="B752" i="1"/>
  <c r="B827" i="1"/>
  <c r="B834" i="1"/>
  <c r="B837" i="1"/>
  <c r="B419" i="1"/>
  <c r="B416" i="1"/>
  <c r="B839" i="1"/>
  <c r="B831" i="1"/>
  <c r="B829" i="1"/>
  <c r="B411" i="1"/>
  <c r="B412" i="1"/>
  <c r="B838" i="1"/>
  <c r="B821" i="1"/>
  <c r="B418" i="1"/>
  <c r="B423" i="1"/>
  <c r="B762" i="1"/>
  <c r="B754" i="1"/>
  <c r="B826" i="1"/>
  <c r="B37" i="1" l="1"/>
  <c r="F226" i="1" l="1"/>
  <c r="C278" i="1" s="1"/>
  <c r="F227" i="1"/>
  <c r="F228" i="1"/>
  <c r="G251" i="1"/>
  <c r="H251" i="1" s="1"/>
  <c r="G250" i="1"/>
  <c r="H250" i="1" s="1"/>
  <c r="G249" i="1"/>
  <c r="H249" i="1" s="1"/>
  <c r="G248" i="1"/>
  <c r="H248" i="1" s="1"/>
  <c r="G247" i="1"/>
  <c r="H247" i="1" s="1"/>
  <c r="B148" i="1"/>
  <c r="C148" i="1"/>
  <c r="E148" i="1"/>
  <c r="F148" i="1"/>
  <c r="G148" i="1"/>
  <c r="G220" i="1"/>
  <c r="H232" i="1" s="1"/>
  <c r="F220" i="1"/>
  <c r="H231" i="1" s="1"/>
  <c r="E220" i="1"/>
  <c r="C220" i="1"/>
  <c r="H234" i="1" s="1"/>
  <c r="B220" i="1"/>
  <c r="G184" i="1"/>
  <c r="F184" i="1"/>
  <c r="E184" i="1"/>
  <c r="C184" i="1"/>
  <c r="B184" i="1"/>
  <c r="G112" i="1"/>
  <c r="F112" i="1"/>
  <c r="E112" i="1"/>
  <c r="C112" i="1"/>
  <c r="B112" i="1"/>
  <c r="F199" i="1"/>
  <c r="F200" i="1" s="1"/>
  <c r="F163" i="1"/>
  <c r="F164" i="1" s="1"/>
  <c r="F127" i="1"/>
  <c r="F128" i="1" s="1"/>
  <c r="F91" i="1"/>
  <c r="F92" i="1" s="1"/>
  <c r="F232" i="1"/>
  <c r="F233" i="1"/>
  <c r="F234" i="1"/>
  <c r="F235" i="1"/>
  <c r="F231" i="1"/>
  <c r="B235" i="1"/>
  <c r="E235" i="1" s="1"/>
  <c r="B234" i="1"/>
  <c r="D234" i="1" s="1"/>
  <c r="G234" i="1" s="1"/>
  <c r="B233" i="1"/>
  <c r="D233" i="1" s="1"/>
  <c r="G233" i="1" s="1"/>
  <c r="B232" i="1"/>
  <c r="E232" i="1" s="1"/>
  <c r="B231" i="1"/>
  <c r="E231" i="1" s="1"/>
  <c r="D265" i="1" l="1"/>
  <c r="E265" i="1" s="1"/>
  <c r="D270" i="1"/>
  <c r="E270" i="1" s="1"/>
  <c r="D260" i="1"/>
  <c r="E260" i="1" s="1"/>
  <c r="D272" i="1"/>
  <c r="E272" i="1" s="1"/>
  <c r="D267" i="1"/>
  <c r="E267" i="1" s="1"/>
  <c r="D262" i="1"/>
  <c r="E262" i="1" s="1"/>
  <c r="D257" i="1"/>
  <c r="E257" i="1" s="1"/>
  <c r="D258" i="1"/>
  <c r="E258" i="1" s="1"/>
  <c r="D263" i="1"/>
  <c r="E263" i="1" s="1"/>
  <c r="D273" i="1"/>
  <c r="E273" i="1" s="1"/>
  <c r="D268" i="1"/>
  <c r="E268" i="1" s="1"/>
  <c r="D269" i="1"/>
  <c r="E269" i="1" s="1"/>
  <c r="D274" i="1"/>
  <c r="E274" i="1" s="1"/>
  <c r="D259" i="1"/>
  <c r="E259" i="1" s="1"/>
  <c r="D264" i="1"/>
  <c r="E264" i="1" s="1"/>
  <c r="D266" i="1"/>
  <c r="E266" i="1" s="1"/>
  <c r="D271" i="1"/>
  <c r="E271" i="1" s="1"/>
  <c r="D261" i="1"/>
  <c r="E261" i="1" s="1"/>
  <c r="D148" i="1"/>
  <c r="B149" i="1" s="1"/>
  <c r="D814" i="1"/>
  <c r="D727" i="1"/>
  <c r="D667" i="1"/>
  <c r="D657" i="1"/>
  <c r="D672" i="1"/>
  <c r="D809" i="1"/>
  <c r="D804" i="1"/>
  <c r="D799" i="1"/>
  <c r="D518" i="1"/>
  <c r="D742" i="1"/>
  <c r="D662" i="1"/>
  <c r="D587" i="1"/>
  <c r="D523" i="1"/>
  <c r="D455" i="1"/>
  <c r="D732" i="1"/>
  <c r="D533" i="1"/>
  <c r="D597" i="1"/>
  <c r="D460" i="1"/>
  <c r="D602" i="1"/>
  <c r="D592" i="1"/>
  <c r="D528" i="1"/>
  <c r="D450" i="1"/>
  <c r="D737" i="1"/>
  <c r="D465" i="1"/>
  <c r="D800" i="1"/>
  <c r="D663" i="1"/>
  <c r="D815" i="1"/>
  <c r="D524" i="1"/>
  <c r="D743" i="1"/>
  <c r="D466" i="1"/>
  <c r="D738" i="1"/>
  <c r="D728" i="1"/>
  <c r="D733" i="1"/>
  <c r="D519" i="1"/>
  <c r="D598" i="1"/>
  <c r="D593" i="1"/>
  <c r="D529" i="1"/>
  <c r="D805" i="1"/>
  <c r="D658" i="1"/>
  <c r="D603" i="1"/>
  <c r="D588" i="1"/>
  <c r="D668" i="1"/>
  <c r="D456" i="1"/>
  <c r="D534" i="1"/>
  <c r="D451" i="1"/>
  <c r="D810" i="1"/>
  <c r="D673" i="1"/>
  <c r="D461" i="1"/>
  <c r="B803" i="1"/>
  <c r="B801" i="1"/>
  <c r="B730" i="1"/>
  <c r="B728" i="1"/>
  <c r="B802" i="1"/>
  <c r="B731" i="1"/>
  <c r="B729" i="1"/>
  <c r="B657" i="1"/>
  <c r="B661" i="1"/>
  <c r="B659" i="1"/>
  <c r="B590" i="1"/>
  <c r="B588" i="1"/>
  <c r="B799" i="1"/>
  <c r="B589" i="1"/>
  <c r="B453" i="1"/>
  <c r="B591" i="1"/>
  <c r="B522" i="1"/>
  <c r="B451" i="1"/>
  <c r="B519" i="1"/>
  <c r="B658" i="1"/>
  <c r="B521" i="1"/>
  <c r="B520" i="1"/>
  <c r="B660" i="1"/>
  <c r="B452" i="1"/>
  <c r="B587" i="1"/>
  <c r="B383" i="1"/>
  <c r="B800" i="1"/>
  <c r="B727" i="1"/>
  <c r="B518" i="1"/>
  <c r="B454" i="1"/>
  <c r="B450" i="1"/>
  <c r="B807" i="1"/>
  <c r="B805" i="1"/>
  <c r="B734" i="1"/>
  <c r="B732" i="1"/>
  <c r="B808" i="1"/>
  <c r="B806" i="1"/>
  <c r="B804" i="1"/>
  <c r="B735" i="1"/>
  <c r="B733" i="1"/>
  <c r="B666" i="1"/>
  <c r="B596" i="1"/>
  <c r="B594" i="1"/>
  <c r="B592" i="1"/>
  <c r="B736" i="1"/>
  <c r="B525" i="1"/>
  <c r="B459" i="1"/>
  <c r="B664" i="1"/>
  <c r="B527" i="1"/>
  <c r="B593" i="1"/>
  <c r="B457" i="1"/>
  <c r="B455" i="1"/>
  <c r="B524" i="1"/>
  <c r="B595" i="1"/>
  <c r="B663" i="1"/>
  <c r="B665" i="1"/>
  <c r="B526" i="1"/>
  <c r="B523" i="1"/>
  <c r="B458" i="1"/>
  <c r="B456" i="1"/>
  <c r="B662" i="1"/>
  <c r="B810" i="1"/>
  <c r="B741" i="1"/>
  <c r="B739" i="1"/>
  <c r="B737" i="1"/>
  <c r="B671" i="1"/>
  <c r="B669" i="1"/>
  <c r="B812" i="1"/>
  <c r="B600" i="1"/>
  <c r="B598" i="1"/>
  <c r="B670" i="1"/>
  <c r="B668" i="1"/>
  <c r="B532" i="1"/>
  <c r="B530" i="1"/>
  <c r="B528" i="1"/>
  <c r="B811" i="1"/>
  <c r="B809" i="1"/>
  <c r="B738" i="1"/>
  <c r="B667" i="1"/>
  <c r="B601" i="1"/>
  <c r="B599" i="1"/>
  <c r="B597" i="1"/>
  <c r="B463" i="1"/>
  <c r="B461" i="1"/>
  <c r="B529" i="1"/>
  <c r="B531" i="1"/>
  <c r="B464" i="1"/>
  <c r="B462" i="1"/>
  <c r="B460" i="1"/>
  <c r="B740" i="1"/>
  <c r="B813" i="1"/>
  <c r="D812" i="1"/>
  <c r="D745" i="1"/>
  <c r="D665" i="1"/>
  <c r="D817" i="1"/>
  <c r="D807" i="1"/>
  <c r="D526" i="1"/>
  <c r="D468" i="1"/>
  <c r="D605" i="1"/>
  <c r="D740" i="1"/>
  <c r="D730" i="1"/>
  <c r="D660" i="1"/>
  <c r="F660" i="1" s="1"/>
  <c r="C682" i="1" s="1"/>
  <c r="E682" i="1" s="1"/>
  <c r="D521" i="1"/>
  <c r="D802" i="1"/>
  <c r="D536" i="1"/>
  <c r="D453" i="1"/>
  <c r="D595" i="1"/>
  <c r="D531" i="1"/>
  <c r="D735" i="1"/>
  <c r="D600" i="1"/>
  <c r="D590" i="1"/>
  <c r="F590" i="1" s="1"/>
  <c r="C612" i="1" s="1"/>
  <c r="E612" i="1" s="1"/>
  <c r="D458" i="1"/>
  <c r="D463" i="1"/>
  <c r="D670" i="1"/>
  <c r="D675" i="1"/>
  <c r="D818" i="1"/>
  <c r="D661" i="1"/>
  <c r="F661" i="1" s="1"/>
  <c r="C683" i="1" s="1"/>
  <c r="E683" i="1" s="1"/>
  <c r="D813" i="1"/>
  <c r="D746" i="1"/>
  <c r="D741" i="1"/>
  <c r="D522" i="1"/>
  <c r="F522" i="1" s="1"/>
  <c r="C544" i="1" s="1"/>
  <c r="E544" i="1" s="1"/>
  <c r="D736" i="1"/>
  <c r="F736" i="1" s="1"/>
  <c r="C758" i="1" s="1"/>
  <c r="E758" i="1" s="1"/>
  <c r="D731" i="1"/>
  <c r="F731" i="1" s="1"/>
  <c r="C753" i="1" s="1"/>
  <c r="E753" i="1" s="1"/>
  <c r="D803" i="1"/>
  <c r="F803" i="1" s="1"/>
  <c r="C825" i="1" s="1"/>
  <c r="E825" i="1" s="1"/>
  <c r="D671" i="1"/>
  <c r="D469" i="1"/>
  <c r="D666" i="1"/>
  <c r="D808" i="1"/>
  <c r="D464" i="1"/>
  <c r="D676" i="1"/>
  <c r="D454" i="1"/>
  <c r="F454" i="1" s="1"/>
  <c r="C476" i="1" s="1"/>
  <c r="E476" i="1" s="1"/>
  <c r="D537" i="1"/>
  <c r="D601" i="1"/>
  <c r="D527" i="1"/>
  <c r="D606" i="1"/>
  <c r="D596" i="1"/>
  <c r="D532" i="1"/>
  <c r="F532" i="1" s="1"/>
  <c r="C554" i="1" s="1"/>
  <c r="E554" i="1" s="1"/>
  <c r="D591" i="1"/>
  <c r="D459" i="1"/>
  <c r="B743" i="1"/>
  <c r="B675" i="1"/>
  <c r="B673" i="1"/>
  <c r="B746" i="1"/>
  <c r="B602" i="1"/>
  <c r="B536" i="1"/>
  <c r="B817" i="1"/>
  <c r="B534" i="1"/>
  <c r="B814" i="1"/>
  <c r="B745" i="1"/>
  <c r="B816" i="1"/>
  <c r="B676" i="1"/>
  <c r="B603" i="1"/>
  <c r="B537" i="1"/>
  <c r="B535" i="1"/>
  <c r="B606" i="1"/>
  <c r="B465" i="1"/>
  <c r="B742" i="1"/>
  <c r="B672" i="1"/>
  <c r="B467" i="1"/>
  <c r="B815" i="1"/>
  <c r="B674" i="1"/>
  <c r="B818" i="1"/>
  <c r="B744" i="1"/>
  <c r="B605" i="1"/>
  <c r="B469" i="1"/>
  <c r="B533" i="1"/>
  <c r="B466" i="1"/>
  <c r="B604" i="1"/>
  <c r="B468" i="1"/>
  <c r="D816" i="1"/>
  <c r="D811" i="1"/>
  <c r="D744" i="1"/>
  <c r="D659" i="1"/>
  <c r="F659" i="1" s="1"/>
  <c r="C681" i="1" s="1"/>
  <c r="E681" i="1" s="1"/>
  <c r="D734" i="1"/>
  <c r="D520" i="1"/>
  <c r="F520" i="1" s="1"/>
  <c r="C542" i="1" s="1"/>
  <c r="E542" i="1" s="1"/>
  <c r="D674" i="1"/>
  <c r="D801" i="1"/>
  <c r="D806" i="1"/>
  <c r="D525" i="1"/>
  <c r="D467" i="1"/>
  <c r="D739" i="1"/>
  <c r="D729" i="1"/>
  <c r="D669" i="1"/>
  <c r="D457" i="1"/>
  <c r="F457" i="1" s="1"/>
  <c r="C479" i="1" s="1"/>
  <c r="E479" i="1" s="1"/>
  <c r="D535" i="1"/>
  <c r="D462" i="1"/>
  <c r="D452" i="1"/>
  <c r="D664" i="1"/>
  <c r="D604" i="1"/>
  <c r="D599" i="1"/>
  <c r="D594" i="1"/>
  <c r="D530" i="1"/>
  <c r="D589" i="1"/>
  <c r="D321" i="1"/>
  <c r="D397" i="1"/>
  <c r="D331" i="1"/>
  <c r="D387" i="1"/>
  <c r="D402" i="1"/>
  <c r="D326" i="1"/>
  <c r="D336" i="1"/>
  <c r="D392" i="1"/>
  <c r="D322" i="1"/>
  <c r="D393" i="1"/>
  <c r="D383" i="1"/>
  <c r="D332" i="1"/>
  <c r="D317" i="1"/>
  <c r="D398" i="1"/>
  <c r="D388" i="1"/>
  <c r="D327" i="1"/>
  <c r="E149" i="1"/>
  <c r="D328" i="1"/>
  <c r="D399" i="1"/>
  <c r="D389" i="1"/>
  <c r="D323" i="1"/>
  <c r="D318" i="1"/>
  <c r="D333" i="1"/>
  <c r="D384" i="1"/>
  <c r="D394" i="1"/>
  <c r="D255" i="1"/>
  <c r="E255" i="1" s="1"/>
  <c r="E221" i="1"/>
  <c r="D329" i="1"/>
  <c r="D395" i="1"/>
  <c r="D319" i="1"/>
  <c r="D385" i="1"/>
  <c r="D324" i="1"/>
  <c r="D400" i="1"/>
  <c r="D334" i="1"/>
  <c r="D390" i="1"/>
  <c r="C277" i="1"/>
  <c r="B318" i="1"/>
  <c r="B386" i="1"/>
  <c r="B384" i="1"/>
  <c r="B319" i="1"/>
  <c r="B320" i="1"/>
  <c r="B321" i="1"/>
  <c r="B317" i="1"/>
  <c r="B387" i="1"/>
  <c r="B385" i="1"/>
  <c r="D386" i="1"/>
  <c r="D401" i="1"/>
  <c r="D330" i="1"/>
  <c r="D320" i="1"/>
  <c r="F320" i="1" s="1"/>
  <c r="C342" i="1" s="1"/>
  <c r="D391" i="1"/>
  <c r="D325" i="1"/>
  <c r="D396" i="1"/>
  <c r="D335" i="1"/>
  <c r="C281" i="1"/>
  <c r="E185" i="1"/>
  <c r="D220" i="1"/>
  <c r="H233" i="1"/>
  <c r="B392" i="1"/>
  <c r="B390" i="1"/>
  <c r="B388" i="1"/>
  <c r="B322" i="1"/>
  <c r="B323" i="1"/>
  <c r="B391" i="1"/>
  <c r="B389" i="1"/>
  <c r="B324" i="1"/>
  <c r="B325" i="1"/>
  <c r="B326" i="1"/>
  <c r="C280" i="1"/>
  <c r="B396" i="1"/>
  <c r="B394" i="1"/>
  <c r="B330" i="1"/>
  <c r="B331" i="1"/>
  <c r="B327" i="1"/>
  <c r="B329" i="1"/>
  <c r="B397" i="1"/>
  <c r="B395" i="1"/>
  <c r="B393" i="1"/>
  <c r="B328" i="1"/>
  <c r="D256" i="1"/>
  <c r="E256" i="1" s="1"/>
  <c r="C279" i="1"/>
  <c r="F149" i="1"/>
  <c r="D184" i="1"/>
  <c r="G185" i="1" s="1"/>
  <c r="D149" i="1"/>
  <c r="B398" i="1"/>
  <c r="B333" i="1"/>
  <c r="B334" i="1"/>
  <c r="B401" i="1"/>
  <c r="B335" i="1"/>
  <c r="B399" i="1"/>
  <c r="B336" i="1"/>
  <c r="B402" i="1"/>
  <c r="B332" i="1"/>
  <c r="B400" i="1"/>
  <c r="B221" i="1"/>
  <c r="C221" i="1"/>
  <c r="D221" i="1"/>
  <c r="E113" i="1"/>
  <c r="D112" i="1"/>
  <c r="B113" i="1" s="1"/>
  <c r="D231" i="1"/>
  <c r="G231" i="1" s="1"/>
  <c r="I231" i="1" s="1"/>
  <c r="B277" i="1" s="1"/>
  <c r="D235" i="1"/>
  <c r="G235" i="1" s="1"/>
  <c r="D232" i="1"/>
  <c r="G232" i="1" s="1"/>
  <c r="I232" i="1" s="1"/>
  <c r="B278" i="1" s="1"/>
  <c r="D278" i="1" s="1"/>
  <c r="E278" i="1" s="1"/>
  <c r="B308" i="1" s="1"/>
  <c r="C308" i="1" s="1"/>
  <c r="D308" i="1" s="1"/>
  <c r="E308" i="1" s="1"/>
  <c r="E234" i="1"/>
  <c r="I234" i="1" s="1"/>
  <c r="B280" i="1" s="1"/>
  <c r="E233" i="1"/>
  <c r="F591" i="1" l="1"/>
  <c r="C613" i="1" s="1"/>
  <c r="E613" i="1" s="1"/>
  <c r="F458" i="1"/>
  <c r="C480" i="1" s="1"/>
  <c r="E480" i="1" s="1"/>
  <c r="F391" i="1"/>
  <c r="C413" i="1" s="1"/>
  <c r="E413" i="1" s="1"/>
  <c r="F524" i="1"/>
  <c r="C546" i="1" s="1"/>
  <c r="E546" i="1" s="1"/>
  <c r="F530" i="1"/>
  <c r="C552" i="1" s="1"/>
  <c r="E552" i="1" s="1"/>
  <c r="F464" i="1"/>
  <c r="C486" i="1" s="1"/>
  <c r="E486" i="1" s="1"/>
  <c r="F674" i="1"/>
  <c r="C696" i="1" s="1"/>
  <c r="E696" i="1" s="1"/>
  <c r="F596" i="1"/>
  <c r="C618" i="1" s="1"/>
  <c r="E618" i="1" s="1"/>
  <c r="F802" i="1"/>
  <c r="C824" i="1" s="1"/>
  <c r="E824" i="1" s="1"/>
  <c r="F452" i="1"/>
  <c r="C474" i="1" s="1"/>
  <c r="E474" i="1" s="1"/>
  <c r="F729" i="1"/>
  <c r="C751" i="1" s="1"/>
  <c r="E751" i="1" s="1"/>
  <c r="F666" i="1"/>
  <c r="C688" i="1" s="1"/>
  <c r="E688" i="1" s="1"/>
  <c r="F531" i="1"/>
  <c r="C553" i="1" s="1"/>
  <c r="E553" i="1" s="1"/>
  <c r="F671" i="1"/>
  <c r="C693" i="1" s="1"/>
  <c r="E693" i="1" s="1"/>
  <c r="F739" i="1"/>
  <c r="C761" i="1" s="1"/>
  <c r="E761" i="1" s="1"/>
  <c r="G149" i="1"/>
  <c r="C149" i="1"/>
  <c r="F813" i="1"/>
  <c r="C835" i="1" s="1"/>
  <c r="E835" i="1" s="1"/>
  <c r="F389" i="1"/>
  <c r="C411" i="1" s="1"/>
  <c r="E411" i="1" s="1"/>
  <c r="F317" i="1"/>
  <c r="C339" i="1" s="1"/>
  <c r="F816" i="1"/>
  <c r="C838" i="1" s="1"/>
  <c r="E838" i="1" s="1"/>
  <c r="F734" i="1"/>
  <c r="C756" i="1" s="1"/>
  <c r="E756" i="1" s="1"/>
  <c r="F453" i="1"/>
  <c r="C475" i="1" s="1"/>
  <c r="E475" i="1" s="1"/>
  <c r="F462" i="1"/>
  <c r="C484" i="1" s="1"/>
  <c r="E484" i="1" s="1"/>
  <c r="F525" i="1"/>
  <c r="C547" i="1" s="1"/>
  <c r="E547" i="1" s="1"/>
  <c r="F601" i="1"/>
  <c r="C623" i="1" s="1"/>
  <c r="E623" i="1" s="1"/>
  <c r="F334" i="1"/>
  <c r="C356" i="1" s="1"/>
  <c r="F594" i="1"/>
  <c r="C616" i="1" s="1"/>
  <c r="E616" i="1" s="1"/>
  <c r="F801" i="1"/>
  <c r="C823" i="1" s="1"/>
  <c r="E823" i="1" s="1"/>
  <c r="F459" i="1"/>
  <c r="C481" i="1" s="1"/>
  <c r="E481" i="1" s="1"/>
  <c r="F537" i="1"/>
  <c r="C559" i="1" s="1"/>
  <c r="E559" i="1" s="1"/>
  <c r="F469" i="1"/>
  <c r="C491" i="1" s="1"/>
  <c r="E491" i="1" s="1"/>
  <c r="F675" i="1"/>
  <c r="C697" i="1" s="1"/>
  <c r="E697" i="1" s="1"/>
  <c r="F595" i="1"/>
  <c r="C617" i="1" s="1"/>
  <c r="E617" i="1" s="1"/>
  <c r="F521" i="1"/>
  <c r="C543" i="1" s="1"/>
  <c r="E543" i="1" s="1"/>
  <c r="F732" i="1"/>
  <c r="C754" i="1" s="1"/>
  <c r="E754" i="1" s="1"/>
  <c r="F518" i="1"/>
  <c r="C540" i="1" s="1"/>
  <c r="E540" i="1" s="1"/>
  <c r="F330" i="1"/>
  <c r="C352" i="1" s="1"/>
  <c r="F599" i="1"/>
  <c r="C621" i="1" s="1"/>
  <c r="E621" i="1" s="1"/>
  <c r="F669" i="1"/>
  <c r="C691" i="1" s="1"/>
  <c r="E691" i="1" s="1"/>
  <c r="F670" i="1"/>
  <c r="C692" i="1" s="1"/>
  <c r="E692" i="1" s="1"/>
  <c r="F740" i="1"/>
  <c r="C762" i="1" s="1"/>
  <c r="E762" i="1" s="1"/>
  <c r="F810" i="1"/>
  <c r="C832" i="1" s="1"/>
  <c r="E832" i="1" s="1"/>
  <c r="F658" i="1"/>
  <c r="C680" i="1" s="1"/>
  <c r="E680" i="1" s="1"/>
  <c r="F663" i="1"/>
  <c r="C685" i="1" s="1"/>
  <c r="E685" i="1" s="1"/>
  <c r="F808" i="1"/>
  <c r="C830" i="1" s="1"/>
  <c r="E830" i="1" s="1"/>
  <c r="F604" i="1"/>
  <c r="C626" i="1" s="1"/>
  <c r="E626" i="1" s="1"/>
  <c r="F589" i="1"/>
  <c r="C611" i="1" s="1"/>
  <c r="E611" i="1" s="1"/>
  <c r="F600" i="1"/>
  <c r="C622" i="1" s="1"/>
  <c r="E622" i="1" s="1"/>
  <c r="F806" i="1"/>
  <c r="C828" i="1" s="1"/>
  <c r="E828" i="1" s="1"/>
  <c r="F741" i="1"/>
  <c r="C763" i="1" s="1"/>
  <c r="E763" i="1" s="1"/>
  <c r="F384" i="1"/>
  <c r="C406" i="1" s="1"/>
  <c r="E406" i="1" s="1"/>
  <c r="F664" i="1"/>
  <c r="C686" i="1" s="1"/>
  <c r="E686" i="1" s="1"/>
  <c r="F730" i="1"/>
  <c r="C752" i="1" s="1"/>
  <c r="E752" i="1" s="1"/>
  <c r="F807" i="1"/>
  <c r="C829" i="1" s="1"/>
  <c r="E829" i="1" s="1"/>
  <c r="F588" i="1"/>
  <c r="C610" i="1" s="1"/>
  <c r="E610" i="1" s="1"/>
  <c r="F385" i="1"/>
  <c r="C407" i="1" s="1"/>
  <c r="E407" i="1" s="1"/>
  <c r="F746" i="1"/>
  <c r="C768" i="1" s="1"/>
  <c r="E768" i="1" s="1"/>
  <c r="F461" i="1"/>
  <c r="C483" i="1" s="1"/>
  <c r="E483" i="1" s="1"/>
  <c r="F733" i="1"/>
  <c r="C755" i="1" s="1"/>
  <c r="E755" i="1" s="1"/>
  <c r="F815" i="1"/>
  <c r="C837" i="1" s="1"/>
  <c r="E837" i="1" s="1"/>
  <c r="F465" i="1"/>
  <c r="C487" i="1" s="1"/>
  <c r="E487" i="1" s="1"/>
  <c r="F533" i="1"/>
  <c r="C555" i="1" s="1"/>
  <c r="E555" i="1" s="1"/>
  <c r="F817" i="1"/>
  <c r="C839" i="1" s="1"/>
  <c r="E839" i="1" s="1"/>
  <c r="F673" i="1"/>
  <c r="C695" i="1" s="1"/>
  <c r="E695" i="1" s="1"/>
  <c r="F603" i="1"/>
  <c r="C625" i="1" s="1"/>
  <c r="E625" i="1" s="1"/>
  <c r="F737" i="1"/>
  <c r="C759" i="1" s="1"/>
  <c r="E759" i="1" s="1"/>
  <c r="F667" i="1"/>
  <c r="C689" i="1" s="1"/>
  <c r="E689" i="1" s="1"/>
  <c r="F728" i="1"/>
  <c r="C750" i="1" s="1"/>
  <c r="E750" i="1" s="1"/>
  <c r="F450" i="1"/>
  <c r="C472" i="1" s="1"/>
  <c r="E472" i="1" s="1"/>
  <c r="F455" i="1"/>
  <c r="C477" i="1" s="1"/>
  <c r="E477" i="1" s="1"/>
  <c r="F799" i="1"/>
  <c r="C821" i="1" s="1"/>
  <c r="E821" i="1" s="1"/>
  <c r="F727" i="1"/>
  <c r="C749" i="1" s="1"/>
  <c r="E749" i="1" s="1"/>
  <c r="D277" i="1"/>
  <c r="E277" i="1" s="1"/>
  <c r="B307" i="1" s="1"/>
  <c r="C307" i="1" s="1"/>
  <c r="D307" i="1" s="1"/>
  <c r="E307" i="1" s="1"/>
  <c r="F402" i="1"/>
  <c r="C424" i="1" s="1"/>
  <c r="E424" i="1" s="1"/>
  <c r="F676" i="1"/>
  <c r="C698" i="1" s="1"/>
  <c r="E698" i="1" s="1"/>
  <c r="F463" i="1"/>
  <c r="C485" i="1" s="1"/>
  <c r="E485" i="1" s="1"/>
  <c r="F536" i="1"/>
  <c r="C558" i="1" s="1"/>
  <c r="E558" i="1" s="1"/>
  <c r="F665" i="1"/>
  <c r="C687" i="1" s="1"/>
  <c r="E687" i="1" s="1"/>
  <c r="F451" i="1"/>
  <c r="C473" i="1" s="1"/>
  <c r="E473" i="1" s="1"/>
  <c r="F805" i="1"/>
  <c r="C827" i="1" s="1"/>
  <c r="E827" i="1" s="1"/>
  <c r="F738" i="1"/>
  <c r="C760" i="1" s="1"/>
  <c r="E760" i="1" s="1"/>
  <c r="F800" i="1"/>
  <c r="C822" i="1" s="1"/>
  <c r="E822" i="1" s="1"/>
  <c r="F528" i="1"/>
  <c r="C550" i="1" s="1"/>
  <c r="E550" i="1" s="1"/>
  <c r="F804" i="1"/>
  <c r="C826" i="1" s="1"/>
  <c r="E826" i="1" s="1"/>
  <c r="F387" i="1"/>
  <c r="C409" i="1" s="1"/>
  <c r="E409" i="1" s="1"/>
  <c r="F467" i="1"/>
  <c r="C489" i="1" s="1"/>
  <c r="E489" i="1" s="1"/>
  <c r="F605" i="1"/>
  <c r="C627" i="1" s="1"/>
  <c r="E627" i="1" s="1"/>
  <c r="F534" i="1"/>
  <c r="C556" i="1" s="1"/>
  <c r="E556" i="1" s="1"/>
  <c r="F529" i="1"/>
  <c r="C551" i="1" s="1"/>
  <c r="E551" i="1" s="1"/>
  <c r="F466" i="1"/>
  <c r="C488" i="1" s="1"/>
  <c r="E488" i="1" s="1"/>
  <c r="F592" i="1"/>
  <c r="C614" i="1" s="1"/>
  <c r="E614" i="1" s="1"/>
  <c r="F523" i="1"/>
  <c r="C545" i="1" s="1"/>
  <c r="E545" i="1" s="1"/>
  <c r="F809" i="1"/>
  <c r="C831" i="1" s="1"/>
  <c r="E831" i="1" s="1"/>
  <c r="F814" i="1"/>
  <c r="C836" i="1" s="1"/>
  <c r="E836" i="1" s="1"/>
  <c r="F606" i="1"/>
  <c r="C628" i="1" s="1"/>
  <c r="E628" i="1" s="1"/>
  <c r="F456" i="1"/>
  <c r="C478" i="1" s="1"/>
  <c r="E478" i="1" s="1"/>
  <c r="F593" i="1"/>
  <c r="C615" i="1" s="1"/>
  <c r="E615" i="1" s="1"/>
  <c r="F743" i="1"/>
  <c r="C765" i="1" s="1"/>
  <c r="E765" i="1" s="1"/>
  <c r="F602" i="1"/>
  <c r="C624" i="1" s="1"/>
  <c r="E624" i="1" s="1"/>
  <c r="F587" i="1"/>
  <c r="C609" i="1" s="1"/>
  <c r="E609" i="1" s="1"/>
  <c r="F672" i="1"/>
  <c r="C694" i="1" s="1"/>
  <c r="E694" i="1" s="1"/>
  <c r="F390" i="1"/>
  <c r="C412" i="1" s="1"/>
  <c r="E412" i="1" s="1"/>
  <c r="F400" i="1"/>
  <c r="C422" i="1" s="1"/>
  <c r="E422" i="1" s="1"/>
  <c r="F328" i="1"/>
  <c r="C350" i="1" s="1"/>
  <c r="F744" i="1"/>
  <c r="C766" i="1" s="1"/>
  <c r="E766" i="1" s="1"/>
  <c r="F468" i="1"/>
  <c r="C490" i="1" s="1"/>
  <c r="E490" i="1" s="1"/>
  <c r="F745" i="1"/>
  <c r="C767" i="1" s="1"/>
  <c r="E767" i="1" s="1"/>
  <c r="F668" i="1"/>
  <c r="C690" i="1" s="1"/>
  <c r="E690" i="1" s="1"/>
  <c r="F598" i="1"/>
  <c r="C620" i="1" s="1"/>
  <c r="E620" i="1" s="1"/>
  <c r="F460" i="1"/>
  <c r="C482" i="1" s="1"/>
  <c r="E482" i="1" s="1"/>
  <c r="F662" i="1"/>
  <c r="C684" i="1" s="1"/>
  <c r="E684" i="1" s="1"/>
  <c r="F657" i="1"/>
  <c r="C679" i="1" s="1"/>
  <c r="E679" i="1" s="1"/>
  <c r="F399" i="1"/>
  <c r="C421" i="1" s="1"/>
  <c r="E421" i="1" s="1"/>
  <c r="F395" i="1"/>
  <c r="C417" i="1" s="1"/>
  <c r="E417" i="1" s="1"/>
  <c r="I233" i="1"/>
  <c r="B279" i="1" s="1"/>
  <c r="D279" i="1" s="1"/>
  <c r="E279" i="1" s="1"/>
  <c r="B309" i="1" s="1"/>
  <c r="C309" i="1" s="1"/>
  <c r="D309" i="1" s="1"/>
  <c r="E309" i="1" s="1"/>
  <c r="F401" i="1"/>
  <c r="C423" i="1" s="1"/>
  <c r="E423" i="1" s="1"/>
  <c r="F535" i="1"/>
  <c r="C557" i="1" s="1"/>
  <c r="E557" i="1" s="1"/>
  <c r="F811" i="1"/>
  <c r="C833" i="1" s="1"/>
  <c r="E833" i="1" s="1"/>
  <c r="F527" i="1"/>
  <c r="C549" i="1" s="1"/>
  <c r="E549" i="1" s="1"/>
  <c r="F818" i="1"/>
  <c r="C840" i="1" s="1"/>
  <c r="E840" i="1" s="1"/>
  <c r="F735" i="1"/>
  <c r="C757" i="1" s="1"/>
  <c r="E757" i="1" s="1"/>
  <c r="F526" i="1"/>
  <c r="C548" i="1" s="1"/>
  <c r="E548" i="1" s="1"/>
  <c r="F812" i="1"/>
  <c r="C834" i="1" s="1"/>
  <c r="E834" i="1" s="1"/>
  <c r="F519" i="1"/>
  <c r="C541" i="1" s="1"/>
  <c r="E541" i="1" s="1"/>
  <c r="F597" i="1"/>
  <c r="C619" i="1" s="1"/>
  <c r="E619" i="1" s="1"/>
  <c r="F742" i="1"/>
  <c r="C764" i="1" s="1"/>
  <c r="E764" i="1" s="1"/>
  <c r="B255" i="1"/>
  <c r="B256" i="1"/>
  <c r="F332" i="1"/>
  <c r="C354" i="1" s="1"/>
  <c r="F383" i="1"/>
  <c r="C405" i="1" s="1"/>
  <c r="E405" i="1" s="1"/>
  <c r="F331" i="1"/>
  <c r="C353" i="1" s="1"/>
  <c r="F386" i="1"/>
  <c r="C408" i="1" s="1"/>
  <c r="E408" i="1" s="1"/>
  <c r="F324" i="1"/>
  <c r="C346" i="1" s="1"/>
  <c r="F394" i="1"/>
  <c r="C416" i="1" s="1"/>
  <c r="E416" i="1" s="1"/>
  <c r="F393" i="1"/>
  <c r="C415" i="1" s="1"/>
  <c r="E415" i="1" s="1"/>
  <c r="F397" i="1"/>
  <c r="C419" i="1" s="1"/>
  <c r="E419" i="1" s="1"/>
  <c r="F322" i="1"/>
  <c r="C344" i="1" s="1"/>
  <c r="F321" i="1"/>
  <c r="C343" i="1" s="1"/>
  <c r="F335" i="1"/>
  <c r="C357" i="1" s="1"/>
  <c r="F396" i="1"/>
  <c r="C418" i="1" s="1"/>
  <c r="E418" i="1" s="1"/>
  <c r="F319" i="1"/>
  <c r="C341" i="1" s="1"/>
  <c r="F333" i="1"/>
  <c r="C355" i="1" s="1"/>
  <c r="F327" i="1"/>
  <c r="C349" i="1" s="1"/>
  <c r="F392" i="1"/>
  <c r="C414" i="1" s="1"/>
  <c r="E414" i="1" s="1"/>
  <c r="D280" i="1"/>
  <c r="E280" i="1" s="1"/>
  <c r="B310" i="1" s="1"/>
  <c r="C310" i="1" s="1"/>
  <c r="D310" i="1" s="1"/>
  <c r="E310" i="1" s="1"/>
  <c r="B185" i="1"/>
  <c r="D185" i="1"/>
  <c r="G221" i="1"/>
  <c r="H235" i="1"/>
  <c r="I235" i="1" s="1"/>
  <c r="B281" i="1" s="1"/>
  <c r="D281" i="1" s="1"/>
  <c r="E281" i="1" s="1"/>
  <c r="B311" i="1" s="1"/>
  <c r="C311" i="1" s="1"/>
  <c r="D311" i="1" s="1"/>
  <c r="E311" i="1" s="1"/>
  <c r="F221" i="1"/>
  <c r="F325" i="1"/>
  <c r="C347" i="1" s="1"/>
  <c r="F318" i="1"/>
  <c r="C340" i="1" s="1"/>
  <c r="F388" i="1"/>
  <c r="C410" i="1" s="1"/>
  <c r="E410" i="1" s="1"/>
  <c r="F336" i="1"/>
  <c r="C358" i="1" s="1"/>
  <c r="F185" i="1"/>
  <c r="C185" i="1"/>
  <c r="F329" i="1"/>
  <c r="C351" i="1" s="1"/>
  <c r="F323" i="1"/>
  <c r="C345" i="1" s="1"/>
  <c r="F398" i="1"/>
  <c r="C420" i="1" s="1"/>
  <c r="E420" i="1" s="1"/>
  <c r="F326" i="1"/>
  <c r="C348" i="1" s="1"/>
  <c r="D113" i="1"/>
  <c r="G113" i="1"/>
  <c r="F113" i="1"/>
  <c r="C113" i="1"/>
  <c r="B313" i="1" l="1"/>
  <c r="B314" i="1" s="1"/>
  <c r="B356" i="1" s="1"/>
  <c r="E356" i="1" s="1"/>
  <c r="B237" i="1"/>
  <c r="C263" i="1" l="1"/>
  <c r="G263" i="1" s="1"/>
  <c r="C267" i="1"/>
  <c r="G267" i="1" s="1"/>
  <c r="C274" i="1"/>
  <c r="G274" i="1" s="1"/>
  <c r="C259" i="1"/>
  <c r="G259" i="1" s="1"/>
  <c r="C257" i="1"/>
  <c r="G257" i="1" s="1"/>
  <c r="C270" i="1"/>
  <c r="G270" i="1" s="1"/>
  <c r="C272" i="1"/>
  <c r="G272" i="1" s="1"/>
  <c r="C264" i="1"/>
  <c r="G264" i="1" s="1"/>
  <c r="C268" i="1"/>
  <c r="G268" i="1" s="1"/>
  <c r="C260" i="1"/>
  <c r="G260" i="1" s="1"/>
  <c r="C262" i="1"/>
  <c r="G262" i="1" s="1"/>
  <c r="C258" i="1"/>
  <c r="G258" i="1" s="1"/>
  <c r="C266" i="1"/>
  <c r="G266" i="1" s="1"/>
  <c r="C271" i="1"/>
  <c r="G271" i="1" s="1"/>
  <c r="C273" i="1"/>
  <c r="G273" i="1" s="1"/>
  <c r="C265" i="1"/>
  <c r="G265" i="1" s="1"/>
  <c r="C269" i="1"/>
  <c r="G269" i="1" s="1"/>
  <c r="C261" i="1"/>
  <c r="G261" i="1" s="1"/>
  <c r="B358" i="1"/>
  <c r="E358" i="1" s="1"/>
  <c r="B339" i="1"/>
  <c r="E339" i="1" s="1"/>
  <c r="B344" i="1"/>
  <c r="E344" i="1" s="1"/>
  <c r="B345" i="1"/>
  <c r="E345" i="1" s="1"/>
  <c r="C255" i="1"/>
  <c r="G255" i="1" s="1"/>
  <c r="B340" i="1"/>
  <c r="E340" i="1" s="1"/>
  <c r="B341" i="1"/>
  <c r="E341" i="1" s="1"/>
  <c r="B357" i="1"/>
  <c r="E357" i="1" s="1"/>
  <c r="B348" i="1"/>
  <c r="E348" i="1" s="1"/>
  <c r="B343" i="1"/>
  <c r="E343" i="1" s="1"/>
  <c r="B354" i="1"/>
  <c r="E354" i="1" s="1"/>
  <c r="B349" i="1"/>
  <c r="E349" i="1" s="1"/>
  <c r="B342" i="1"/>
  <c r="E342" i="1" s="1"/>
  <c r="B352" i="1"/>
  <c r="E352" i="1" s="1"/>
  <c r="B347" i="1"/>
  <c r="E347" i="1" s="1"/>
  <c r="B355" i="1"/>
  <c r="E355" i="1" s="1"/>
  <c r="B350" i="1"/>
  <c r="E350" i="1" s="1"/>
  <c r="B346" i="1"/>
  <c r="E346" i="1" s="1"/>
  <c r="B351" i="1"/>
  <c r="E351" i="1" s="1"/>
  <c r="B353" i="1"/>
  <c r="E353" i="1" s="1"/>
  <c r="C256" i="1"/>
  <c r="G256" i="1" s="1"/>
  <c r="G3" i="1"/>
  <c r="G4" i="1"/>
  <c r="G5" i="1"/>
  <c r="G6" i="1"/>
  <c r="D192" i="1"/>
  <c r="E198" i="1"/>
  <c r="E197" i="1"/>
  <c r="E196" i="1"/>
  <c r="E195" i="1"/>
  <c r="E194" i="1"/>
  <c r="E193" i="1"/>
  <c r="D156" i="1"/>
  <c r="E162" i="1"/>
  <c r="E161" i="1"/>
  <c r="E160" i="1"/>
  <c r="E159" i="1"/>
  <c r="E158" i="1"/>
  <c r="E157" i="1"/>
  <c r="D120" i="1"/>
  <c r="E126" i="1"/>
  <c r="E125" i="1"/>
  <c r="E124" i="1"/>
  <c r="E123" i="1"/>
  <c r="E122" i="1"/>
  <c r="E121" i="1"/>
  <c r="C75" i="1"/>
  <c r="D75" i="1"/>
  <c r="E7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E64" i="1"/>
  <c r="E63" i="1"/>
  <c r="E62" i="1"/>
  <c r="E61" i="1"/>
  <c r="E60" i="1"/>
  <c r="E59" i="1"/>
  <c r="E58" i="1"/>
  <c r="E57" i="1"/>
  <c r="E56" i="1"/>
  <c r="E55" i="1"/>
  <c r="E54" i="1"/>
  <c r="E52" i="1"/>
  <c r="E51" i="1"/>
  <c r="E50" i="1"/>
  <c r="E49" i="1"/>
  <c r="E48" i="1"/>
  <c r="E47" i="1"/>
  <c r="E46" i="1"/>
  <c r="E45" i="1"/>
  <c r="E44" i="1"/>
  <c r="E43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D53" i="1"/>
  <c r="E53" i="1" s="1"/>
  <c r="F43" i="1"/>
  <c r="G43" i="1" s="1"/>
  <c r="B64" i="1"/>
  <c r="C64" i="1" s="1"/>
  <c r="B38" i="1"/>
  <c r="D122" i="1" l="1"/>
  <c r="D160" i="1"/>
  <c r="D195" i="1"/>
  <c r="D196" i="1"/>
  <c r="D197" i="1"/>
  <c r="D193" i="1"/>
  <c r="D194" i="1"/>
  <c r="D198" i="1"/>
  <c r="C215" i="1" s="1"/>
  <c r="D162" i="1"/>
  <c r="C179" i="1" s="1"/>
  <c r="D157" i="1"/>
  <c r="D159" i="1"/>
  <c r="D161" i="1"/>
  <c r="D158" i="1"/>
  <c r="D121" i="1"/>
  <c r="D126" i="1"/>
  <c r="C143" i="1" s="1"/>
  <c r="D123" i="1"/>
  <c r="D124" i="1"/>
  <c r="D125" i="1"/>
  <c r="B39" i="1"/>
  <c r="D199" i="1" l="1"/>
  <c r="D200" i="1" s="1"/>
  <c r="D163" i="1"/>
  <c r="D164" i="1" s="1"/>
  <c r="D127" i="1"/>
  <c r="D128" i="1" s="1"/>
  <c r="E86" i="1" l="1"/>
  <c r="E90" i="1" l="1"/>
  <c r="G95" i="1"/>
  <c r="F95" i="1"/>
  <c r="E95" i="1"/>
  <c r="D95" i="1"/>
  <c r="C95" i="1"/>
  <c r="B95" i="1"/>
  <c r="E89" i="1"/>
  <c r="E88" i="1"/>
  <c r="E87" i="1"/>
  <c r="E85" i="1"/>
  <c r="D86" i="1"/>
  <c r="B167" i="1" l="1"/>
  <c r="B168" i="1" s="1"/>
  <c r="B131" i="1"/>
  <c r="B132" i="1" s="1"/>
  <c r="B203" i="1"/>
  <c r="B204" i="1" s="1"/>
  <c r="C203" i="1"/>
  <c r="C204" i="1" s="1"/>
  <c r="C131" i="1"/>
  <c r="C132" i="1" s="1"/>
  <c r="C167" i="1"/>
  <c r="C168" i="1" s="1"/>
  <c r="D203" i="1"/>
  <c r="D204" i="1" s="1"/>
  <c r="D131" i="1"/>
  <c r="D132" i="1" s="1"/>
  <c r="D167" i="1"/>
  <c r="D168" i="1" s="1"/>
  <c r="E131" i="1"/>
  <c r="E167" i="1"/>
  <c r="E168" i="1" s="1"/>
  <c r="E203" i="1"/>
  <c r="E204" i="1" s="1"/>
  <c r="F131" i="1"/>
  <c r="F132" i="1" s="1"/>
  <c r="F203" i="1"/>
  <c r="F204" i="1" s="1"/>
  <c r="F167" i="1"/>
  <c r="F168" i="1" s="1"/>
  <c r="G167" i="1"/>
  <c r="G168" i="1" s="1"/>
  <c r="G203" i="1"/>
  <c r="G204" i="1" s="1"/>
  <c r="G131" i="1"/>
  <c r="G132" i="1" s="1"/>
  <c r="D89" i="1"/>
  <c r="D85" i="1"/>
  <c r="D87" i="1"/>
  <c r="D90" i="1"/>
  <c r="D88" i="1"/>
  <c r="E69" i="1"/>
  <c r="F77" i="1" s="1"/>
  <c r="C107" i="1" l="1"/>
  <c r="D91" i="1"/>
  <c r="D92" i="1" s="1"/>
  <c r="C144" i="1"/>
  <c r="C216" i="1"/>
  <c r="E132" i="1"/>
  <c r="C180" i="1"/>
  <c r="C77" i="1"/>
  <c r="B77" i="1"/>
  <c r="E97" i="1" s="1"/>
  <c r="D77" i="1"/>
  <c r="E77" i="1"/>
  <c r="B68" i="1"/>
  <c r="B75" i="1"/>
  <c r="B96" i="1" s="1"/>
  <c r="B133" i="1" l="1"/>
  <c r="B134" i="1" s="1"/>
  <c r="B137" i="1" s="1"/>
  <c r="C133" i="1"/>
  <c r="C134" i="1" s="1"/>
  <c r="D133" i="1"/>
  <c r="D134" i="1" s="1"/>
  <c r="D137" i="1" s="1"/>
  <c r="E133" i="1"/>
  <c r="E134" i="1" s="1"/>
  <c r="E137" i="1" s="1"/>
  <c r="F133" i="1"/>
  <c r="F134" i="1" s="1"/>
  <c r="F137" i="1" s="1"/>
  <c r="G133" i="1"/>
  <c r="G134" i="1" s="1"/>
  <c r="G137" i="1" s="1"/>
  <c r="D97" i="1"/>
  <c r="C169" i="1"/>
  <c r="C170" i="1" s="1"/>
  <c r="D169" i="1"/>
  <c r="D170" i="1" s="1"/>
  <c r="D173" i="1" s="1"/>
  <c r="E169" i="1"/>
  <c r="E170" i="1" s="1"/>
  <c r="E173" i="1" s="1"/>
  <c r="F169" i="1"/>
  <c r="F170" i="1" s="1"/>
  <c r="F173" i="1" s="1"/>
  <c r="G169" i="1"/>
  <c r="G170" i="1" s="1"/>
  <c r="G173" i="1" s="1"/>
  <c r="B169" i="1"/>
  <c r="B170" i="1" s="1"/>
  <c r="B173" i="1" s="1"/>
  <c r="F205" i="1"/>
  <c r="F206" i="1" s="1"/>
  <c r="F209" i="1" s="1"/>
  <c r="G205" i="1"/>
  <c r="G206" i="1" s="1"/>
  <c r="G209" i="1" s="1"/>
  <c r="B205" i="1"/>
  <c r="B206" i="1" s="1"/>
  <c r="B209" i="1" s="1"/>
  <c r="C205" i="1"/>
  <c r="C206" i="1" s="1"/>
  <c r="D205" i="1"/>
  <c r="D206" i="1" s="1"/>
  <c r="D209" i="1" s="1"/>
  <c r="E205" i="1"/>
  <c r="E206" i="1" s="1"/>
  <c r="E209" i="1" s="1"/>
  <c r="C97" i="1"/>
  <c r="B97" i="1"/>
  <c r="F97" i="1"/>
  <c r="G97" i="1"/>
  <c r="G96" i="1"/>
  <c r="C96" i="1"/>
  <c r="D96" i="1"/>
  <c r="E96" i="1"/>
  <c r="F96" i="1"/>
  <c r="B69" i="1"/>
  <c r="B70" i="1" s="1"/>
  <c r="E139" i="1" l="1"/>
  <c r="E145" i="1" s="1"/>
  <c r="E143" i="1"/>
  <c r="E138" i="1"/>
  <c r="E144" i="1" s="1"/>
  <c r="D211" i="1"/>
  <c r="D217" i="1" s="1"/>
  <c r="D215" i="1"/>
  <c r="D210" i="1"/>
  <c r="D216" i="1" s="1"/>
  <c r="C209" i="1"/>
  <c r="C217" i="1"/>
  <c r="E210" i="1"/>
  <c r="E216" i="1" s="1"/>
  <c r="E211" i="1"/>
  <c r="E217" i="1" s="1"/>
  <c r="E215" i="1"/>
  <c r="B211" i="1"/>
  <c r="B217" i="1" s="1"/>
  <c r="B215" i="1"/>
  <c r="B210" i="1"/>
  <c r="B175" i="1"/>
  <c r="B181" i="1" s="1"/>
  <c r="B179" i="1"/>
  <c r="B174" i="1"/>
  <c r="G211" i="1"/>
  <c r="G217" i="1" s="1"/>
  <c r="G215" i="1"/>
  <c r="G210" i="1"/>
  <c r="G216" i="1" s="1"/>
  <c r="F175" i="1"/>
  <c r="F181" i="1" s="1"/>
  <c r="F179" i="1"/>
  <c r="F174" i="1"/>
  <c r="F180" i="1" s="1"/>
  <c r="G143" i="1"/>
  <c r="G139" i="1"/>
  <c r="G145" i="1" s="1"/>
  <c r="G138" i="1"/>
  <c r="G144" i="1" s="1"/>
  <c r="E175" i="1"/>
  <c r="E181" i="1" s="1"/>
  <c r="E179" i="1"/>
  <c r="E174" i="1"/>
  <c r="E180" i="1" s="1"/>
  <c r="D179" i="1"/>
  <c r="D175" i="1"/>
  <c r="D181" i="1" s="1"/>
  <c r="D174" i="1"/>
  <c r="D180" i="1" s="1"/>
  <c r="F211" i="1"/>
  <c r="F217" i="1" s="1"/>
  <c r="F215" i="1"/>
  <c r="F210" i="1"/>
  <c r="F216" i="1" s="1"/>
  <c r="C173" i="1"/>
  <c r="C181" i="1"/>
  <c r="C145" i="1"/>
  <c r="C137" i="1"/>
  <c r="G179" i="1"/>
  <c r="G175" i="1"/>
  <c r="G181" i="1" s="1"/>
  <c r="G174" i="1"/>
  <c r="G180" i="1" s="1"/>
  <c r="F143" i="1"/>
  <c r="F139" i="1"/>
  <c r="F145" i="1" s="1"/>
  <c r="F138" i="1"/>
  <c r="F144" i="1" s="1"/>
  <c r="D139" i="1"/>
  <c r="D145" i="1" s="1"/>
  <c r="D143" i="1"/>
  <c r="D138" i="1"/>
  <c r="D144" i="1" s="1"/>
  <c r="B143" i="1"/>
  <c r="B139" i="1"/>
  <c r="B145" i="1" s="1"/>
  <c r="B138" i="1"/>
  <c r="C108" i="1"/>
  <c r="C98" i="1"/>
  <c r="G98" i="1"/>
  <c r="G101" i="1" s="1"/>
  <c r="G107" i="1" s="1"/>
  <c r="F98" i="1"/>
  <c r="F101" i="1" s="1"/>
  <c r="F107" i="1" s="1"/>
  <c r="E98" i="1"/>
  <c r="E101" i="1" s="1"/>
  <c r="E107" i="1" s="1"/>
  <c r="D98" i="1"/>
  <c r="B98" i="1"/>
  <c r="B101" i="1" s="1"/>
  <c r="C218" i="1" l="1"/>
  <c r="C146" i="1"/>
  <c r="C139" i="1"/>
  <c r="C138" i="1"/>
  <c r="E140" i="1" s="1"/>
  <c r="C175" i="1"/>
  <c r="C174" i="1"/>
  <c r="E176" i="1" s="1"/>
  <c r="C182" i="1"/>
  <c r="B144" i="1"/>
  <c r="B146" i="1" s="1"/>
  <c r="D140" i="1"/>
  <c r="C211" i="1"/>
  <c r="C210" i="1"/>
  <c r="G212" i="1"/>
  <c r="D212" i="1"/>
  <c r="B216" i="1"/>
  <c r="B180" i="1"/>
  <c r="B182" i="1" s="1"/>
  <c r="D176" i="1"/>
  <c r="D101" i="1"/>
  <c r="C101" i="1"/>
  <c r="C109" i="1"/>
  <c r="B107" i="1"/>
  <c r="F102" i="1"/>
  <c r="F108" i="1" s="1"/>
  <c r="E102" i="1"/>
  <c r="E108" i="1" s="1"/>
  <c r="G102" i="1"/>
  <c r="G108" i="1" s="1"/>
  <c r="G176" i="1" l="1"/>
  <c r="E182" i="1"/>
  <c r="D182" i="1"/>
  <c r="F182" i="1"/>
  <c r="G182" i="1"/>
  <c r="C140" i="1"/>
  <c r="B140" i="1"/>
  <c r="C212" i="1"/>
  <c r="B212" i="1"/>
  <c r="F176" i="1"/>
  <c r="C176" i="1"/>
  <c r="B176" i="1"/>
  <c r="E212" i="1"/>
  <c r="G140" i="1"/>
  <c r="F212" i="1"/>
  <c r="F140" i="1"/>
  <c r="B218" i="1"/>
  <c r="F218" i="1"/>
  <c r="E218" i="1"/>
  <c r="G218" i="1"/>
  <c r="D218" i="1"/>
  <c r="G146" i="1"/>
  <c r="D146" i="1"/>
  <c r="F146" i="1"/>
  <c r="E146" i="1"/>
  <c r="B103" i="1"/>
  <c r="B109" i="1" s="1"/>
  <c r="B102" i="1"/>
  <c r="B108" i="1" s="1"/>
  <c r="C103" i="1"/>
  <c r="C102" i="1"/>
  <c r="D107" i="1"/>
  <c r="D102" i="1"/>
  <c r="D108" i="1" s="1"/>
  <c r="D103" i="1"/>
  <c r="D109" i="1" s="1"/>
  <c r="G103" i="1"/>
  <c r="G109" i="1" s="1"/>
  <c r="E103" i="1"/>
  <c r="E109" i="1" s="1"/>
  <c r="F103" i="1"/>
  <c r="F109" i="1" s="1"/>
  <c r="B110" i="1" l="1"/>
  <c r="G104" i="1"/>
  <c r="C104" i="1"/>
  <c r="D110" i="1"/>
  <c r="F110" i="1"/>
  <c r="E110" i="1"/>
  <c r="E104" i="1"/>
  <c r="B104" i="1"/>
  <c r="C110" i="1"/>
  <c r="F104" i="1"/>
  <c r="D104" i="1"/>
  <c r="G110" i="1"/>
</calcChain>
</file>

<file path=xl/sharedStrings.xml><?xml version="1.0" encoding="utf-8"?>
<sst xmlns="http://schemas.openxmlformats.org/spreadsheetml/2006/main" count="1013" uniqueCount="235">
  <si>
    <t>ID Secção</t>
  </si>
  <si>
    <t>Seccção</t>
  </si>
  <si>
    <t>Distância (Km)</t>
  </si>
  <si>
    <t>A</t>
  </si>
  <si>
    <t>B</t>
  </si>
  <si>
    <t>C</t>
  </si>
  <si>
    <t>D</t>
  </si>
  <si>
    <t>E</t>
  </si>
  <si>
    <t>F</t>
  </si>
  <si>
    <t>Viseu – Peso da Régua</t>
  </si>
  <si>
    <t>Peso da Régua – Chaves</t>
  </si>
  <si>
    <t>Chaves – Braga</t>
  </si>
  <si>
    <t>Braga – Porto</t>
  </si>
  <si>
    <t>Porto – Aveiro</t>
  </si>
  <si>
    <t>Aveiro – Viseu</t>
  </si>
  <si>
    <t>Ligações</t>
  </si>
  <si>
    <t>Distância Total (Km)</t>
  </si>
  <si>
    <t>Secções Atravessadas</t>
  </si>
  <si>
    <t>Viseu - Aveiro</t>
  </si>
  <si>
    <t>A + B + C + D + E</t>
  </si>
  <si>
    <t xml:space="preserve">B + C + D + E + F </t>
  </si>
  <si>
    <t>C + D + E + F + A</t>
  </si>
  <si>
    <t>Braga - Chaves</t>
  </si>
  <si>
    <t>D + E + F + A + B</t>
  </si>
  <si>
    <t>Porto - Braga</t>
  </si>
  <si>
    <t>E + F + A + B + C</t>
  </si>
  <si>
    <t>Aveiro - Porto</t>
  </si>
  <si>
    <t>F + A + B + C + D</t>
  </si>
  <si>
    <t xml:space="preserve">Peso da Régua - Viseu </t>
  </si>
  <si>
    <t>Chaves - Peso da Régua</t>
  </si>
  <si>
    <t>ID Recetor</t>
  </si>
  <si>
    <t>Largura de Banda a -3dB (GHz)</t>
  </si>
  <si>
    <t>Largura de Linha a Meia Potência (MHz)</t>
  </si>
  <si>
    <t>ID Emissor</t>
  </si>
  <si>
    <t>ID Canal</t>
  </si>
  <si>
    <t>THz</t>
  </si>
  <si>
    <t>m</t>
  </si>
  <si>
    <t>Velocidade da luz (m/s)</t>
  </si>
  <si>
    <t>λ</t>
  </si>
  <si>
    <t>D(λ)[ps/(nm*km)]</t>
  </si>
  <si>
    <t>So</t>
  </si>
  <si>
    <t>λo</t>
  </si>
  <si>
    <t>L</t>
  </si>
  <si>
    <t>fm</t>
  </si>
  <si>
    <t>ΔPi [dB]</t>
  </si>
  <si>
    <t>Rbch[Gb/s]</t>
  </si>
  <si>
    <t>Dispersão residual máxima por ligação [ps/nm]</t>
  </si>
  <si>
    <t>Comprimento Onda [m]</t>
  </si>
  <si>
    <t>perdas [dB]</t>
  </si>
  <si>
    <t>DCM-20</t>
  </si>
  <si>
    <t>DCM-30</t>
  </si>
  <si>
    <t>DCM-40</t>
  </si>
  <si>
    <t>DCM-60</t>
  </si>
  <si>
    <t>DCM-80</t>
  </si>
  <si>
    <t>Secção A</t>
  </si>
  <si>
    <t>Secção B</t>
  </si>
  <si>
    <t>Secção C</t>
  </si>
  <si>
    <t>Secção D</t>
  </si>
  <si>
    <t>Secção E</t>
  </si>
  <si>
    <t>Secção F</t>
  </si>
  <si>
    <t>Comprimento da secção [Km]</t>
  </si>
  <si>
    <t>Dispersão na SSMF [ps/nm]</t>
  </si>
  <si>
    <t>D residual por secção [ps/nm]</t>
  </si>
  <si>
    <t>D acc  DCM ideal [ps/nm]</t>
  </si>
  <si>
    <t>DCM-100</t>
  </si>
  <si>
    <t>Fase 1</t>
  </si>
  <si>
    <t>Dis. DCM</t>
  </si>
  <si>
    <t>Dres,sec [ps/nm]</t>
  </si>
  <si>
    <t>Subestimação disp. [ps/nm]</t>
  </si>
  <si>
    <t>Dres total [ps/nm]</t>
  </si>
  <si>
    <t>DCM-120</t>
  </si>
  <si>
    <t>--------------------------------------------------</t>
  </si>
  <si>
    <t>DCM-140</t>
  </si>
  <si>
    <t>Fase 2</t>
  </si>
  <si>
    <t>G</t>
  </si>
  <si>
    <t>H</t>
  </si>
  <si>
    <t>LB necessária Emissor A</t>
  </si>
  <si>
    <t>LB necessária Emissor B</t>
  </si>
  <si>
    <t>LB necessária Emissor C</t>
  </si>
  <si>
    <t>LB necessária Emissor D</t>
  </si>
  <si>
    <t>Deriva Máx de Frequência (GHz)</t>
  </si>
  <si>
    <t>Extremo Inferior</t>
  </si>
  <si>
    <t>Centro</t>
  </si>
  <si>
    <t>Extremo Superior</t>
  </si>
  <si>
    <t xml:space="preserve"> </t>
  </si>
  <si>
    <t>Compensação de Dispersão - 1ª Parte</t>
  </si>
  <si>
    <t>Compensação de Dispersão - Extremo Inferior da Banda</t>
  </si>
  <si>
    <t>Compensação de Dispersão - Centro da Banda</t>
  </si>
  <si>
    <t>Compensação de Dispersão - Extremo Superior da Banda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</si>
  <si>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máx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</si>
  <si>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min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</si>
  <si>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med</t>
    </r>
  </si>
  <si>
    <t>Modo Funcionamento</t>
  </si>
  <si>
    <t>Perdas conetores emissor e recetor</t>
  </si>
  <si>
    <t>Perdas demux (dB)</t>
  </si>
  <si>
    <t>Perdas comutador (dB)</t>
  </si>
  <si>
    <t>Perdas mux (dB)</t>
  </si>
  <si>
    <t>Total (dB)</t>
  </si>
  <si>
    <t>Secção</t>
  </si>
  <si>
    <t>Comprimento da fibra</t>
  </si>
  <si>
    <t>Número conectores</t>
  </si>
  <si>
    <t>Número de juntas</t>
  </si>
  <si>
    <t>Perdas fibra [dB]</t>
  </si>
  <si>
    <t>Perdas conectores [dB]</t>
  </si>
  <si>
    <t>Perdas juntas [dB]</t>
  </si>
  <si>
    <t>Perdas DCM [dB]</t>
  </si>
  <si>
    <t>Total [dB]</t>
  </si>
  <si>
    <t>Perdas DCM secção (dB)</t>
  </si>
  <si>
    <t>Perdas DCM's ligação começa na ligação K (dB)</t>
  </si>
  <si>
    <t>Perdas na ligação mais longa [dB]</t>
  </si>
  <si>
    <t>Potência à saída - nível lógico "0" (dBm)</t>
  </si>
  <si>
    <t>Potência à saída - nível lógico "0" (mW)</t>
  </si>
  <si>
    <t>Potência à saída - nível lógico "1" (mW)</t>
  </si>
  <si>
    <t>Potência Média (mW)</t>
  </si>
  <si>
    <t>Potência Média (dBm)</t>
  </si>
  <si>
    <t>Q</t>
  </si>
  <si>
    <t>Ben</t>
  </si>
  <si>
    <t>Eficiência Quântica</t>
  </si>
  <si>
    <t>Ordem do Filtro</t>
  </si>
  <si>
    <t>LB (GHz)</t>
  </si>
  <si>
    <t>Efeito Filtro</t>
  </si>
  <si>
    <t>Par Tx-Rx</t>
  </si>
  <si>
    <t>A-A</t>
  </si>
  <si>
    <t>A-B</t>
  </si>
  <si>
    <t>A-C</t>
  </si>
  <si>
    <t>A-D</t>
  </si>
  <si>
    <t>A-H</t>
  </si>
  <si>
    <t>B-A</t>
  </si>
  <si>
    <t>B-B</t>
  </si>
  <si>
    <t>B-D</t>
  </si>
  <si>
    <t>B-H</t>
  </si>
  <si>
    <t>C-A</t>
  </si>
  <si>
    <t>C-B</t>
  </si>
  <si>
    <t>C-C</t>
  </si>
  <si>
    <t>C-D</t>
  </si>
  <si>
    <t>C-H</t>
  </si>
  <si>
    <t>D-A</t>
  </si>
  <si>
    <t>D-B</t>
  </si>
  <si>
    <t>D-C</t>
  </si>
  <si>
    <t>D-D</t>
  </si>
  <si>
    <t>D-H</t>
  </si>
  <si>
    <t>B-C</t>
  </si>
  <si>
    <t>Potência média acoplada à fibra (dBm)</t>
  </si>
  <si>
    <t>Perdas no caminho (dB)</t>
  </si>
  <si>
    <t>Sensibilidade (dBm)</t>
  </si>
  <si>
    <t>Valor máximo de penalidade  (dB)</t>
  </si>
  <si>
    <t>Margem (dB)</t>
  </si>
  <si>
    <t>Sensibilidade (mW)</t>
  </si>
  <si>
    <r>
      <t>NEP (pW/Hz</t>
    </r>
    <r>
      <rPr>
        <b/>
        <vertAlign val="superscript"/>
        <sz val="11"/>
        <color theme="1"/>
        <rFont val="Calibri"/>
        <family val="2"/>
        <scheme val="minor"/>
      </rPr>
      <t>1/2</t>
    </r>
    <r>
      <rPr>
        <b/>
        <sz val="11"/>
        <color theme="1"/>
        <rFont val="Calibri"/>
        <family val="2"/>
        <scheme val="minor"/>
      </rPr>
      <t>)</t>
    </r>
  </si>
  <si>
    <t>Passagem</t>
  </si>
  <si>
    <t>Extração</t>
  </si>
  <si>
    <t>Inserção</t>
  </si>
  <si>
    <t>Total perdas fibra, conectores e juntas (dB)</t>
  </si>
  <si>
    <t>Perdas do ROADM em modo de passagem (dB)</t>
  </si>
  <si>
    <t>Total de perdas na secção (dB)</t>
  </si>
  <si>
    <t>Ganho requerido ao pré-amplificador (dB)</t>
  </si>
  <si>
    <t>Pior Caso</t>
  </si>
  <si>
    <t>Distância (km)</t>
  </si>
  <si>
    <t>α (dB/km)</t>
  </si>
  <si>
    <t>α (Np/m)</t>
  </si>
  <si>
    <r>
      <t>L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(m)</t>
    </r>
  </si>
  <si>
    <t>λ (nm)</t>
  </si>
  <si>
    <t>Nº Canais</t>
  </si>
  <si>
    <t>Fase não linear máxima aceitável</t>
  </si>
  <si>
    <t>F (dB)</t>
  </si>
  <si>
    <t>f (linear)</t>
  </si>
  <si>
    <t>հ (J·s)</t>
  </si>
  <si>
    <t>Amplificador</t>
  </si>
  <si>
    <t>Ganho (dB)</t>
  </si>
  <si>
    <t>Ganho (linear)</t>
  </si>
  <si>
    <t>Potência total de ruído ASE (W)</t>
  </si>
  <si>
    <t>Potência do ruído total (dBm)</t>
  </si>
  <si>
    <t>r</t>
  </si>
  <si>
    <t>OSNR requerida (dB)</t>
  </si>
  <si>
    <t>OSNR (dB)</t>
  </si>
  <si>
    <t>Valor máx penalidade (dB)</t>
  </si>
  <si>
    <t>Ganho requerido ao pós-amplificador (dB)</t>
  </si>
  <si>
    <t>Pós</t>
  </si>
  <si>
    <t>Pré -, B</t>
  </si>
  <si>
    <t>Pré -, C</t>
  </si>
  <si>
    <t>Pré -, E</t>
  </si>
  <si>
    <t>Pré -, F</t>
  </si>
  <si>
    <t>Pré Pós Amplificador</t>
  </si>
  <si>
    <t>Linha, F</t>
  </si>
  <si>
    <t>Linha, E</t>
  </si>
  <si>
    <t>Linha, C</t>
  </si>
  <si>
    <t>Linha, B</t>
  </si>
  <si>
    <t>Potência total de ruído ASE p/Sec (W)</t>
  </si>
  <si>
    <t>Verificação Margem Sobrecarga</t>
  </si>
  <si>
    <t>Potência de sobrecarga</t>
  </si>
  <si>
    <t>Margem sobrecarga</t>
  </si>
  <si>
    <t>Cumpre margem de sobrecarga?</t>
  </si>
  <si>
    <t>Recetor (dBm)</t>
  </si>
  <si>
    <t>Pré Amplificador</t>
  </si>
  <si>
    <t>Rext (dB)</t>
  </si>
  <si>
    <t>rext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</si>
  <si>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/W)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</si>
  <si>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eff</t>
    </r>
    <r>
      <rPr>
        <b/>
        <sz val="11"/>
        <color theme="1"/>
        <rFont val="Calibri"/>
        <family val="2"/>
        <scheme val="minor"/>
      </rPr>
      <t xml:space="preserve"> (µm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</si>
  <si>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ϒ (W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km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</si>
  <si>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eff, total</t>
    </r>
    <r>
      <rPr>
        <b/>
        <sz val="11"/>
        <color theme="1"/>
        <rFont val="Calibri"/>
        <family val="2"/>
        <scheme val="minor"/>
      </rPr>
      <t xml:space="preserve"> (km)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</si>
  <si>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(W)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</si>
  <si>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(dBm)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</si>
  <si>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r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</si>
  <si>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(THz)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</si>
  <si>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(GHz)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</si>
  <si>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ASE</t>
    </r>
    <r>
      <rPr>
        <b/>
        <sz val="11"/>
        <color theme="1"/>
        <rFont val="Calibri"/>
        <family val="2"/>
        <scheme val="minor"/>
      </rPr>
      <t xml:space="preserve"> (W/Hz)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</si>
  <si>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</si>
  <si>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(Hz)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</si>
  <si>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(dBm)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</si>
  <si>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min, 2con</t>
    </r>
    <r>
      <rPr>
        <b/>
        <sz val="11"/>
        <color theme="1"/>
        <rFont val="Calibri"/>
        <family val="2"/>
        <scheme val="minor"/>
      </rPr>
      <t xml:space="preserve"> (dB) 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</si>
  <si>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AWG</t>
    </r>
    <r>
      <rPr>
        <b/>
        <sz val="11"/>
        <color theme="1"/>
        <rFont val="Calibri"/>
        <family val="2"/>
        <scheme val="minor"/>
      </rPr>
      <t xml:space="preserve"> (dB)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</si>
  <si>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switch</t>
    </r>
    <r>
      <rPr>
        <b/>
        <sz val="11"/>
        <color theme="1"/>
        <rFont val="Calibri"/>
        <family val="2"/>
        <scheme val="minor"/>
      </rPr>
      <t xml:space="preserve"> (dB)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</si>
  <si>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rx</t>
    </r>
  </si>
  <si>
    <t xml:space="preserve">Secções </t>
  </si>
  <si>
    <t>Comprimento (km)</t>
  </si>
  <si>
    <t>Comprimento Efetivo (km)</t>
  </si>
  <si>
    <t>B1</t>
  </si>
  <si>
    <t>B2</t>
  </si>
  <si>
    <t>C1</t>
  </si>
  <si>
    <t>C2</t>
  </si>
  <si>
    <t>E1</t>
  </si>
  <si>
    <t>E2</t>
  </si>
  <si>
    <t>F1</t>
  </si>
  <si>
    <t>F2</t>
  </si>
  <si>
    <t>Pré -, A</t>
  </si>
  <si>
    <t>Pré Linha Pós Amplificador - Secção C</t>
  </si>
  <si>
    <t>Pré Linha Pós Amplificador - Secção C, B</t>
  </si>
  <si>
    <t>Pré Linha Pós Amplificador - Secção C, B, F</t>
  </si>
  <si>
    <t>Pré Linha Pós Amplificador - Secção C, B, F, E</t>
  </si>
  <si>
    <t>Linha, A</t>
  </si>
  <si>
    <t>Pré Linha Pós Amplificador - Secção C, B, F, E, A</t>
  </si>
  <si>
    <t>Pré Linha Pós Amplificador - Secção 2C, B, F, E, A</t>
  </si>
  <si>
    <t>A1</t>
  </si>
  <si>
    <t>A2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</si>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</sst>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E+00"/>
    <numFmt numFmtId="165" formatCode="0.0"/>
    <numFmt numFmtId="166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 style="double">
        <color theme="4"/>
      </bottom>
      <diagonal/>
    </border>
    <border>
      <left/>
      <right style="thick">
        <color indexed="64"/>
      </right>
      <top style="thick">
        <color indexed="6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double">
        <color theme="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theme="4"/>
      </right>
      <top style="thick">
        <color indexed="64"/>
      </top>
      <bottom style="double">
        <color theme="4"/>
      </bottom>
      <diagonal/>
    </border>
    <border>
      <left style="thick">
        <color theme="4"/>
      </left>
      <right style="thick">
        <color theme="4"/>
      </right>
      <top style="thick">
        <color indexed="64"/>
      </top>
      <bottom style="double">
        <color theme="4"/>
      </bottom>
      <diagonal/>
    </border>
    <border>
      <left style="thick">
        <color indexed="64"/>
      </left>
      <right style="thick">
        <color theme="4"/>
      </right>
      <top style="double">
        <color theme="4"/>
      </top>
      <bottom/>
      <diagonal/>
    </border>
    <border>
      <left style="thick">
        <color indexed="64"/>
      </left>
      <right style="thick">
        <color theme="4"/>
      </right>
      <top/>
      <bottom/>
      <diagonal/>
    </border>
    <border>
      <left style="thick">
        <color indexed="64"/>
      </left>
      <right style="thick">
        <color theme="4"/>
      </right>
      <top/>
      <bottom style="thick">
        <color indexed="64"/>
      </bottom>
      <diagonal/>
    </border>
    <border>
      <left style="thick">
        <color theme="4"/>
      </left>
      <right style="thick">
        <color theme="4"/>
      </right>
      <top style="double">
        <color theme="4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/>
      </left>
      <right style="thick">
        <color theme="4"/>
      </right>
      <top/>
      <bottom style="thick">
        <color indexed="64"/>
      </bottom>
      <diagonal/>
    </border>
    <border>
      <left style="thick">
        <color theme="4"/>
      </left>
      <right style="thick">
        <color indexed="64"/>
      </right>
      <top style="thick">
        <color indexed="64"/>
      </top>
      <bottom/>
      <diagonal/>
    </border>
    <border>
      <left style="thick">
        <color theme="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theme="4"/>
      </left>
      <right style="thick">
        <color indexed="64"/>
      </right>
      <top style="thick">
        <color indexed="64"/>
      </top>
      <bottom style="double">
        <color theme="4"/>
      </bottom>
      <diagonal/>
    </border>
    <border>
      <left style="thick">
        <color theme="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thick">
        <color theme="4"/>
      </right>
      <top style="medium">
        <color indexed="64"/>
      </top>
      <bottom style="double">
        <color theme="4"/>
      </bottom>
      <diagonal/>
    </border>
    <border>
      <left style="thick">
        <color theme="4"/>
      </left>
      <right style="thick">
        <color theme="4"/>
      </right>
      <top style="medium">
        <color indexed="64"/>
      </top>
      <bottom/>
      <diagonal/>
    </border>
    <border>
      <left style="thick">
        <color theme="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theme="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theme="4"/>
      </right>
      <top style="medium">
        <color indexed="64"/>
      </top>
      <bottom style="double">
        <color theme="4"/>
      </bottom>
      <diagonal/>
    </border>
    <border>
      <left style="thick">
        <color indexed="64"/>
      </left>
      <right style="thick">
        <color theme="4"/>
      </right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theme="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thick">
        <color theme="4"/>
      </right>
      <top style="double">
        <color theme="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double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4"/>
      </right>
      <top style="thick">
        <color indexed="64"/>
      </top>
      <bottom/>
      <diagonal/>
    </border>
    <border>
      <left style="thick">
        <color indexed="64"/>
      </left>
      <right style="thick">
        <color theme="4"/>
      </right>
      <top style="double">
        <color theme="4"/>
      </top>
      <bottom style="double">
        <color theme="4"/>
      </bottom>
      <diagonal/>
    </border>
    <border>
      <left style="thick">
        <color indexed="64"/>
      </left>
      <right style="thick">
        <color theme="4"/>
      </right>
      <top style="thin">
        <color theme="4"/>
      </top>
      <bottom style="thick">
        <color indexed="64"/>
      </bottom>
      <diagonal/>
    </border>
    <border>
      <left style="thick">
        <color theme="4"/>
      </left>
      <right style="thick">
        <color theme="4"/>
      </right>
      <top style="double">
        <color theme="4"/>
      </top>
      <bottom style="double">
        <color theme="4"/>
      </bottom>
      <diagonal/>
    </border>
    <border>
      <left style="thick">
        <color theme="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theme="4"/>
      </right>
      <top/>
      <bottom style="double">
        <color theme="4"/>
      </bottom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/>
      <diagonal/>
    </border>
    <border>
      <left style="thick">
        <color indexed="64"/>
      </left>
      <right/>
      <top style="thin">
        <color theme="4"/>
      </top>
      <bottom/>
      <diagonal/>
    </border>
    <border>
      <left style="thick">
        <color indexed="64"/>
      </left>
      <right style="thick">
        <color theme="4"/>
      </right>
      <top style="double">
        <color theme="4"/>
      </top>
      <bottom style="thick">
        <color indexed="64"/>
      </bottom>
      <diagonal/>
    </border>
    <border>
      <left style="thick">
        <color theme="4"/>
      </left>
      <right style="thick">
        <color theme="4"/>
      </right>
      <top style="thick">
        <color indexed="64"/>
      </top>
      <bottom/>
      <diagonal/>
    </border>
    <border>
      <left style="thick">
        <color theme="4"/>
      </left>
      <right style="medium">
        <color indexed="64"/>
      </right>
      <top/>
      <bottom/>
      <diagonal/>
    </border>
    <border>
      <left style="thick">
        <color theme="4"/>
      </left>
      <right style="medium">
        <color indexed="64"/>
      </right>
      <top/>
      <bottom style="medium">
        <color indexed="64"/>
      </bottom>
      <diagonal/>
    </border>
    <border>
      <left style="thick">
        <color theme="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thick">
        <color theme="4"/>
      </right>
      <top/>
      <bottom/>
      <diagonal/>
    </border>
    <border>
      <left style="thick">
        <color theme="4"/>
      </left>
      <right style="medium">
        <color indexed="64"/>
      </right>
      <top style="thick">
        <color indexed="64"/>
      </top>
      <bottom/>
      <diagonal/>
    </border>
    <border>
      <left style="thick">
        <color theme="4"/>
      </left>
      <right style="medium">
        <color indexed="64"/>
      </right>
      <top style="double">
        <color theme="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theme="4"/>
      </left>
      <right style="thick">
        <color indexed="64"/>
      </right>
      <top style="medium">
        <color indexed="64"/>
      </top>
      <bottom/>
      <diagonal/>
    </border>
    <border>
      <left style="thick">
        <color theme="4"/>
      </left>
      <right style="thick">
        <color indexed="64"/>
      </right>
      <top style="double">
        <color theme="4"/>
      </top>
      <bottom/>
      <diagonal/>
    </border>
    <border>
      <left style="thick">
        <color indexed="64"/>
      </left>
      <right/>
      <top/>
      <bottom style="double">
        <color theme="4"/>
      </bottom>
      <diagonal/>
    </border>
    <border>
      <left style="thick">
        <color theme="4"/>
      </left>
      <right/>
      <top style="medium">
        <color indexed="64"/>
      </top>
      <bottom/>
      <diagonal/>
    </border>
    <border>
      <left style="thick">
        <color theme="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theme="4"/>
      </left>
      <right style="thick">
        <color theme="4"/>
      </right>
      <top style="medium">
        <color indexed="6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theme="4"/>
      </right>
      <top style="thick">
        <color indexed="64"/>
      </top>
      <bottom style="double">
        <color theme="4"/>
      </bottom>
      <diagonal/>
    </border>
    <border>
      <left/>
      <right/>
      <top style="thick">
        <color indexed="64"/>
      </top>
      <bottom style="double">
        <color theme="4"/>
      </bottom>
      <diagonal/>
    </border>
    <border>
      <left/>
      <right style="thick">
        <color theme="4"/>
      </right>
      <top/>
      <bottom style="thick">
        <color indexed="64"/>
      </bottom>
      <diagonal/>
    </border>
    <border>
      <left style="thick">
        <color theme="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4"/>
      </right>
      <top style="thick">
        <color indexed="64"/>
      </top>
      <bottom/>
      <diagonal/>
    </border>
    <border>
      <left/>
      <right style="thick">
        <color theme="4"/>
      </right>
      <top style="double">
        <color theme="4"/>
      </top>
      <bottom/>
      <diagonal/>
    </border>
    <border>
      <left style="thick">
        <color indexed="64"/>
      </left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thin">
        <color theme="4"/>
      </top>
      <bottom style="double">
        <color theme="4"/>
      </bottom>
      <diagonal/>
    </border>
    <border>
      <left style="thick">
        <color theme="4"/>
      </left>
      <right/>
      <top style="thick">
        <color indexed="64"/>
      </top>
      <bottom style="double">
        <color theme="4"/>
      </bottom>
      <diagonal/>
    </border>
    <border>
      <left style="thick">
        <color theme="4"/>
      </left>
      <right style="thick">
        <color theme="4"/>
      </right>
      <top style="thin">
        <color theme="4"/>
      </top>
      <bottom style="double">
        <color theme="4"/>
      </bottom>
      <diagonal/>
    </border>
    <border>
      <left style="thick">
        <color theme="4"/>
      </left>
      <right style="thick">
        <color theme="4"/>
      </right>
      <top/>
      <bottom style="double">
        <color theme="4"/>
      </bottom>
      <diagonal/>
    </border>
    <border>
      <left style="thick">
        <color theme="4"/>
      </left>
      <right style="thick">
        <color indexed="64"/>
      </right>
      <top/>
      <bottom style="double">
        <color theme="4"/>
      </bottom>
      <diagonal/>
    </border>
    <border>
      <left/>
      <right style="thick">
        <color theme="4"/>
      </right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n">
        <color theme="4"/>
      </top>
      <bottom style="thick">
        <color indexed="64"/>
      </bottom>
      <diagonal/>
    </border>
    <border>
      <left style="thick">
        <color theme="4"/>
      </left>
      <right/>
      <top style="double">
        <color theme="4"/>
      </top>
      <bottom style="double">
        <color theme="4"/>
      </bottom>
      <diagonal/>
    </border>
    <border>
      <left style="thick">
        <color theme="4"/>
      </left>
      <right style="thick">
        <color indexed="64"/>
      </right>
      <top style="double">
        <color theme="4"/>
      </top>
      <bottom style="double">
        <color theme="4"/>
      </bottom>
      <diagonal/>
    </border>
    <border>
      <left style="thick">
        <color theme="4"/>
      </left>
      <right/>
      <top/>
      <bottom style="double">
        <color theme="4"/>
      </bottom>
      <diagonal/>
    </border>
    <border>
      <left style="thick">
        <color theme="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double">
        <color theme="4"/>
      </bottom>
      <diagonal/>
    </border>
    <border>
      <left style="thick">
        <color indexed="64"/>
      </left>
      <right style="thick">
        <color theme="4"/>
      </right>
      <top style="thin">
        <color theme="4"/>
      </top>
      <bottom/>
      <diagonal/>
    </border>
    <border>
      <left style="thick">
        <color theme="4"/>
      </left>
      <right style="thick">
        <color theme="4"/>
      </right>
      <top style="thin">
        <color theme="4"/>
      </top>
      <bottom/>
      <diagonal/>
    </border>
    <border>
      <left style="thick">
        <color theme="4"/>
      </left>
      <right style="thick">
        <color indexed="64"/>
      </right>
      <top style="thin">
        <color theme="4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0" fontId="3" fillId="6" borderId="0" applyNumberFormat="0" applyBorder="0" applyAlignment="0" applyProtection="0"/>
  </cellStyleXfs>
  <cellXfs count="266">
    <xf numFmtId="0" fontId="0" fillId="0" borderId="0" xfId="0"/>
    <xf numFmtId="0" fontId="2" fillId="2" borderId="3" xfId="1" applyFill="1" applyBorder="1" applyAlignment="1">
      <alignment horizontal="center"/>
    </xf>
    <xf numFmtId="0" fontId="1" fillId="3" borderId="5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8" xfId="2" applyBorder="1" applyAlignment="1">
      <alignment horizontal="center"/>
    </xf>
    <xf numFmtId="0" fontId="1" fillId="3" borderId="7" xfId="2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1" fillId="3" borderId="12" xfId="2" applyBorder="1" applyAlignment="1">
      <alignment horizontal="center"/>
    </xf>
    <xf numFmtId="0" fontId="1" fillId="3" borderId="13" xfId="2" applyBorder="1" applyAlignment="1">
      <alignment horizontal="center"/>
    </xf>
    <xf numFmtId="0" fontId="1" fillId="3" borderId="15" xfId="2" applyBorder="1" applyAlignment="1">
      <alignment horizontal="center"/>
    </xf>
    <xf numFmtId="0" fontId="1" fillId="3" borderId="16" xfId="2" applyBorder="1" applyAlignment="1">
      <alignment horizontal="center"/>
    </xf>
    <xf numFmtId="0" fontId="1" fillId="3" borderId="14" xfId="2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1" fillId="3" borderId="18" xfId="2" applyBorder="1" applyAlignment="1">
      <alignment horizontal="center"/>
    </xf>
    <xf numFmtId="0" fontId="0" fillId="0" borderId="19" xfId="0" applyBorder="1"/>
    <xf numFmtId="0" fontId="2" fillId="2" borderId="10" xfId="1" applyFill="1" applyBorder="1" applyAlignment="1">
      <alignment horizontal="center"/>
    </xf>
    <xf numFmtId="0" fontId="2" fillId="0" borderId="24" xfId="1" applyFill="1" applyBorder="1" applyAlignment="1">
      <alignment horizontal="center"/>
    </xf>
    <xf numFmtId="0" fontId="2" fillId="4" borderId="26" xfId="3" applyFont="1" applyBorder="1" applyAlignment="1">
      <alignment horizontal="center"/>
    </xf>
    <xf numFmtId="0" fontId="2" fillId="4" borderId="27" xfId="3" applyFont="1" applyBorder="1" applyAlignment="1">
      <alignment horizontal="center"/>
    </xf>
    <xf numFmtId="0" fontId="2" fillId="0" borderId="30" xfId="1" applyBorder="1" applyAlignment="1">
      <alignment horizontal="center"/>
    </xf>
    <xf numFmtId="0" fontId="2" fillId="0" borderId="31" xfId="1" applyBorder="1" applyAlignment="1">
      <alignment horizontal="center"/>
    </xf>
    <xf numFmtId="0" fontId="2" fillId="0" borderId="31" xfId="1" applyFill="1" applyBorder="1" applyAlignment="1">
      <alignment horizontal="center"/>
    </xf>
    <xf numFmtId="0" fontId="2" fillId="0" borderId="32" xfId="1" applyFill="1" applyBorder="1" applyAlignment="1">
      <alignment horizontal="center"/>
    </xf>
    <xf numFmtId="0" fontId="2" fillId="0" borderId="25" xfId="1" applyBorder="1" applyAlignment="1">
      <alignment horizontal="center"/>
    </xf>
    <xf numFmtId="0" fontId="2" fillId="0" borderId="33" xfId="1" applyFill="1" applyBorder="1" applyAlignment="1">
      <alignment horizontal="center"/>
    </xf>
    <xf numFmtId="0" fontId="0" fillId="0" borderId="0" xfId="0" applyBorder="1"/>
    <xf numFmtId="0" fontId="0" fillId="0" borderId="34" xfId="0" applyBorder="1"/>
    <xf numFmtId="0" fontId="0" fillId="0" borderId="35" xfId="0" applyBorder="1"/>
    <xf numFmtId="0" fontId="2" fillId="0" borderId="36" xfId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2" fillId="0" borderId="40" xfId="1" applyBorder="1" applyAlignment="1">
      <alignment horizontal="center"/>
    </xf>
    <xf numFmtId="0" fontId="2" fillId="0" borderId="41" xfId="1" applyBorder="1" applyAlignment="1">
      <alignment horizontal="center"/>
    </xf>
    <xf numFmtId="0" fontId="2" fillId="0" borderId="20" xfId="1" applyBorder="1" applyAlignment="1">
      <alignment horizontal="center"/>
    </xf>
    <xf numFmtId="0" fontId="1" fillId="3" borderId="21" xfId="2" applyBorder="1" applyAlignment="1">
      <alignment horizontal="center"/>
    </xf>
    <xf numFmtId="0" fontId="2" fillId="0" borderId="9" xfId="1" applyBorder="1" applyAlignment="1">
      <alignment horizontal="center"/>
    </xf>
    <xf numFmtId="0" fontId="1" fillId="3" borderId="45" xfId="2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3" borderId="0" xfId="2" applyBorder="1" applyAlignment="1">
      <alignment horizontal="center"/>
    </xf>
    <xf numFmtId="0" fontId="2" fillId="0" borderId="47" xfId="1" applyBorder="1" applyAlignment="1">
      <alignment horizontal="center"/>
    </xf>
    <xf numFmtId="0" fontId="0" fillId="0" borderId="4" xfId="0" applyBorder="1"/>
    <xf numFmtId="0" fontId="2" fillId="0" borderId="48" xfId="1" applyBorder="1" applyAlignment="1">
      <alignment horizontal="center"/>
    </xf>
    <xf numFmtId="0" fontId="2" fillId="0" borderId="44" xfId="1" applyBorder="1" applyAlignment="1">
      <alignment horizontal="center"/>
    </xf>
    <xf numFmtId="0" fontId="2" fillId="0" borderId="11" xfId="1" applyBorder="1" applyAlignment="1">
      <alignment horizontal="center"/>
    </xf>
    <xf numFmtId="0" fontId="0" fillId="3" borderId="15" xfId="2" quotePrefix="1" applyFont="1" applyBorder="1"/>
    <xf numFmtId="0" fontId="1" fillId="5" borderId="15" xfId="4" applyBorder="1" applyAlignment="1">
      <alignment horizontal="center"/>
    </xf>
    <xf numFmtId="0" fontId="1" fillId="5" borderId="45" xfId="4" applyBorder="1" applyAlignment="1">
      <alignment horizontal="center"/>
    </xf>
    <xf numFmtId="0" fontId="1" fillId="5" borderId="18" xfId="4" applyBorder="1" applyAlignment="1">
      <alignment horizontal="center"/>
    </xf>
    <xf numFmtId="0" fontId="1" fillId="5" borderId="49" xfId="4" applyBorder="1"/>
    <xf numFmtId="0" fontId="1" fillId="5" borderId="45" xfId="4" applyBorder="1"/>
    <xf numFmtId="0" fontId="1" fillId="5" borderId="15" xfId="4" applyBorder="1"/>
    <xf numFmtId="0" fontId="1" fillId="5" borderId="17" xfId="4" applyBorder="1"/>
    <xf numFmtId="0" fontId="1" fillId="5" borderId="16" xfId="4" applyBorder="1" applyAlignment="1">
      <alignment horizontal="center"/>
    </xf>
    <xf numFmtId="0" fontId="1" fillId="5" borderId="21" xfId="4" applyBorder="1" applyAlignment="1">
      <alignment horizontal="center"/>
    </xf>
    <xf numFmtId="0" fontId="1" fillId="5" borderId="42" xfId="4" applyBorder="1" applyAlignment="1">
      <alignment horizontal="center"/>
    </xf>
    <xf numFmtId="0" fontId="1" fillId="5" borderId="5" xfId="4" applyBorder="1" applyAlignment="1">
      <alignment horizontal="center"/>
    </xf>
    <xf numFmtId="0" fontId="1" fillId="5" borderId="46" xfId="4" applyBorder="1" applyAlignment="1">
      <alignment horizontal="center"/>
    </xf>
    <xf numFmtId="0" fontId="1" fillId="5" borderId="15" xfId="4" quotePrefix="1" applyBorder="1"/>
    <xf numFmtId="0" fontId="1" fillId="5" borderId="43" xfId="4" applyBorder="1" applyAlignment="1">
      <alignment horizontal="center"/>
    </xf>
    <xf numFmtId="0" fontId="1" fillId="5" borderId="16" xfId="4" quotePrefix="1" applyBorder="1"/>
    <xf numFmtId="0" fontId="1" fillId="3" borderId="50" xfId="2" applyBorder="1" applyAlignment="1">
      <alignment horizontal="center"/>
    </xf>
    <xf numFmtId="0" fontId="1" fillId="3" borderId="51" xfId="2" applyBorder="1" applyAlignment="1">
      <alignment horizontal="center"/>
    </xf>
    <xf numFmtId="0" fontId="1" fillId="5" borderId="29" xfId="4" applyBorder="1" applyAlignment="1">
      <alignment horizontal="center"/>
    </xf>
    <xf numFmtId="0" fontId="1" fillId="5" borderId="50" xfId="4" applyBorder="1" applyAlignment="1">
      <alignment horizontal="center"/>
    </xf>
    <xf numFmtId="0" fontId="1" fillId="5" borderId="22" xfId="4" applyBorder="1" applyAlignment="1">
      <alignment horizontal="center"/>
    </xf>
    <xf numFmtId="0" fontId="1" fillId="5" borderId="12" xfId="4" applyBorder="1" applyAlignment="1">
      <alignment horizontal="center"/>
    </xf>
    <xf numFmtId="0" fontId="1" fillId="5" borderId="23" xfId="4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11" xfId="4" applyBorder="1" applyAlignment="1">
      <alignment horizontal="center"/>
    </xf>
    <xf numFmtId="0" fontId="1" fillId="5" borderId="14" xfId="4" applyBorder="1" applyAlignment="1">
      <alignment horizontal="center"/>
    </xf>
    <xf numFmtId="0" fontId="1" fillId="5" borderId="6" xfId="4" applyBorder="1" applyAlignment="1">
      <alignment horizontal="center"/>
    </xf>
    <xf numFmtId="0" fontId="2" fillId="5" borderId="12" xfId="4" applyFont="1" applyBorder="1" applyAlignment="1">
      <alignment horizontal="center"/>
    </xf>
    <xf numFmtId="0" fontId="2" fillId="5" borderId="11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3" borderId="12" xfId="2" applyFont="1" applyBorder="1" applyAlignment="1">
      <alignment horizontal="center"/>
    </xf>
    <xf numFmtId="0" fontId="2" fillId="3" borderId="15" xfId="2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0" fontId="2" fillId="0" borderId="25" xfId="1" applyBorder="1" applyAlignment="1">
      <alignment horizontal="center" vertical="center"/>
    </xf>
    <xf numFmtId="0" fontId="2" fillId="0" borderId="52" xfId="1" applyBorder="1" applyAlignment="1">
      <alignment horizontal="center" vertical="center"/>
    </xf>
    <xf numFmtId="0" fontId="2" fillId="5" borderId="53" xfId="4" applyFont="1" applyBorder="1" applyAlignment="1">
      <alignment horizontal="center"/>
    </xf>
    <xf numFmtId="0" fontId="2" fillId="5" borderId="54" xfId="4" applyFont="1" applyBorder="1" applyAlignment="1">
      <alignment horizontal="center"/>
    </xf>
    <xf numFmtId="0" fontId="2" fillId="3" borderId="53" xfId="2" applyFont="1" applyBorder="1" applyAlignment="1">
      <alignment horizontal="center"/>
    </xf>
    <xf numFmtId="0" fontId="2" fillId="3" borderId="50" xfId="2" applyFont="1" applyBorder="1" applyAlignment="1">
      <alignment horizontal="center"/>
    </xf>
    <xf numFmtId="0" fontId="2" fillId="5" borderId="50" xfId="4" applyFont="1" applyBorder="1" applyAlignment="1">
      <alignment horizontal="center"/>
    </xf>
    <xf numFmtId="0" fontId="2" fillId="3" borderId="28" xfId="2" applyFont="1" applyBorder="1" applyAlignment="1">
      <alignment horizontal="center"/>
    </xf>
    <xf numFmtId="0" fontId="2" fillId="3" borderId="51" xfId="2" applyFont="1" applyBorder="1" applyAlignment="1">
      <alignment horizontal="center"/>
    </xf>
    <xf numFmtId="0" fontId="1" fillId="5" borderId="53" xfId="4" applyFont="1" applyBorder="1" applyAlignment="1">
      <alignment horizontal="center"/>
    </xf>
    <xf numFmtId="0" fontId="1" fillId="3" borderId="53" xfId="2" applyFont="1" applyBorder="1" applyAlignment="1">
      <alignment horizontal="center"/>
    </xf>
    <xf numFmtId="0" fontId="1" fillId="3" borderId="50" xfId="2" applyFont="1" applyBorder="1" applyAlignment="1">
      <alignment horizontal="center"/>
    </xf>
    <xf numFmtId="0" fontId="1" fillId="5" borderId="50" xfId="4" applyFont="1" applyBorder="1" applyAlignment="1">
      <alignment horizontal="center"/>
    </xf>
    <xf numFmtId="0" fontId="1" fillId="5" borderId="0" xfId="4" applyAlignment="1">
      <alignment horizontal="center"/>
    </xf>
    <xf numFmtId="164" fontId="1" fillId="5" borderId="14" xfId="4" applyNumberFormat="1" applyBorder="1" applyAlignment="1">
      <alignment horizontal="center"/>
    </xf>
    <xf numFmtId="0" fontId="1" fillId="5" borderId="14" xfId="5" applyNumberFormat="1" applyFill="1" applyBorder="1" applyAlignment="1">
      <alignment horizontal="center" vertical="center"/>
    </xf>
    <xf numFmtId="164" fontId="1" fillId="5" borderId="55" xfId="4" applyNumberFormat="1" applyBorder="1" applyAlignment="1">
      <alignment horizontal="center"/>
    </xf>
    <xf numFmtId="0" fontId="1" fillId="5" borderId="50" xfId="5" applyNumberFormat="1" applyFill="1" applyBorder="1" applyAlignment="1">
      <alignment horizontal="center"/>
    </xf>
    <xf numFmtId="0" fontId="1" fillId="5" borderId="50" xfId="4" applyNumberFormat="1" applyBorder="1" applyAlignment="1">
      <alignment horizontal="center"/>
    </xf>
    <xf numFmtId="166" fontId="1" fillId="5" borderId="42" xfId="4" applyNumberFormat="1" applyBorder="1" applyAlignment="1">
      <alignment horizontal="center"/>
    </xf>
    <xf numFmtId="2" fontId="1" fillId="3" borderId="15" xfId="2" applyNumberFormat="1" applyBorder="1" applyAlignment="1">
      <alignment horizontal="center"/>
    </xf>
    <xf numFmtId="2" fontId="1" fillId="5" borderId="15" xfId="4" applyNumberFormat="1" applyBorder="1" applyAlignment="1">
      <alignment horizontal="center"/>
    </xf>
    <xf numFmtId="2" fontId="1" fillId="5" borderId="46" xfId="4" applyNumberFormat="1" applyBorder="1" applyAlignment="1">
      <alignment horizontal="center"/>
    </xf>
    <xf numFmtId="2" fontId="1" fillId="5" borderId="43" xfId="4" applyNumberFormat="1" applyBorder="1" applyAlignment="1">
      <alignment horizontal="center"/>
    </xf>
    <xf numFmtId="0" fontId="1" fillId="3" borderId="46" xfId="2" applyBorder="1" applyAlignment="1">
      <alignment horizontal="center"/>
    </xf>
    <xf numFmtId="0" fontId="2" fillId="0" borderId="32" xfId="1" applyBorder="1" applyAlignment="1">
      <alignment horizontal="center"/>
    </xf>
    <xf numFmtId="0" fontId="2" fillId="4" borderId="59" xfId="3" applyFont="1" applyBorder="1" applyAlignment="1">
      <alignment horizontal="center"/>
    </xf>
    <xf numFmtId="164" fontId="1" fillId="5" borderId="60" xfId="4" applyNumberFormat="1" applyBorder="1" applyAlignment="1">
      <alignment horizontal="center"/>
    </xf>
    <xf numFmtId="164" fontId="1" fillId="3" borderId="5" xfId="2" applyNumberFormat="1" applyBorder="1" applyAlignment="1">
      <alignment horizontal="center"/>
    </xf>
    <xf numFmtId="164" fontId="1" fillId="5" borderId="5" xfId="4" applyNumberFormat="1" applyBorder="1" applyAlignment="1">
      <alignment horizontal="center"/>
    </xf>
    <xf numFmtId="164" fontId="1" fillId="3" borderId="8" xfId="2" applyNumberFormat="1" applyBorder="1" applyAlignment="1">
      <alignment horizontal="center"/>
    </xf>
    <xf numFmtId="0" fontId="1" fillId="5" borderId="35" xfId="4" applyBorder="1" applyAlignment="1">
      <alignment horizontal="center"/>
    </xf>
    <xf numFmtId="0" fontId="1" fillId="5" borderId="27" xfId="4" applyBorder="1" applyAlignment="1">
      <alignment horizontal="center"/>
    </xf>
    <xf numFmtId="0" fontId="1" fillId="5" borderId="62" xfId="4" applyBorder="1" applyAlignment="1">
      <alignment horizontal="center"/>
    </xf>
    <xf numFmtId="0" fontId="1" fillId="5" borderId="17" xfId="4" applyBorder="1" applyAlignment="1">
      <alignment horizontal="center" vertical="center"/>
    </xf>
    <xf numFmtId="0" fontId="1" fillId="5" borderId="49" xfId="4" applyBorder="1" applyAlignment="1">
      <alignment horizontal="center" vertical="center"/>
    </xf>
    <xf numFmtId="165" fontId="1" fillId="3" borderId="15" xfId="2" applyNumberFormat="1" applyBorder="1" applyAlignment="1">
      <alignment horizontal="center"/>
    </xf>
    <xf numFmtId="164" fontId="1" fillId="3" borderId="15" xfId="2" applyNumberFormat="1" applyBorder="1" applyAlignment="1">
      <alignment horizontal="center"/>
    </xf>
    <xf numFmtId="164" fontId="1" fillId="5" borderId="15" xfId="4" applyNumberFormat="1" applyBorder="1" applyAlignment="1">
      <alignment horizontal="center"/>
    </xf>
    <xf numFmtId="164" fontId="1" fillId="3" borderId="16" xfId="2" applyNumberFormat="1" applyBorder="1" applyAlignment="1">
      <alignment horizontal="center"/>
    </xf>
    <xf numFmtId="165" fontId="1" fillId="3" borderId="16" xfId="2" applyNumberFormat="1" applyBorder="1" applyAlignment="1">
      <alignment horizontal="center"/>
    </xf>
    <xf numFmtId="0" fontId="2" fillId="0" borderId="56" xfId="1" applyFill="1" applyBorder="1" applyAlignment="1">
      <alignment horizontal="center" vertical="center"/>
    </xf>
    <xf numFmtId="0" fontId="1" fillId="5" borderId="8" xfId="4" applyBorder="1" applyAlignment="1">
      <alignment horizontal="center"/>
    </xf>
    <xf numFmtId="0" fontId="2" fillId="5" borderId="18" xfId="4" applyFont="1" applyBorder="1" applyAlignment="1">
      <alignment horizontal="center"/>
    </xf>
    <xf numFmtId="0" fontId="2" fillId="3" borderId="18" xfId="2" applyFont="1" applyBorder="1" applyAlignment="1">
      <alignment horizontal="center"/>
    </xf>
    <xf numFmtId="0" fontId="1" fillId="5" borderId="18" xfId="4" applyFont="1" applyBorder="1" applyAlignment="1">
      <alignment horizontal="center"/>
    </xf>
    <xf numFmtId="0" fontId="1" fillId="3" borderId="18" xfId="2" applyFont="1" applyBorder="1" applyAlignment="1">
      <alignment horizontal="center"/>
    </xf>
    <xf numFmtId="0" fontId="2" fillId="5" borderId="39" xfId="4" applyFont="1" applyBorder="1" applyAlignment="1">
      <alignment horizontal="center"/>
    </xf>
    <xf numFmtId="0" fontId="1" fillId="5" borderId="17" xfId="4" applyFont="1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1" fillId="3" borderId="21" xfId="2" applyFont="1" applyBorder="1" applyAlignment="1">
      <alignment horizontal="center"/>
    </xf>
    <xf numFmtId="0" fontId="2" fillId="4" borderId="65" xfId="3" applyFont="1" applyBorder="1" applyAlignment="1">
      <alignment horizontal="center"/>
    </xf>
    <xf numFmtId="0" fontId="0" fillId="0" borderId="66" xfId="0" applyBorder="1"/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5" borderId="16" xfId="4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1" fillId="5" borderId="21" xfId="4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8" xfId="2" applyNumberFormat="1" applyBorder="1" applyAlignment="1">
      <alignment horizontal="center"/>
    </xf>
    <xf numFmtId="0" fontId="1" fillId="5" borderId="15" xfId="4" quotePrefix="1" applyBorder="1" applyAlignment="1">
      <alignment horizontal="center"/>
    </xf>
    <xf numFmtId="0" fontId="1" fillId="5" borderId="49" xfId="4" applyBorder="1" applyAlignment="1">
      <alignment horizontal="center"/>
    </xf>
    <xf numFmtId="0" fontId="1" fillId="5" borderId="17" xfId="4" applyBorder="1" applyAlignment="1">
      <alignment horizontal="center"/>
    </xf>
    <xf numFmtId="0" fontId="1" fillId="3" borderId="15" xfId="2" applyBorder="1" applyAlignment="1">
      <alignment horizontal="center" vertical="center"/>
    </xf>
    <xf numFmtId="0" fontId="1" fillId="3" borderId="18" xfId="2" applyBorder="1" applyAlignment="1">
      <alignment horizontal="center" vertical="center"/>
    </xf>
    <xf numFmtId="0" fontId="1" fillId="3" borderId="16" xfId="2" applyBorder="1" applyAlignment="1">
      <alignment horizontal="center" vertical="center"/>
    </xf>
    <xf numFmtId="0" fontId="1" fillId="3" borderId="21" xfId="2" applyBorder="1" applyAlignment="1">
      <alignment horizontal="center" vertical="center"/>
    </xf>
    <xf numFmtId="0" fontId="2" fillId="0" borderId="68" xfId="1" applyBorder="1" applyAlignment="1">
      <alignment horizontal="center"/>
    </xf>
    <xf numFmtId="0" fontId="0" fillId="5" borderId="39" xfId="4" applyFont="1" applyBorder="1" applyAlignment="1">
      <alignment horizontal="center"/>
    </xf>
    <xf numFmtId="0" fontId="0" fillId="3" borderId="12" xfId="2" applyFont="1" applyBorder="1" applyAlignment="1">
      <alignment horizontal="center"/>
    </xf>
    <xf numFmtId="0" fontId="0" fillId="5" borderId="13" xfId="4" applyFont="1" applyBorder="1" applyAlignment="1">
      <alignment horizontal="center"/>
    </xf>
    <xf numFmtId="0" fontId="1" fillId="5" borderId="69" xfId="4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0" borderId="68" xfId="1" applyBorder="1" applyAlignment="1">
      <alignment horizontal="center" vertical="center"/>
    </xf>
    <xf numFmtId="0" fontId="1" fillId="5" borderId="70" xfId="4" applyBorder="1" applyAlignment="1">
      <alignment horizontal="center"/>
    </xf>
    <xf numFmtId="0" fontId="0" fillId="5" borderId="12" xfId="4" applyFont="1" applyBorder="1" applyAlignment="1">
      <alignment horizontal="center"/>
    </xf>
    <xf numFmtId="0" fontId="1" fillId="5" borderId="71" xfId="4" applyBorder="1" applyAlignment="1">
      <alignment horizontal="center"/>
    </xf>
    <xf numFmtId="2" fontId="1" fillId="3" borderId="45" xfId="2" applyNumberFormat="1" applyBorder="1" applyAlignment="1">
      <alignment horizontal="center"/>
    </xf>
    <xf numFmtId="0" fontId="0" fillId="3" borderId="45" xfId="2" applyFont="1" applyBorder="1" applyAlignment="1">
      <alignment horizontal="center"/>
    </xf>
    <xf numFmtId="0" fontId="0" fillId="5" borderId="72" xfId="4" applyFont="1" applyBorder="1" applyAlignment="1">
      <alignment horizontal="center"/>
    </xf>
    <xf numFmtId="0" fontId="0" fillId="5" borderId="69" xfId="4" applyFont="1" applyBorder="1" applyAlignment="1">
      <alignment horizontal="center"/>
    </xf>
    <xf numFmtId="0" fontId="2" fillId="0" borderId="20" xfId="1" applyBorder="1" applyAlignment="1">
      <alignment horizontal="center" vertical="center"/>
    </xf>
    <xf numFmtId="0" fontId="2" fillId="0" borderId="67" xfId="1" applyBorder="1" applyAlignment="1">
      <alignment horizontal="center" vertical="center"/>
    </xf>
    <xf numFmtId="0" fontId="0" fillId="5" borderId="45" xfId="4" applyFont="1" applyBorder="1" applyAlignment="1">
      <alignment horizontal="center"/>
    </xf>
    <xf numFmtId="0" fontId="2" fillId="0" borderId="66" xfId="1" applyBorder="1" applyAlignment="1">
      <alignment horizontal="center"/>
    </xf>
    <xf numFmtId="0" fontId="1" fillId="3" borderId="15" xfId="2" applyBorder="1" applyAlignment="1">
      <alignment horizontal="center" vertical="center"/>
    </xf>
    <xf numFmtId="0" fontId="1" fillId="3" borderId="18" xfId="2" applyBorder="1" applyAlignment="1">
      <alignment horizontal="center" vertical="center"/>
    </xf>
    <xf numFmtId="0" fontId="1" fillId="5" borderId="16" xfId="4" applyBorder="1" applyAlignment="1">
      <alignment horizontal="center" vertical="center"/>
    </xf>
    <xf numFmtId="0" fontId="1" fillId="5" borderId="21" xfId="4" applyBorder="1" applyAlignment="1">
      <alignment horizontal="center" vertical="center"/>
    </xf>
    <xf numFmtId="0" fontId="1" fillId="5" borderId="56" xfId="4" applyBorder="1" applyAlignment="1">
      <alignment horizontal="center"/>
    </xf>
    <xf numFmtId="2" fontId="1" fillId="3" borderId="5" xfId="2" applyNumberFormat="1" applyBorder="1" applyAlignment="1">
      <alignment horizontal="center"/>
    </xf>
    <xf numFmtId="0" fontId="0" fillId="3" borderId="13" xfId="2" applyFont="1" applyBorder="1" applyAlignment="1">
      <alignment horizontal="center"/>
    </xf>
    <xf numFmtId="2" fontId="1" fillId="3" borderId="69" xfId="2" applyNumberFormat="1" applyBorder="1" applyAlignment="1">
      <alignment horizontal="center"/>
    </xf>
    <xf numFmtId="0" fontId="1" fillId="3" borderId="69" xfId="2" applyBorder="1" applyAlignment="1">
      <alignment horizontal="center"/>
    </xf>
    <xf numFmtId="0" fontId="0" fillId="3" borderId="69" xfId="2" applyFont="1" applyBorder="1" applyAlignment="1">
      <alignment horizontal="center"/>
    </xf>
    <xf numFmtId="2" fontId="1" fillId="3" borderId="8" xfId="2" applyNumberFormat="1" applyBorder="1" applyAlignment="1">
      <alignment horizontal="center"/>
    </xf>
    <xf numFmtId="2" fontId="1" fillId="3" borderId="18" xfId="2" applyNumberFormat="1" applyBorder="1" applyAlignment="1">
      <alignment horizontal="center"/>
    </xf>
    <xf numFmtId="0" fontId="2" fillId="0" borderId="2" xfId="1" applyBorder="1" applyAlignment="1">
      <alignment horizontal="center" vertical="center" wrapText="1"/>
    </xf>
    <xf numFmtId="0" fontId="2" fillId="0" borderId="75" xfId="1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2" fillId="0" borderId="68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1" fillId="5" borderId="12" xfId="4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1" fillId="5" borderId="15" xfId="4" applyBorder="1" applyAlignment="1">
      <alignment horizontal="center" vertical="center"/>
    </xf>
    <xf numFmtId="0" fontId="1" fillId="5" borderId="45" xfId="4" applyBorder="1" applyAlignment="1">
      <alignment horizontal="center" vertical="center"/>
    </xf>
    <xf numFmtId="0" fontId="1" fillId="3" borderId="45" xfId="2" applyBorder="1" applyAlignment="1">
      <alignment horizontal="center" vertical="center"/>
    </xf>
    <xf numFmtId="0" fontId="1" fillId="3" borderId="69" xfId="2" applyBorder="1" applyAlignment="1">
      <alignment horizontal="center" vertical="center"/>
    </xf>
    <xf numFmtId="0" fontId="2" fillId="0" borderId="20" xfId="1" applyBorder="1" applyAlignment="1">
      <alignment horizontal="center" vertical="center" wrapText="1"/>
    </xf>
    <xf numFmtId="0" fontId="1" fillId="5" borderId="5" xfId="4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73" xfId="1" applyBorder="1" applyAlignment="1">
      <alignment horizontal="center" vertical="center"/>
    </xf>
    <xf numFmtId="0" fontId="1" fillId="5" borderId="18" xfId="4" applyBorder="1" applyAlignment="1">
      <alignment horizontal="center" vertical="center"/>
    </xf>
    <xf numFmtId="0" fontId="1" fillId="5" borderId="18" xfId="4" applyBorder="1" applyAlignment="1">
      <alignment horizontal="center" vertical="center"/>
    </xf>
    <xf numFmtId="0" fontId="2" fillId="0" borderId="73" xfId="1" applyBorder="1" applyAlignment="1">
      <alignment horizontal="center"/>
    </xf>
    <xf numFmtId="0" fontId="2" fillId="0" borderId="80" xfId="1" applyBorder="1" applyAlignment="1">
      <alignment horizontal="center"/>
    </xf>
    <xf numFmtId="0" fontId="0" fillId="0" borderId="58" xfId="0" applyBorder="1"/>
    <xf numFmtId="0" fontId="2" fillId="0" borderId="75" xfId="1" applyBorder="1" applyAlignment="1">
      <alignment horizontal="center"/>
    </xf>
    <xf numFmtId="0" fontId="2" fillId="0" borderId="80" xfId="1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5" borderId="69" xfId="4" applyBorder="1" applyAlignment="1">
      <alignment horizontal="center" vertical="center"/>
    </xf>
    <xf numFmtId="0" fontId="1" fillId="5" borderId="56" xfId="4" applyBorder="1" applyAlignment="1">
      <alignment horizontal="center" vertical="center"/>
    </xf>
    <xf numFmtId="0" fontId="2" fillId="0" borderId="81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82" xfId="1" applyBorder="1" applyAlignment="1">
      <alignment horizontal="center"/>
    </xf>
    <xf numFmtId="0" fontId="2" fillId="0" borderId="68" xfId="1" applyBorder="1" applyAlignment="1">
      <alignment horizontal="center" wrapText="1"/>
    </xf>
    <xf numFmtId="0" fontId="2" fillId="0" borderId="3" xfId="1" applyBorder="1" applyAlignment="1">
      <alignment horizontal="center" wrapText="1"/>
    </xf>
    <xf numFmtId="0" fontId="2" fillId="0" borderId="9" xfId="1" applyBorder="1" applyAlignment="1">
      <alignment horizontal="center" vertical="center" wrapText="1"/>
    </xf>
    <xf numFmtId="0" fontId="2" fillId="0" borderId="31" xfId="1" applyBorder="1" applyAlignment="1">
      <alignment horizontal="center" vertical="center" wrapText="1"/>
    </xf>
    <xf numFmtId="0" fontId="3" fillId="6" borderId="0" xfId="6" applyAlignment="1">
      <alignment horizontal="center"/>
    </xf>
    <xf numFmtId="0" fontId="2" fillId="0" borderId="10" xfId="1" applyBorder="1" applyAlignment="1">
      <alignment horizontal="center" vertical="center" wrapText="1"/>
    </xf>
    <xf numFmtId="0" fontId="2" fillId="0" borderId="76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74" xfId="1" applyBorder="1" applyAlignment="1">
      <alignment horizontal="center" vertical="center" wrapText="1"/>
    </xf>
    <xf numFmtId="0" fontId="2" fillId="0" borderId="73" xfId="1" applyBorder="1" applyAlignment="1">
      <alignment horizontal="center" wrapText="1"/>
    </xf>
    <xf numFmtId="0" fontId="1" fillId="5" borderId="18" xfId="4" applyBorder="1" applyAlignment="1">
      <alignment horizontal="center" vertical="center"/>
    </xf>
    <xf numFmtId="0" fontId="2" fillId="0" borderId="17" xfId="1" applyBorder="1" applyAlignment="1">
      <alignment horizontal="center" vertical="center" wrapText="1"/>
    </xf>
    <xf numFmtId="0" fontId="2" fillId="0" borderId="78" xfId="1" applyBorder="1" applyAlignment="1">
      <alignment horizontal="center" vertical="center" wrapText="1"/>
    </xf>
    <xf numFmtId="0" fontId="2" fillId="0" borderId="39" xfId="1" applyBorder="1" applyAlignment="1">
      <alignment horizontal="center" vertical="center" wrapText="1"/>
    </xf>
    <xf numFmtId="0" fontId="2" fillId="0" borderId="44" xfId="1" applyBorder="1" applyAlignment="1">
      <alignment horizontal="center" vertical="center" wrapText="1"/>
    </xf>
    <xf numFmtId="0" fontId="2" fillId="0" borderId="49" xfId="1" applyBorder="1" applyAlignment="1">
      <alignment horizontal="center" vertical="center" wrapText="1"/>
    </xf>
    <xf numFmtId="0" fontId="2" fillId="0" borderId="77" xfId="1" applyBorder="1" applyAlignment="1">
      <alignment horizontal="center" vertical="center" wrapText="1"/>
    </xf>
    <xf numFmtId="0" fontId="2" fillId="0" borderId="67" xfId="1" applyBorder="1" applyAlignment="1">
      <alignment horizontal="center" vertical="center" wrapText="1"/>
    </xf>
    <xf numFmtId="0" fontId="2" fillId="0" borderId="79" xfId="1" applyBorder="1" applyAlignment="1">
      <alignment horizontal="center" vertical="center" wrapText="1"/>
    </xf>
    <xf numFmtId="0" fontId="2" fillId="0" borderId="58" xfId="1" applyFill="1" applyBorder="1" applyAlignment="1">
      <alignment horizontal="center" vertical="center"/>
    </xf>
    <xf numFmtId="0" fontId="2" fillId="0" borderId="61" xfId="1" applyFill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58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" fillId="5" borderId="49" xfId="4" applyBorder="1" applyAlignment="1">
      <alignment horizontal="center" vertical="center"/>
    </xf>
    <xf numFmtId="0" fontId="1" fillId="5" borderId="16" xfId="4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1" fillId="5" borderId="21" xfId="4" applyBorder="1" applyAlignment="1">
      <alignment horizontal="center" vertical="center"/>
    </xf>
    <xf numFmtId="0" fontId="2" fillId="0" borderId="40" xfId="1" applyBorder="1" applyAlignment="1">
      <alignment horizontal="center" wrapText="1"/>
    </xf>
    <xf numFmtId="0" fontId="2" fillId="0" borderId="41" xfId="1" applyBorder="1" applyAlignment="1">
      <alignment horizontal="center" wrapText="1"/>
    </xf>
    <xf numFmtId="0" fontId="1" fillId="3" borderId="15" xfId="2" applyBorder="1" applyAlignment="1">
      <alignment horizontal="center" vertical="center"/>
    </xf>
    <xf numFmtId="0" fontId="1" fillId="3" borderId="16" xfId="2" applyBorder="1" applyAlignment="1">
      <alignment horizontal="center" vertical="center"/>
    </xf>
    <xf numFmtId="0" fontId="1" fillId="3" borderId="18" xfId="2" applyBorder="1" applyAlignment="1">
      <alignment horizontal="center" vertical="center"/>
    </xf>
    <xf numFmtId="0" fontId="1" fillId="3" borderId="21" xfId="2" applyBorder="1" applyAlignment="1">
      <alignment horizontal="center" vertical="center"/>
    </xf>
    <xf numFmtId="0" fontId="0" fillId="0" borderId="0" xfId="0"/>
    <xf numFmtId="0" fontId="2" fillId="0" borderId="2" xfId="1" applyFill="1" applyBorder="1" applyAlignment="1">
      <alignment horizontal="center"/>
    </xf>
    <xf numFmtId="0" fontId="2" fillId="0" borderId="75" xfId="1" applyFill="1" applyBorder="1" applyAlignment="1">
      <alignment horizontal="center"/>
    </xf>
    <xf numFmtId="0" fontId="2" fillId="0" borderId="20" xfId="1" applyFill="1" applyBorder="1" applyAlignment="1">
      <alignment horizontal="center"/>
    </xf>
    <xf numFmtId="11" fontId="1" fillId="3" borderId="18" xfId="2" applyNumberFormat="1" applyBorder="1" applyAlignment="1">
      <alignment horizontal="center" vertical="center"/>
    </xf>
    <xf numFmtId="0" fontId="0" fillId="5" borderId="12" xfId="4" applyFont="1" applyBorder="1" applyAlignment="1">
      <alignment horizontal="center" vertical="center"/>
    </xf>
    <xf numFmtId="0" fontId="0" fillId="3" borderId="12" xfId="2" applyFont="1" applyBorder="1" applyAlignment="1">
      <alignment horizontal="center" vertical="center"/>
    </xf>
    <xf numFmtId="0" fontId="2" fillId="0" borderId="83" xfId="1" applyBorder="1" applyAlignment="1">
      <alignment horizontal="center" vertical="center" wrapText="1"/>
    </xf>
    <xf numFmtId="0" fontId="2" fillId="0" borderId="58" xfId="1" applyBorder="1" applyAlignment="1">
      <alignment horizontal="center" vertical="center"/>
    </xf>
    <xf numFmtId="0" fontId="2" fillId="0" borderId="84" xfId="1" applyBorder="1" applyAlignment="1">
      <alignment horizontal="center" vertical="center" wrapText="1"/>
    </xf>
    <xf numFmtId="0" fontId="2" fillId="0" borderId="56" xfId="1" applyBorder="1" applyAlignment="1">
      <alignment horizontal="center" vertical="center" wrapText="1"/>
    </xf>
    <xf numFmtId="0" fontId="2" fillId="0" borderId="61" xfId="1" applyBorder="1" applyAlignment="1">
      <alignment horizontal="center" vertical="center"/>
    </xf>
    <xf numFmtId="0" fontId="2" fillId="0" borderId="85" xfId="1" applyBorder="1" applyAlignment="1">
      <alignment horizontal="center" vertical="center" wrapText="1"/>
    </xf>
    <xf numFmtId="0" fontId="1" fillId="3" borderId="87" xfId="2" applyBorder="1" applyAlignment="1">
      <alignment horizontal="center" vertical="center" wrapText="1"/>
    </xf>
    <xf numFmtId="0" fontId="1" fillId="3" borderId="14" xfId="2" applyBorder="1" applyAlignment="1">
      <alignment horizontal="center" vertical="center" wrapText="1"/>
    </xf>
    <xf numFmtId="0" fontId="1" fillId="3" borderId="88" xfId="2" applyBorder="1" applyAlignment="1">
      <alignment horizontal="center" vertical="center" wrapText="1"/>
    </xf>
    <xf numFmtId="0" fontId="0" fillId="3" borderId="86" xfId="2" applyFont="1" applyBorder="1" applyAlignment="1">
      <alignment horizontal="center" vertical="center" wrapText="1"/>
    </xf>
    <xf numFmtId="0" fontId="0" fillId="5" borderId="13" xfId="4" applyFont="1" applyBorder="1" applyAlignment="1">
      <alignment horizontal="center" vertical="center"/>
    </xf>
  </cellXfs>
  <cellStyles count="7">
    <cellStyle name="20% - Cor3" xfId="3" builtinId="38"/>
    <cellStyle name="20% - Cor5" xfId="2" builtinId="46"/>
    <cellStyle name="40% - Cor5" xfId="4" builtinId="47"/>
    <cellStyle name="Cor5" xfId="6" builtinId="45"/>
    <cellStyle name="Normal" xfId="0" builtinId="0"/>
    <cellStyle name="Total" xfId="1" builtinId="25"/>
    <cellStyle name="Vírgula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5"/>
  <sheetViews>
    <sheetView tabSelected="1" topLeftCell="A797" zoomScale="70" zoomScaleNormal="70" workbookViewId="0">
      <selection activeCell="I808" sqref="I808"/>
    </sheetView>
  </sheetViews>
  <sheetFormatPr defaultRowHeight="15" x14ac:dyDescent="0.25"/>
  <cols>
    <col min="1" max="9" width="36.28515625" customWidth="1"/>
    <col min="10" max="10" width="13.7109375" customWidth="1"/>
    <col min="13" max="13" width="21.7109375" customWidth="1"/>
    <col min="14" max="14" width="20.42578125" customWidth="1"/>
    <col min="15" max="15" width="20.140625" customWidth="1"/>
  </cols>
  <sheetData>
    <row r="1" spans="1:7" ht="15.75" thickBot="1" x14ac:dyDescent="0.3">
      <c r="D1" s="33"/>
    </row>
    <row r="2" spans="1:7" ht="16.5" thickTop="1" thickBot="1" x14ac:dyDescent="0.3">
      <c r="A2" s="15" t="s">
        <v>33</v>
      </c>
      <c r="B2" s="16" t="s">
        <v>31</v>
      </c>
      <c r="C2" s="16" t="s">
        <v>32</v>
      </c>
      <c r="D2" s="123" t="s">
        <v>80</v>
      </c>
    </row>
    <row r="3" spans="1:7" ht="15.75" thickTop="1" x14ac:dyDescent="0.25">
      <c r="A3" s="77" t="s">
        <v>3</v>
      </c>
      <c r="B3" s="78">
        <v>13</v>
      </c>
      <c r="C3" s="81">
        <v>10</v>
      </c>
      <c r="D3" s="125">
        <v>4.5</v>
      </c>
      <c r="F3" s="129" t="s">
        <v>76</v>
      </c>
      <c r="G3" s="130">
        <f>2*$B$67+2*D3</f>
        <v>29</v>
      </c>
    </row>
    <row r="4" spans="1:7" x14ac:dyDescent="0.25">
      <c r="A4" s="79" t="s">
        <v>4</v>
      </c>
      <c r="B4" s="80">
        <v>11</v>
      </c>
      <c r="C4" s="80">
        <v>6</v>
      </c>
      <c r="D4" s="126">
        <v>3.5</v>
      </c>
      <c r="F4" s="79" t="s">
        <v>77</v>
      </c>
      <c r="G4" s="128">
        <f>2*$B$67+2*D4</f>
        <v>27</v>
      </c>
    </row>
    <row r="5" spans="1:7" ht="16.5" customHeight="1" x14ac:dyDescent="0.25">
      <c r="A5" s="76" t="s">
        <v>5</v>
      </c>
      <c r="B5" s="81">
        <v>9</v>
      </c>
      <c r="C5" s="81">
        <v>2</v>
      </c>
      <c r="D5" s="125">
        <v>2.5</v>
      </c>
      <c r="F5" s="76" t="s">
        <v>78</v>
      </c>
      <c r="G5" s="127">
        <f>2*$B$67+2*D5</f>
        <v>25</v>
      </c>
    </row>
    <row r="6" spans="1:7" ht="15.75" thickBot="1" x14ac:dyDescent="0.3">
      <c r="A6" s="79" t="s">
        <v>6</v>
      </c>
      <c r="B6" s="80">
        <v>6.5</v>
      </c>
      <c r="C6" s="80">
        <v>8</v>
      </c>
      <c r="D6" s="126">
        <v>3</v>
      </c>
      <c r="F6" s="131" t="s">
        <v>79</v>
      </c>
      <c r="G6" s="132">
        <f>2*$B$67+2*D6</f>
        <v>26</v>
      </c>
    </row>
    <row r="7" spans="1:7" ht="15.75" thickTop="1" x14ac:dyDescent="0.25">
      <c r="A7" s="70" t="s">
        <v>7</v>
      </c>
      <c r="B7" s="50">
        <v>4.5</v>
      </c>
      <c r="C7" s="50">
        <v>4</v>
      </c>
      <c r="D7" s="52">
        <v>2</v>
      </c>
    </row>
    <row r="8" spans="1:7" ht="15.75" thickBot="1" x14ac:dyDescent="0.3">
      <c r="A8" s="8" t="s">
        <v>8</v>
      </c>
      <c r="B8" s="10">
        <v>2.5</v>
      </c>
      <c r="C8" s="10">
        <v>1</v>
      </c>
      <c r="D8" s="38">
        <v>4</v>
      </c>
    </row>
    <row r="9" spans="1:7" ht="16.5" thickTop="1" thickBot="1" x14ac:dyDescent="0.3">
      <c r="D9" s="30"/>
    </row>
    <row r="10" spans="1:7" ht="15.75" thickBot="1" x14ac:dyDescent="0.3">
      <c r="A10" s="82" t="s">
        <v>30</v>
      </c>
      <c r="B10" s="83" t="s">
        <v>31</v>
      </c>
    </row>
    <row r="11" spans="1:7" ht="15.75" thickTop="1" x14ac:dyDescent="0.25">
      <c r="A11" s="84" t="s">
        <v>3</v>
      </c>
      <c r="B11" s="85">
        <v>10</v>
      </c>
      <c r="C11" s="29"/>
    </row>
    <row r="12" spans="1:7" x14ac:dyDescent="0.25">
      <c r="A12" s="86" t="s">
        <v>4</v>
      </c>
      <c r="B12" s="87">
        <v>12</v>
      </c>
    </row>
    <row r="13" spans="1:7" x14ac:dyDescent="0.25">
      <c r="A13" s="84" t="s">
        <v>5</v>
      </c>
      <c r="B13" s="88">
        <v>8</v>
      </c>
    </row>
    <row r="14" spans="1:7" x14ac:dyDescent="0.25">
      <c r="A14" s="86" t="s">
        <v>6</v>
      </c>
      <c r="B14" s="87">
        <v>9</v>
      </c>
    </row>
    <row r="15" spans="1:7" x14ac:dyDescent="0.25">
      <c r="A15" s="91" t="s">
        <v>7</v>
      </c>
      <c r="B15" s="94">
        <v>3</v>
      </c>
    </row>
    <row r="16" spans="1:7" x14ac:dyDescent="0.25">
      <c r="A16" s="92" t="s">
        <v>8</v>
      </c>
      <c r="B16" s="93">
        <v>4</v>
      </c>
    </row>
    <row r="17" spans="1:3" x14ac:dyDescent="0.25">
      <c r="A17" s="91" t="s">
        <v>74</v>
      </c>
      <c r="B17" s="94">
        <v>4.5</v>
      </c>
    </row>
    <row r="18" spans="1:3" ht="15.75" thickBot="1" x14ac:dyDescent="0.3">
      <c r="A18" s="89" t="s">
        <v>75</v>
      </c>
      <c r="B18" s="90">
        <v>6.5</v>
      </c>
    </row>
    <row r="19" spans="1:3" ht="15.75" thickBot="1" x14ac:dyDescent="0.3"/>
    <row r="20" spans="1:3" ht="16.5" thickTop="1" thickBot="1" x14ac:dyDescent="0.3">
      <c r="A20" s="6" t="s">
        <v>0</v>
      </c>
      <c r="B20" s="19" t="s">
        <v>1</v>
      </c>
      <c r="C20" s="1" t="s">
        <v>2</v>
      </c>
    </row>
    <row r="21" spans="1:3" ht="15.75" thickTop="1" x14ac:dyDescent="0.25">
      <c r="A21" s="73" t="s">
        <v>3</v>
      </c>
      <c r="B21" s="74" t="s">
        <v>9</v>
      </c>
      <c r="C21" s="75">
        <v>71</v>
      </c>
    </row>
    <row r="22" spans="1:3" x14ac:dyDescent="0.25">
      <c r="A22" s="7" t="s">
        <v>4</v>
      </c>
      <c r="B22" s="9" t="s">
        <v>10</v>
      </c>
      <c r="C22" s="2">
        <v>92</v>
      </c>
    </row>
    <row r="23" spans="1:3" x14ac:dyDescent="0.25">
      <c r="A23" s="70" t="s">
        <v>5</v>
      </c>
      <c r="B23" s="50" t="s">
        <v>11</v>
      </c>
      <c r="C23" s="60">
        <v>121</v>
      </c>
    </row>
    <row r="24" spans="1:3" x14ac:dyDescent="0.25">
      <c r="A24" s="7" t="s">
        <v>6</v>
      </c>
      <c r="B24" s="9" t="s">
        <v>12</v>
      </c>
      <c r="C24" s="2">
        <v>56</v>
      </c>
    </row>
    <row r="25" spans="1:3" x14ac:dyDescent="0.25">
      <c r="A25" s="70" t="s">
        <v>7</v>
      </c>
      <c r="B25" s="50" t="s">
        <v>13</v>
      </c>
      <c r="C25" s="60">
        <v>76</v>
      </c>
    </row>
    <row r="26" spans="1:3" ht="15.75" thickBot="1" x14ac:dyDescent="0.3">
      <c r="A26" s="8" t="s">
        <v>8</v>
      </c>
      <c r="B26" s="10" t="s">
        <v>14</v>
      </c>
      <c r="C26" s="4">
        <v>87</v>
      </c>
    </row>
    <row r="27" spans="1:3" ht="16.5" thickTop="1" thickBot="1" x14ac:dyDescent="0.3"/>
    <row r="28" spans="1:3" ht="16.5" thickTop="1" thickBot="1" x14ac:dyDescent="0.3">
      <c r="A28" s="12" t="s">
        <v>15</v>
      </c>
      <c r="B28" s="13" t="s">
        <v>17</v>
      </c>
      <c r="C28" s="14" t="s">
        <v>16</v>
      </c>
    </row>
    <row r="29" spans="1:3" ht="15.75" thickTop="1" x14ac:dyDescent="0.25">
      <c r="A29" s="72" t="s">
        <v>18</v>
      </c>
      <c r="B29" s="50" t="s">
        <v>19</v>
      </c>
      <c r="C29" s="60">
        <v>416</v>
      </c>
    </row>
    <row r="30" spans="1:3" x14ac:dyDescent="0.25">
      <c r="A30" s="3" t="s">
        <v>28</v>
      </c>
      <c r="B30" s="9" t="s">
        <v>20</v>
      </c>
      <c r="C30" s="2">
        <v>432</v>
      </c>
    </row>
    <row r="31" spans="1:3" x14ac:dyDescent="0.25">
      <c r="A31" s="72" t="s">
        <v>29</v>
      </c>
      <c r="B31" s="50" t="s">
        <v>21</v>
      </c>
      <c r="C31" s="60">
        <v>411</v>
      </c>
    </row>
    <row r="32" spans="1:3" x14ac:dyDescent="0.25">
      <c r="A32" s="3" t="s">
        <v>22</v>
      </c>
      <c r="B32" s="9" t="s">
        <v>23</v>
      </c>
      <c r="C32" s="2">
        <v>382</v>
      </c>
    </row>
    <row r="33" spans="1:7" x14ac:dyDescent="0.25">
      <c r="A33" s="72" t="s">
        <v>24</v>
      </c>
      <c r="B33" s="50" t="s">
        <v>25</v>
      </c>
      <c r="C33" s="60">
        <v>447</v>
      </c>
    </row>
    <row r="34" spans="1:7" ht="15.75" thickBot="1" x14ac:dyDescent="0.3">
      <c r="A34" s="5" t="s">
        <v>26</v>
      </c>
      <c r="B34" s="10" t="s">
        <v>27</v>
      </c>
      <c r="C34" s="4">
        <v>427</v>
      </c>
      <c r="E34" s="29"/>
    </row>
    <row r="35" spans="1:7" ht="15.75" thickTop="1" x14ac:dyDescent="0.25"/>
    <row r="36" spans="1:7" ht="15.75" thickBot="1" x14ac:dyDescent="0.3">
      <c r="A36" s="33"/>
      <c r="B36" s="33"/>
      <c r="C36" s="33"/>
    </row>
    <row r="37" spans="1:7" ht="19.5" thickTop="1" thickBot="1" x14ac:dyDescent="0.4">
      <c r="A37" s="135" t="s">
        <v>89</v>
      </c>
      <c r="B37" s="50">
        <f>E38/(1530*10^-9)/10^12</f>
        <v>195.94278300653593</v>
      </c>
      <c r="C37" s="60">
        <v>195.8</v>
      </c>
      <c r="E37" s="20" t="s">
        <v>37</v>
      </c>
    </row>
    <row r="38" spans="1:7" ht="19.5" thickTop="1" thickBot="1" x14ac:dyDescent="0.4">
      <c r="A38" s="136" t="s">
        <v>90</v>
      </c>
      <c r="B38" s="9">
        <f>E38/(1563*10^-9)/10^12</f>
        <v>191.80579526551503</v>
      </c>
      <c r="C38" s="2">
        <v>191.9</v>
      </c>
      <c r="E38" s="71">
        <v>299792458</v>
      </c>
    </row>
    <row r="39" spans="1:7" ht="19.5" thickTop="1" thickBot="1" x14ac:dyDescent="0.4">
      <c r="A39" s="137" t="s">
        <v>91</v>
      </c>
      <c r="B39" s="57">
        <f>(B37+B38)/2</f>
        <v>193.87428913602548</v>
      </c>
      <c r="C39" s="124">
        <v>193.9</v>
      </c>
    </row>
    <row r="40" spans="1:7" ht="16.5" thickTop="1" thickBot="1" x14ac:dyDescent="0.3">
      <c r="A40" s="134"/>
      <c r="B40" s="33"/>
      <c r="C40" s="33"/>
      <c r="D40" s="33"/>
      <c r="E40" s="33"/>
      <c r="F40" s="33"/>
      <c r="G40" s="33"/>
    </row>
    <row r="41" spans="1:7" ht="16.5" thickTop="1" thickBot="1" x14ac:dyDescent="0.3">
      <c r="A41" s="231" t="s">
        <v>34</v>
      </c>
      <c r="B41" s="233" t="s">
        <v>81</v>
      </c>
      <c r="C41" s="234"/>
      <c r="D41" s="233" t="s">
        <v>82</v>
      </c>
      <c r="E41" s="234"/>
      <c r="F41" s="233" t="s">
        <v>83</v>
      </c>
      <c r="G41" s="235"/>
    </row>
    <row r="42" spans="1:7" ht="15.75" thickBot="1" x14ac:dyDescent="0.3">
      <c r="A42" s="232"/>
      <c r="B42" s="21" t="s">
        <v>35</v>
      </c>
      <c r="C42" s="22" t="s">
        <v>36</v>
      </c>
      <c r="D42" s="133" t="s">
        <v>35</v>
      </c>
      <c r="E42" s="22" t="s">
        <v>36</v>
      </c>
      <c r="F42" s="21" t="s">
        <v>35</v>
      </c>
      <c r="G42" s="108" t="s">
        <v>36</v>
      </c>
    </row>
    <row r="43" spans="1:7" ht="15.75" thickTop="1" x14ac:dyDescent="0.25">
      <c r="A43" s="70">
        <v>1</v>
      </c>
      <c r="B43" s="74">
        <v>193.7</v>
      </c>
      <c r="C43" s="96">
        <f>$E$38/(B43*10^12)</f>
        <v>1.5477153226639132E-6</v>
      </c>
      <c r="D43" s="95">
        <v>192.9</v>
      </c>
      <c r="E43" s="98">
        <f>$E$38/($D43*10^12)</f>
        <v>1.5541340487299119E-6</v>
      </c>
      <c r="F43" s="97">
        <f>C38</f>
        <v>191.9</v>
      </c>
      <c r="G43" s="109">
        <f>$E$38/($F43*10^12)</f>
        <v>1.5622327149557061E-6</v>
      </c>
    </row>
    <row r="44" spans="1:7" x14ac:dyDescent="0.25">
      <c r="A44" s="7">
        <v>2</v>
      </c>
      <c r="B44" s="9">
        <v>193.8</v>
      </c>
      <c r="C44" s="119">
        <f t="shared" ref="C44:C64" si="0">$E$38/(B44*10^12)</f>
        <v>1.5469167079463364E-6</v>
      </c>
      <c r="D44" s="9">
        <v>193</v>
      </c>
      <c r="E44" s="119">
        <f t="shared" ref="E44:E64" si="1">$E$38/($D44*10^12)</f>
        <v>1.5533287979274612E-6</v>
      </c>
      <c r="F44" s="118">
        <v>192</v>
      </c>
      <c r="G44" s="110">
        <f t="shared" ref="G44:G64" si="2">$E$38/($F44*10^12)</f>
        <v>1.5614190520833333E-6</v>
      </c>
    </row>
    <row r="45" spans="1:7" x14ac:dyDescent="0.25">
      <c r="A45" s="70">
        <v>3</v>
      </c>
      <c r="B45" s="50">
        <v>193.9</v>
      </c>
      <c r="C45" s="120">
        <f t="shared" si="0"/>
        <v>1.5461189169675091E-6</v>
      </c>
      <c r="D45" s="50">
        <v>193.1</v>
      </c>
      <c r="E45" s="120">
        <f t="shared" si="1"/>
        <v>1.5525243811496633E-6</v>
      </c>
      <c r="F45" s="50">
        <v>192.1</v>
      </c>
      <c r="G45" s="111">
        <f t="shared" si="2"/>
        <v>1.560606236335242E-6</v>
      </c>
    </row>
    <row r="46" spans="1:7" x14ac:dyDescent="0.25">
      <c r="A46" s="7">
        <v>4</v>
      </c>
      <c r="B46" s="102">
        <v>194</v>
      </c>
      <c r="C46" s="119">
        <f t="shared" si="0"/>
        <v>1.5453219484536082E-6</v>
      </c>
      <c r="D46" s="9">
        <v>193.2</v>
      </c>
      <c r="E46" s="119">
        <f t="shared" si="1"/>
        <v>1.5517207971014492E-6</v>
      </c>
      <c r="F46" s="118">
        <v>192.2</v>
      </c>
      <c r="G46" s="110">
        <f t="shared" si="2"/>
        <v>1.559794266389178E-6</v>
      </c>
    </row>
    <row r="47" spans="1:7" x14ac:dyDescent="0.25">
      <c r="A47" s="70">
        <v>5</v>
      </c>
      <c r="B47" s="50">
        <v>194.1</v>
      </c>
      <c r="C47" s="120">
        <f t="shared" si="0"/>
        <v>1.5445258011334364E-6</v>
      </c>
      <c r="D47" s="50">
        <v>193.3</v>
      </c>
      <c r="E47" s="120">
        <f t="shared" si="1"/>
        <v>1.5509180444904294E-6</v>
      </c>
      <c r="F47" s="50">
        <v>192.3</v>
      </c>
      <c r="G47" s="111">
        <f t="shared" si="2"/>
        <v>1.558983140925637E-6</v>
      </c>
    </row>
    <row r="48" spans="1:7" x14ac:dyDescent="0.25">
      <c r="A48" s="7">
        <v>6</v>
      </c>
      <c r="B48" s="9">
        <v>194.2</v>
      </c>
      <c r="C48" s="119">
        <f t="shared" si="0"/>
        <v>1.5437304737384139E-6</v>
      </c>
      <c r="D48" s="9">
        <v>193.4</v>
      </c>
      <c r="E48" s="119">
        <f t="shared" si="1"/>
        <v>1.5501161220268872E-6</v>
      </c>
      <c r="F48" s="118">
        <v>192.4</v>
      </c>
      <c r="G48" s="110">
        <f t="shared" si="2"/>
        <v>1.5581728586278587E-6</v>
      </c>
    </row>
    <row r="49" spans="1:9" x14ac:dyDescent="0.25">
      <c r="A49" s="70">
        <v>7</v>
      </c>
      <c r="B49" s="50">
        <v>194.3</v>
      </c>
      <c r="C49" s="120">
        <f t="shared" si="0"/>
        <v>1.5429359650025733E-6</v>
      </c>
      <c r="D49" s="50">
        <v>193.5</v>
      </c>
      <c r="E49" s="120">
        <f t="shared" si="1"/>
        <v>1.5493150284237725E-6</v>
      </c>
      <c r="F49" s="50">
        <v>192.5</v>
      </c>
      <c r="G49" s="111">
        <f t="shared" si="2"/>
        <v>1.5573634181818181E-6</v>
      </c>
      <c r="I49" t="s">
        <v>84</v>
      </c>
    </row>
    <row r="50" spans="1:9" x14ac:dyDescent="0.25">
      <c r="A50" s="7">
        <v>8</v>
      </c>
      <c r="B50" s="9">
        <v>194.4</v>
      </c>
      <c r="C50" s="119">
        <f t="shared" si="0"/>
        <v>1.5421422736625515E-6</v>
      </c>
      <c r="D50" s="9">
        <v>193.6</v>
      </c>
      <c r="E50" s="119">
        <f t="shared" si="1"/>
        <v>1.5485147623966942E-6</v>
      </c>
      <c r="F50" s="118">
        <v>192.6</v>
      </c>
      <c r="G50" s="110">
        <f t="shared" si="2"/>
        <v>1.55655481827622E-6</v>
      </c>
    </row>
    <row r="51" spans="1:9" x14ac:dyDescent="0.25">
      <c r="A51" s="70">
        <v>9</v>
      </c>
      <c r="B51" s="50">
        <v>194.5</v>
      </c>
      <c r="C51" s="120">
        <f t="shared" si="0"/>
        <v>1.5413493984575835E-6</v>
      </c>
      <c r="D51" s="50">
        <v>193.7</v>
      </c>
      <c r="E51" s="120">
        <f t="shared" si="1"/>
        <v>1.5477153226639132E-6</v>
      </c>
      <c r="F51" s="50">
        <v>192.7</v>
      </c>
      <c r="G51" s="111">
        <f t="shared" si="2"/>
        <v>1.5557470576024908E-6</v>
      </c>
    </row>
    <row r="52" spans="1:9" x14ac:dyDescent="0.25">
      <c r="A52" s="7">
        <v>10</v>
      </c>
      <c r="B52" s="9">
        <v>194.6</v>
      </c>
      <c r="C52" s="119">
        <f t="shared" si="0"/>
        <v>1.5405573381294965E-6</v>
      </c>
      <c r="D52" s="9">
        <v>193.8</v>
      </c>
      <c r="E52" s="119">
        <f t="shared" si="1"/>
        <v>1.5469167079463364E-6</v>
      </c>
      <c r="F52" s="118">
        <v>192.8</v>
      </c>
      <c r="G52" s="110">
        <f t="shared" si="2"/>
        <v>1.5549401348547717E-6</v>
      </c>
    </row>
    <row r="53" spans="1:9" x14ac:dyDescent="0.25">
      <c r="A53" s="70">
        <v>11</v>
      </c>
      <c r="B53" s="50">
        <v>194.7</v>
      </c>
      <c r="C53" s="120">
        <f t="shared" si="0"/>
        <v>1.5397660914227016E-6</v>
      </c>
      <c r="D53" s="50">
        <f>C39</f>
        <v>193.9</v>
      </c>
      <c r="E53" s="120">
        <f t="shared" si="1"/>
        <v>1.5461189169675091E-6</v>
      </c>
      <c r="F53" s="50">
        <v>192.9</v>
      </c>
      <c r="G53" s="111">
        <f t="shared" si="2"/>
        <v>1.5541340487299119E-6</v>
      </c>
    </row>
    <row r="54" spans="1:9" x14ac:dyDescent="0.25">
      <c r="A54" s="7">
        <v>12</v>
      </c>
      <c r="B54" s="9">
        <v>194.8</v>
      </c>
      <c r="C54" s="119">
        <f t="shared" si="0"/>
        <v>1.5389756570841888E-6</v>
      </c>
      <c r="D54" s="118">
        <v>194</v>
      </c>
      <c r="E54" s="119">
        <f t="shared" si="1"/>
        <v>1.5453219484536082E-6</v>
      </c>
      <c r="F54" s="118">
        <v>193</v>
      </c>
      <c r="G54" s="110">
        <f t="shared" si="2"/>
        <v>1.5533287979274612E-6</v>
      </c>
    </row>
    <row r="55" spans="1:9" x14ac:dyDescent="0.25">
      <c r="A55" s="70">
        <v>13</v>
      </c>
      <c r="B55" s="50">
        <v>194.9</v>
      </c>
      <c r="C55" s="120">
        <f t="shared" si="0"/>
        <v>1.5381860338635198E-6</v>
      </c>
      <c r="D55" s="50">
        <v>194.1</v>
      </c>
      <c r="E55" s="120">
        <f t="shared" si="1"/>
        <v>1.5445258011334364E-6</v>
      </c>
      <c r="F55" s="50">
        <v>193.1</v>
      </c>
      <c r="G55" s="111">
        <f t="shared" si="2"/>
        <v>1.5525243811496633E-6</v>
      </c>
    </row>
    <row r="56" spans="1:9" x14ac:dyDescent="0.25">
      <c r="A56" s="7">
        <v>14</v>
      </c>
      <c r="B56" s="118">
        <v>195</v>
      </c>
      <c r="C56" s="119">
        <f t="shared" si="0"/>
        <v>1.5373972205128206E-6</v>
      </c>
      <c r="D56" s="118">
        <v>194.2</v>
      </c>
      <c r="E56" s="119">
        <f t="shared" si="1"/>
        <v>1.5437304737384139E-6</v>
      </c>
      <c r="F56" s="118">
        <v>193.2</v>
      </c>
      <c r="G56" s="110">
        <f t="shared" si="2"/>
        <v>1.5517207971014492E-6</v>
      </c>
    </row>
    <row r="57" spans="1:9" x14ac:dyDescent="0.25">
      <c r="A57" s="70">
        <v>15</v>
      </c>
      <c r="B57" s="50">
        <v>195.1</v>
      </c>
      <c r="C57" s="120">
        <f t="shared" si="0"/>
        <v>1.536609215786776E-6</v>
      </c>
      <c r="D57" s="50">
        <v>194.3</v>
      </c>
      <c r="E57" s="120">
        <f t="shared" si="1"/>
        <v>1.5429359650025733E-6</v>
      </c>
      <c r="F57" s="50">
        <v>193.3</v>
      </c>
      <c r="G57" s="111">
        <f t="shared" si="2"/>
        <v>1.5509180444904294E-6</v>
      </c>
    </row>
    <row r="58" spans="1:9" x14ac:dyDescent="0.25">
      <c r="A58" s="7">
        <v>16</v>
      </c>
      <c r="B58" s="9">
        <v>195.2</v>
      </c>
      <c r="C58" s="119">
        <f t="shared" si="0"/>
        <v>1.535822018442623E-6</v>
      </c>
      <c r="D58" s="118">
        <v>194.4</v>
      </c>
      <c r="E58" s="119">
        <f t="shared" si="1"/>
        <v>1.5421422736625515E-6</v>
      </c>
      <c r="F58" s="118">
        <v>193.4</v>
      </c>
      <c r="G58" s="110">
        <f t="shared" si="2"/>
        <v>1.5501161220268872E-6</v>
      </c>
    </row>
    <row r="59" spans="1:9" x14ac:dyDescent="0.25">
      <c r="A59" s="70">
        <v>17</v>
      </c>
      <c r="B59" s="50">
        <v>195.3</v>
      </c>
      <c r="C59" s="120">
        <f t="shared" si="0"/>
        <v>1.5350356272401435E-6</v>
      </c>
      <c r="D59" s="50">
        <v>194.5</v>
      </c>
      <c r="E59" s="120">
        <f t="shared" si="1"/>
        <v>1.5413493984575835E-6</v>
      </c>
      <c r="F59" s="50">
        <v>193.5</v>
      </c>
      <c r="G59" s="111">
        <f t="shared" si="2"/>
        <v>1.5493150284237725E-6</v>
      </c>
    </row>
    <row r="60" spans="1:9" x14ac:dyDescent="0.25">
      <c r="A60" s="7">
        <v>18</v>
      </c>
      <c r="B60" s="9">
        <v>195.4</v>
      </c>
      <c r="C60" s="119">
        <f t="shared" si="0"/>
        <v>1.5342500409416581E-6</v>
      </c>
      <c r="D60" s="118">
        <v>194.6</v>
      </c>
      <c r="E60" s="119">
        <f t="shared" si="1"/>
        <v>1.5405573381294965E-6</v>
      </c>
      <c r="F60" s="118">
        <v>193.6</v>
      </c>
      <c r="G60" s="110">
        <f t="shared" si="2"/>
        <v>1.5485147623966942E-6</v>
      </c>
    </row>
    <row r="61" spans="1:9" x14ac:dyDescent="0.25">
      <c r="A61" s="70">
        <v>19</v>
      </c>
      <c r="B61" s="50">
        <v>195.5</v>
      </c>
      <c r="C61" s="120">
        <f t="shared" si="0"/>
        <v>1.5334652583120205E-6</v>
      </c>
      <c r="D61" s="50">
        <v>194.7</v>
      </c>
      <c r="E61" s="120">
        <f t="shared" si="1"/>
        <v>1.5397660914227016E-6</v>
      </c>
      <c r="F61" s="50">
        <v>193.7</v>
      </c>
      <c r="G61" s="111">
        <f t="shared" si="2"/>
        <v>1.5477153226639132E-6</v>
      </c>
    </row>
    <row r="62" spans="1:9" x14ac:dyDescent="0.25">
      <c r="A62" s="7">
        <v>20</v>
      </c>
      <c r="B62" s="9">
        <v>195.6</v>
      </c>
      <c r="C62" s="119">
        <f t="shared" si="0"/>
        <v>1.5326812781186094E-6</v>
      </c>
      <c r="D62" s="118">
        <v>194.8</v>
      </c>
      <c r="E62" s="119">
        <f t="shared" si="1"/>
        <v>1.5389756570841888E-6</v>
      </c>
      <c r="F62" s="118">
        <v>193.8</v>
      </c>
      <c r="G62" s="110">
        <f t="shared" si="2"/>
        <v>1.5469167079463364E-6</v>
      </c>
    </row>
    <row r="63" spans="1:9" x14ac:dyDescent="0.25">
      <c r="A63" s="70">
        <v>21</v>
      </c>
      <c r="B63" s="50">
        <v>195.7</v>
      </c>
      <c r="C63" s="120">
        <f t="shared" si="0"/>
        <v>1.5318980991313234E-6</v>
      </c>
      <c r="D63" s="50">
        <v>194.9</v>
      </c>
      <c r="E63" s="120">
        <f t="shared" si="1"/>
        <v>1.5381860338635198E-6</v>
      </c>
      <c r="F63" s="50">
        <v>193.9</v>
      </c>
      <c r="G63" s="111">
        <f t="shared" si="2"/>
        <v>1.5461189169675091E-6</v>
      </c>
    </row>
    <row r="64" spans="1:9" ht="15.75" thickBot="1" x14ac:dyDescent="0.3">
      <c r="A64" s="8">
        <v>22</v>
      </c>
      <c r="B64" s="10">
        <f>C37</f>
        <v>195.8</v>
      </c>
      <c r="C64" s="121">
        <f t="shared" si="0"/>
        <v>1.531115720122574E-6</v>
      </c>
      <c r="D64" s="122">
        <v>195</v>
      </c>
      <c r="E64" s="121">
        <f t="shared" si="1"/>
        <v>1.5373972205128206E-6</v>
      </c>
      <c r="F64" s="122">
        <v>194</v>
      </c>
      <c r="G64" s="112">
        <f t="shared" si="2"/>
        <v>1.5453219484536082E-6</v>
      </c>
    </row>
    <row r="65" spans="1:6" ht="15.75" thickTop="1" x14ac:dyDescent="0.25"/>
    <row r="66" spans="1:6" ht="15" customHeight="1" thickBot="1" x14ac:dyDescent="0.3"/>
    <row r="67" spans="1:6" ht="15.75" thickBot="1" x14ac:dyDescent="0.3">
      <c r="A67" s="23" t="s">
        <v>45</v>
      </c>
      <c r="B67" s="67">
        <v>10</v>
      </c>
    </row>
    <row r="68" spans="1:6" ht="16.5" thickTop="1" thickBot="1" x14ac:dyDescent="0.3">
      <c r="A68" s="24" t="s">
        <v>42</v>
      </c>
      <c r="B68" s="65">
        <f>SUM(C33)</f>
        <v>447</v>
      </c>
      <c r="D68" s="27" t="s">
        <v>44</v>
      </c>
      <c r="E68" s="67">
        <v>1</v>
      </c>
    </row>
    <row r="69" spans="1:6" ht="16.5" thickTop="1" thickBot="1" x14ac:dyDescent="0.3">
      <c r="A69" s="24" t="s">
        <v>43</v>
      </c>
      <c r="B69" s="69">
        <f>SUM((B67*10^9)^2*B75/1000*B68*(B74*10^-9)^2/(2*PI()*E38))</f>
        <v>1.0145201446261305</v>
      </c>
      <c r="D69" s="28" t="s">
        <v>43</v>
      </c>
      <c r="E69" s="66">
        <f>SQRT(10^(E68/5)-1)/8</f>
        <v>9.5597887697401032E-2</v>
      </c>
    </row>
    <row r="70" spans="1:6" ht="16.5" thickTop="1" thickBot="1" x14ac:dyDescent="0.3">
      <c r="A70" s="107" t="s">
        <v>44</v>
      </c>
      <c r="B70" s="66">
        <f>5*LOG10(1+(8*B69)^2)</f>
        <v>9.1262238967176312</v>
      </c>
      <c r="E70" s="31"/>
    </row>
    <row r="71" spans="1:6" ht="15.75" thickBot="1" x14ac:dyDescent="0.3">
      <c r="F71" s="141" t="s">
        <v>156</v>
      </c>
    </row>
    <row r="72" spans="1:6" ht="15.75" customHeight="1" thickBot="1" x14ac:dyDescent="0.3">
      <c r="A72" s="23" t="s">
        <v>40</v>
      </c>
      <c r="B72" s="113">
        <v>9.1999999999999998E-2</v>
      </c>
      <c r="C72" s="115">
        <v>9.1999999999999998E-2</v>
      </c>
      <c r="D72" s="115">
        <v>9.1999999999999998E-2</v>
      </c>
      <c r="E72" s="115">
        <v>9.1999999999999998E-2</v>
      </c>
      <c r="F72" s="114">
        <v>9.1999999999999998E-2</v>
      </c>
    </row>
    <row r="73" spans="1:6" ht="16.5" thickTop="1" thickBot="1" x14ac:dyDescent="0.3">
      <c r="A73" s="24" t="s">
        <v>41</v>
      </c>
      <c r="B73" s="65">
        <v>1310</v>
      </c>
      <c r="C73" s="65">
        <v>1310</v>
      </c>
      <c r="D73" s="65">
        <v>1310</v>
      </c>
      <c r="E73" s="65">
        <v>1310</v>
      </c>
      <c r="F73" s="65">
        <v>1310</v>
      </c>
    </row>
    <row r="74" spans="1:6" ht="16.5" thickTop="1" thickBot="1" x14ac:dyDescent="0.3">
      <c r="A74" s="25" t="s">
        <v>38</v>
      </c>
      <c r="B74" s="68">
        <v>1554.13</v>
      </c>
      <c r="C74" s="99">
        <v>1547.72</v>
      </c>
      <c r="D74" s="100">
        <v>1554.13</v>
      </c>
      <c r="E74" s="100">
        <v>1562.23</v>
      </c>
      <c r="F74" s="100">
        <v>1531.12</v>
      </c>
    </row>
    <row r="75" spans="1:6" ht="16.5" thickTop="1" thickBot="1" x14ac:dyDescent="0.3">
      <c r="A75" s="26" t="s">
        <v>39</v>
      </c>
      <c r="B75" s="66">
        <f>SUM(B72/4*(B74-B73^4/B74^3))</f>
        <v>17.700235119883192</v>
      </c>
      <c r="C75" s="66">
        <f>SUM(C72/4*(C74-C73^4/C74^3))</f>
        <v>17.327674120836658</v>
      </c>
      <c r="D75" s="66">
        <f>SUM(D72/4*(D74-D73^4/D74^3))</f>
        <v>17.700235119883192</v>
      </c>
      <c r="E75" s="66">
        <f>SUM(E72/4*(E74-E73^4/E74^3))</f>
        <v>18.165762865225538</v>
      </c>
      <c r="F75" s="66">
        <f>SUM(F72/4*(F74-F73^4/F74^3))</f>
        <v>16.345176452117801</v>
      </c>
    </row>
    <row r="76" spans="1:6" ht="15.75" customHeight="1" thickBot="1" x14ac:dyDescent="0.3">
      <c r="B76" s="34"/>
      <c r="C76" s="34"/>
      <c r="D76" s="34"/>
    </row>
    <row r="77" spans="1:6" ht="15.75" thickTop="1" x14ac:dyDescent="0.25">
      <c r="A77" s="236" t="s">
        <v>46</v>
      </c>
      <c r="B77" s="238">
        <f>(($E$69*2*PI()*$E$38)/(($B$67*10^9)^2*(B$74*10^-9)^2))*1000</f>
        <v>745.54554572673987</v>
      </c>
      <c r="C77" s="238">
        <f>(($E$69*2*PI()*$E$38)/(($B$67*10^9)^2*(C$74*10^-9)^2))*1000</f>
        <v>751.73380088153647</v>
      </c>
      <c r="D77" s="238">
        <f>(($E$69*2*PI()*$E$38)/(($B$67*10^9)^2*(D$74*10^-9)^2))*1000</f>
        <v>745.54554572673987</v>
      </c>
      <c r="E77" s="238">
        <f>(($E$69*2*PI()*$E$38)/(($B$67*10^9)^2*(E$74*10^-9)^2))*1000</f>
        <v>737.83443617531668</v>
      </c>
      <c r="F77" s="240">
        <f>(($E$69*2*PI()*$E$38)/(($B$67*10^9)^2*(F$74*10^-9)^2))*1000</f>
        <v>768.12236209756088</v>
      </c>
    </row>
    <row r="78" spans="1:6" ht="15.75" thickBot="1" x14ac:dyDescent="0.3">
      <c r="A78" s="237"/>
      <c r="B78" s="239"/>
      <c r="C78" s="239"/>
      <c r="D78" s="239"/>
      <c r="E78" s="239"/>
      <c r="F78" s="241"/>
    </row>
    <row r="79" spans="1:6" ht="15.75" thickTop="1" x14ac:dyDescent="0.25">
      <c r="A79" s="30"/>
      <c r="B79" s="29"/>
      <c r="C79" s="29"/>
    </row>
    <row r="80" spans="1:6" x14ac:dyDescent="0.25">
      <c r="B80" s="29"/>
      <c r="C80" s="29"/>
    </row>
    <row r="81" spans="1:7" x14ac:dyDescent="0.25">
      <c r="A81" s="216" t="s">
        <v>85</v>
      </c>
      <c r="B81" s="216"/>
      <c r="C81" s="216"/>
      <c r="D81" s="216"/>
      <c r="E81" s="216"/>
      <c r="F81" s="216"/>
      <c r="G81" s="216"/>
    </row>
    <row r="82" spans="1:7" ht="15.75" thickBot="1" x14ac:dyDescent="0.3"/>
    <row r="83" spans="1:7" ht="16.5" thickTop="1" thickBot="1" x14ac:dyDescent="0.3">
      <c r="A83" s="41"/>
      <c r="B83" s="13" t="s">
        <v>47</v>
      </c>
      <c r="C83" s="13" t="s">
        <v>47</v>
      </c>
      <c r="D83" s="13" t="s">
        <v>47</v>
      </c>
      <c r="E83" s="13" t="s">
        <v>36</v>
      </c>
      <c r="F83" s="14" t="s">
        <v>48</v>
      </c>
    </row>
    <row r="84" spans="1:7" ht="16.5" thickTop="1" thickBot="1" x14ac:dyDescent="0.3">
      <c r="A84" s="42"/>
      <c r="B84" s="59">
        <v>1.55E-6</v>
      </c>
      <c r="C84" s="50">
        <v>1.5689999999999999E-6</v>
      </c>
      <c r="D84" s="101">
        <f>B74*10^-9</f>
        <v>1.5541300000000003E-6</v>
      </c>
      <c r="E84" s="50"/>
      <c r="F84" s="60"/>
    </row>
    <row r="85" spans="1:7" ht="16.5" thickTop="1" thickBot="1" x14ac:dyDescent="0.3">
      <c r="A85" s="35" t="s">
        <v>49</v>
      </c>
      <c r="B85" s="9">
        <v>-327</v>
      </c>
      <c r="C85" s="11">
        <v>-348</v>
      </c>
      <c r="D85" s="102">
        <f>E85*(D84-B84)+B85</f>
        <v>-331.56473684210562</v>
      </c>
      <c r="E85" s="9">
        <f t="shared" ref="E85:E90" si="3">(C85-B85)/($C$84-$B$84)</f>
        <v>-1105263157.8947401</v>
      </c>
      <c r="F85" s="2">
        <v>3.4</v>
      </c>
    </row>
    <row r="86" spans="1:7" ht="16.5" thickTop="1" thickBot="1" x14ac:dyDescent="0.3">
      <c r="A86" s="24" t="s">
        <v>50</v>
      </c>
      <c r="B86" s="50">
        <v>-490</v>
      </c>
      <c r="C86" s="50">
        <v>-523</v>
      </c>
      <c r="D86" s="103">
        <f>E86*(D84-B84)+B86</f>
        <v>-497.17315789473736</v>
      </c>
      <c r="E86" s="50">
        <f t="shared" si="3"/>
        <v>-1736842105.2631629</v>
      </c>
      <c r="F86" s="60">
        <v>4.0999999999999996</v>
      </c>
    </row>
    <row r="87" spans="1:7" ht="16.5" thickTop="1" thickBot="1" x14ac:dyDescent="0.3">
      <c r="A87" s="24" t="s">
        <v>51</v>
      </c>
      <c r="B87" s="9">
        <v>-653</v>
      </c>
      <c r="C87" s="9">
        <v>-697</v>
      </c>
      <c r="D87" s="102">
        <f>E87*(D84-B84)+B87</f>
        <v>-662.56421052631651</v>
      </c>
      <c r="E87" s="9">
        <f t="shared" si="3"/>
        <v>-2315789473.684217</v>
      </c>
      <c r="F87" s="2">
        <v>4.8</v>
      </c>
    </row>
    <row r="88" spans="1:7" ht="16.5" thickTop="1" thickBot="1" x14ac:dyDescent="0.3">
      <c r="A88" s="24" t="s">
        <v>52</v>
      </c>
      <c r="B88" s="50">
        <v>-980</v>
      </c>
      <c r="C88" s="50">
        <v>-1045</v>
      </c>
      <c r="D88" s="103">
        <f>E88*(D84-B84)+B88</f>
        <v>-994.12894736842213</v>
      </c>
      <c r="E88" s="50">
        <f t="shared" si="3"/>
        <v>-3421052631.5789571</v>
      </c>
      <c r="F88" s="60">
        <v>6.1</v>
      </c>
    </row>
    <row r="89" spans="1:7" ht="16.5" thickTop="1" thickBot="1" x14ac:dyDescent="0.3">
      <c r="A89" s="32" t="s">
        <v>53</v>
      </c>
      <c r="B89" s="9">
        <v>-1307</v>
      </c>
      <c r="C89" s="9">
        <v>-1394</v>
      </c>
      <c r="D89" s="102">
        <f>E89*(D84-B84)+B89</f>
        <v>-1325.9110526315803</v>
      </c>
      <c r="E89" s="9">
        <f t="shared" si="3"/>
        <v>-4578947368.4210663</v>
      </c>
      <c r="F89" s="17">
        <v>7.5</v>
      </c>
    </row>
    <row r="90" spans="1:7" ht="16.5" thickTop="1" thickBot="1" x14ac:dyDescent="0.3">
      <c r="A90" s="44" t="s">
        <v>64</v>
      </c>
      <c r="B90" s="61">
        <v>-1633</v>
      </c>
      <c r="C90" s="50">
        <v>-1742</v>
      </c>
      <c r="D90" s="104">
        <f>E90*(D84-B84)+B90</f>
        <v>-1656.6931578947385</v>
      </c>
      <c r="E90" s="61">
        <f t="shared" si="3"/>
        <v>-5736842105.2631741</v>
      </c>
      <c r="F90" s="52">
        <v>8.9</v>
      </c>
    </row>
    <row r="91" spans="1:7" ht="16.5" thickTop="1" thickBot="1" x14ac:dyDescent="0.3">
      <c r="A91" s="48" t="s">
        <v>70</v>
      </c>
      <c r="B91" s="49" t="s">
        <v>71</v>
      </c>
      <c r="C91" s="49" t="s">
        <v>71</v>
      </c>
      <c r="D91" s="102">
        <f>((D90-D89)/(100-80))*(120-100)+D90</f>
        <v>-1987.4752631578967</v>
      </c>
      <c r="E91" s="43" t="s">
        <v>71</v>
      </c>
      <c r="F91" s="142">
        <f>((F90-F89)/(100-80))*(120-100)+F90</f>
        <v>10.3</v>
      </c>
      <c r="G91" s="45"/>
    </row>
    <row r="92" spans="1:7" ht="16.5" thickTop="1" thickBot="1" x14ac:dyDescent="0.3">
      <c r="A92" s="46" t="s">
        <v>72</v>
      </c>
      <c r="B92" s="62" t="s">
        <v>71</v>
      </c>
      <c r="C92" s="62" t="s">
        <v>71</v>
      </c>
      <c r="D92" s="105">
        <f>((D91-D90)/(120-100))*(140-120)+D91</f>
        <v>-2318.2573684210547</v>
      </c>
      <c r="E92" s="64" t="s">
        <v>71</v>
      </c>
      <c r="F92" s="143">
        <f>((F91-F90)/(120-100))*(140-120)+F91</f>
        <v>11.700000000000001</v>
      </c>
      <c r="G92" s="45"/>
    </row>
    <row r="93" spans="1:7" ht="16.5" thickTop="1" thickBot="1" x14ac:dyDescent="0.3">
      <c r="A93" s="18"/>
      <c r="B93" s="18"/>
      <c r="C93" s="18"/>
      <c r="F93" s="18"/>
    </row>
    <row r="94" spans="1:7" ht="16.5" thickTop="1" thickBot="1" x14ac:dyDescent="0.3">
      <c r="A94" s="39"/>
      <c r="B94" s="13" t="s">
        <v>54</v>
      </c>
      <c r="C94" s="13" t="s">
        <v>55</v>
      </c>
      <c r="D94" s="13" t="s">
        <v>56</v>
      </c>
      <c r="E94" s="13" t="s">
        <v>57</v>
      </c>
      <c r="F94" s="13" t="s">
        <v>58</v>
      </c>
      <c r="G94" s="37" t="s">
        <v>59</v>
      </c>
    </row>
    <row r="95" spans="1:7" ht="16.5" thickTop="1" thickBot="1" x14ac:dyDescent="0.3">
      <c r="A95" s="24" t="s">
        <v>60</v>
      </c>
      <c r="B95" s="50">
        <f>C21</f>
        <v>71</v>
      </c>
      <c r="C95" s="50">
        <f>C22</f>
        <v>92</v>
      </c>
      <c r="D95" s="50">
        <f>C23</f>
        <v>121</v>
      </c>
      <c r="E95" s="50">
        <f>C24</f>
        <v>56</v>
      </c>
      <c r="F95" s="50">
        <f>C25</f>
        <v>76</v>
      </c>
      <c r="G95" s="52">
        <f>C26</f>
        <v>87</v>
      </c>
    </row>
    <row r="96" spans="1:7" ht="16.5" thickTop="1" thickBot="1" x14ac:dyDescent="0.3">
      <c r="A96" s="24" t="s">
        <v>61</v>
      </c>
      <c r="B96" s="9">
        <f>B95*B75</f>
        <v>1256.7166935117066</v>
      </c>
      <c r="C96" s="9">
        <f>C95*B75</f>
        <v>1628.4216310292536</v>
      </c>
      <c r="D96" s="9">
        <f>D95*B75</f>
        <v>2141.7284495058661</v>
      </c>
      <c r="E96" s="9">
        <f>E95*B75</f>
        <v>991.2131667134588</v>
      </c>
      <c r="F96" s="9">
        <f>F95*B75</f>
        <v>1345.2178691111226</v>
      </c>
      <c r="G96" s="17">
        <f>G95*B75</f>
        <v>1539.9204554298378</v>
      </c>
    </row>
    <row r="97" spans="1:7" ht="16.5" thickTop="1" thickBot="1" x14ac:dyDescent="0.3">
      <c r="A97" s="24" t="s">
        <v>62</v>
      </c>
      <c r="B97" s="50">
        <f>B77/5</f>
        <v>149.10910914534799</v>
      </c>
      <c r="C97" s="50">
        <f>B77/5</f>
        <v>149.10910914534799</v>
      </c>
      <c r="D97" s="50">
        <f>B77/5</f>
        <v>149.10910914534799</v>
      </c>
      <c r="E97" s="50">
        <f>B77/5</f>
        <v>149.10910914534799</v>
      </c>
      <c r="F97" s="50">
        <f>B77/5</f>
        <v>149.10910914534799</v>
      </c>
      <c r="G97" s="52">
        <f>B77/5</f>
        <v>149.10910914534799</v>
      </c>
    </row>
    <row r="98" spans="1:7" ht="16.5" thickTop="1" thickBot="1" x14ac:dyDescent="0.3">
      <c r="A98" s="36" t="s">
        <v>63</v>
      </c>
      <c r="B98" s="9">
        <f t="shared" ref="B98:G98" si="4">-(B96-B97)</f>
        <v>-1107.6075843663587</v>
      </c>
      <c r="C98" s="10">
        <f t="shared" si="4"/>
        <v>-1479.3125218839057</v>
      </c>
      <c r="D98" s="10">
        <f t="shared" si="4"/>
        <v>-1992.6193403605182</v>
      </c>
      <c r="E98" s="10">
        <f t="shared" si="4"/>
        <v>-842.10405756811087</v>
      </c>
      <c r="F98" s="10">
        <f t="shared" si="4"/>
        <v>-1196.1087599657747</v>
      </c>
      <c r="G98" s="38">
        <f t="shared" si="4"/>
        <v>-1390.8113462844899</v>
      </c>
    </row>
    <row r="99" spans="1:7" ht="16.5" thickTop="1" thickBot="1" x14ac:dyDescent="0.3">
      <c r="A99" s="18"/>
      <c r="B99" s="30"/>
      <c r="D99" s="18"/>
      <c r="F99" s="18"/>
      <c r="G99" s="18"/>
    </row>
    <row r="100" spans="1:7" ht="16.5" thickTop="1" thickBot="1" x14ac:dyDescent="0.3">
      <c r="A100" s="47" t="s">
        <v>65</v>
      </c>
      <c r="B100" s="53"/>
      <c r="C100" s="53"/>
      <c r="D100" s="54"/>
      <c r="E100" s="53"/>
      <c r="F100" s="55"/>
      <c r="G100" s="56"/>
    </row>
    <row r="101" spans="1:7" ht="16.5" thickTop="1" thickBot="1" x14ac:dyDescent="0.3">
      <c r="A101" s="24" t="s">
        <v>66</v>
      </c>
      <c r="B101" s="9">
        <f>IF(ABS(B98-D88)&lt;=ABS(B98-D89),D88,D89)</f>
        <v>-994.12894736842213</v>
      </c>
      <c r="C101" s="9">
        <f>IF(ABS(C98-D89)&lt;=ABS(C98-D90),D89,D90)</f>
        <v>-1325.9110526315803</v>
      </c>
      <c r="D101" s="40">
        <f>IF(ABS(D98-D92)&lt;=ABS(D98-D91),D92,D91)</f>
        <v>-1987.4752631578967</v>
      </c>
      <c r="E101" s="9">
        <f>IF(ABS(E98-D87)&lt;=ABS(E98-D88),D87,D88)</f>
        <v>-994.12894736842213</v>
      </c>
      <c r="F101" s="9">
        <f>IF(ABS(F98-D88)&lt;=ABS(F98-D89),D88,D89)</f>
        <v>-1325.9110526315803</v>
      </c>
      <c r="G101" s="17">
        <f>IF(ABS(G98-D89)&lt;=ABS(G98-D90),D89,D90)</f>
        <v>-1325.9110526315803</v>
      </c>
    </row>
    <row r="102" spans="1:7" ht="16.5" thickTop="1" thickBot="1" x14ac:dyDescent="0.3">
      <c r="A102" s="24" t="s">
        <v>67</v>
      </c>
      <c r="B102" s="50">
        <f t="shared" ref="B102:G102" si="5">B96+B101</f>
        <v>262.58774614328445</v>
      </c>
      <c r="C102" s="50">
        <f>C96+C101</f>
        <v>302.51057839767327</v>
      </c>
      <c r="D102" s="51">
        <f t="shared" si="5"/>
        <v>154.2531863479694</v>
      </c>
      <c r="E102" s="50">
        <f t="shared" si="5"/>
        <v>-2.9157806549633278</v>
      </c>
      <c r="F102" s="50">
        <f t="shared" si="5"/>
        <v>19.306816479542249</v>
      </c>
      <c r="G102" s="52">
        <f t="shared" si="5"/>
        <v>214.0094027982575</v>
      </c>
    </row>
    <row r="103" spans="1:7" ht="16.5" thickTop="1" thickBot="1" x14ac:dyDescent="0.3">
      <c r="A103" s="24" t="s">
        <v>68</v>
      </c>
      <c r="B103" s="9">
        <f t="shared" ref="B103:G103" si="6">B101-B98</f>
        <v>113.47863699793652</v>
      </c>
      <c r="C103" s="9">
        <f>C101-C98</f>
        <v>153.40146925232534</v>
      </c>
      <c r="D103" s="40">
        <f t="shared" si="6"/>
        <v>5.1440772026214745</v>
      </c>
      <c r="E103" s="9">
        <f t="shared" si="6"/>
        <v>-152.02488980031126</v>
      </c>
      <c r="F103" s="9">
        <f t="shared" si="6"/>
        <v>-129.80229266580568</v>
      </c>
      <c r="G103" s="17">
        <f t="shared" si="6"/>
        <v>64.900293652909568</v>
      </c>
    </row>
    <row r="104" spans="1:7" ht="16.5" thickTop="1" thickBot="1" x14ac:dyDescent="0.3">
      <c r="A104" s="46" t="s">
        <v>69</v>
      </c>
      <c r="B104" s="57">
        <f>C102+D102+E102+F102+B102</f>
        <v>735.74254671350604</v>
      </c>
      <c r="C104" s="50">
        <f>C102+D102+E102+F102+G102</f>
        <v>687.16420336847909</v>
      </c>
      <c r="D104" s="57">
        <f>B102+D102+E102+F102+G102</f>
        <v>647.24137111409027</v>
      </c>
      <c r="E104" s="57">
        <f>B102+C102+E102+F102+G102</f>
        <v>795.49876316379414</v>
      </c>
      <c r="F104" s="50">
        <f>B102+C102+D102+F102+G102</f>
        <v>952.66773016672687</v>
      </c>
      <c r="G104" s="58">
        <f>B102+C102+D102+E102+G102</f>
        <v>930.44513303222129</v>
      </c>
    </row>
    <row r="105" spans="1:7" ht="16.5" thickTop="1" thickBot="1" x14ac:dyDescent="0.3">
      <c r="A105" s="18"/>
      <c r="C105" s="30"/>
      <c r="F105" s="30"/>
    </row>
    <row r="106" spans="1:7" ht="16.5" thickTop="1" thickBot="1" x14ac:dyDescent="0.3">
      <c r="A106" s="47" t="s">
        <v>73</v>
      </c>
      <c r="B106" s="53"/>
      <c r="C106" s="53"/>
      <c r="D106" s="53"/>
      <c r="E106" s="53"/>
      <c r="F106" s="53"/>
      <c r="G106" s="56"/>
    </row>
    <row r="107" spans="1:7" ht="16.5" thickTop="1" thickBot="1" x14ac:dyDescent="0.3">
      <c r="A107" s="24" t="s">
        <v>66</v>
      </c>
      <c r="B107" s="9">
        <f>B101</f>
        <v>-994.12894736842213</v>
      </c>
      <c r="C107" s="9">
        <f>D90</f>
        <v>-1656.6931578947385</v>
      </c>
      <c r="D107" s="40">
        <f t="shared" ref="D107:G109" si="7">D101</f>
        <v>-1987.4752631578967</v>
      </c>
      <c r="E107" s="9">
        <f t="shared" si="7"/>
        <v>-994.12894736842213</v>
      </c>
      <c r="F107" s="9">
        <f t="shared" si="7"/>
        <v>-1325.9110526315803</v>
      </c>
      <c r="G107" s="17">
        <f t="shared" si="7"/>
        <v>-1325.9110526315803</v>
      </c>
    </row>
    <row r="108" spans="1:7" ht="16.5" thickTop="1" thickBot="1" x14ac:dyDescent="0.3">
      <c r="A108" s="24" t="s">
        <v>67</v>
      </c>
      <c r="B108" s="50">
        <f>B102</f>
        <v>262.58774614328445</v>
      </c>
      <c r="C108" s="50">
        <f>C96+C107</f>
        <v>-28.27152686548493</v>
      </c>
      <c r="D108" s="51">
        <f t="shared" si="7"/>
        <v>154.2531863479694</v>
      </c>
      <c r="E108" s="50">
        <f t="shared" si="7"/>
        <v>-2.9157806549633278</v>
      </c>
      <c r="F108" s="50">
        <f t="shared" si="7"/>
        <v>19.306816479542249</v>
      </c>
      <c r="G108" s="52">
        <f t="shared" si="7"/>
        <v>214.0094027982575</v>
      </c>
    </row>
    <row r="109" spans="1:7" ht="16.5" thickTop="1" thickBot="1" x14ac:dyDescent="0.3">
      <c r="A109" s="24" t="s">
        <v>68</v>
      </c>
      <c r="B109" s="9">
        <f>B103</f>
        <v>113.47863699793652</v>
      </c>
      <c r="C109" s="9">
        <f>C107-C98</f>
        <v>-177.38063601083286</v>
      </c>
      <c r="D109" s="40">
        <f t="shared" si="7"/>
        <v>5.1440772026214745</v>
      </c>
      <c r="E109" s="9">
        <f t="shared" si="7"/>
        <v>-152.02488980031126</v>
      </c>
      <c r="F109" s="9">
        <f t="shared" si="7"/>
        <v>-129.80229266580568</v>
      </c>
      <c r="G109" s="17">
        <f t="shared" si="7"/>
        <v>64.900293652909568</v>
      </c>
    </row>
    <row r="110" spans="1:7" ht="16.5" thickTop="1" thickBot="1" x14ac:dyDescent="0.3">
      <c r="A110" s="46" t="s">
        <v>69</v>
      </c>
      <c r="B110" s="57">
        <f>C108+D108+E108+F108+B108</f>
        <v>404.96044145034784</v>
      </c>
      <c r="C110" s="50">
        <f>C108+D108+E108+F108+G108</f>
        <v>356.38209810532089</v>
      </c>
      <c r="D110" s="57">
        <f>B108+D108+E108+F108+G108</f>
        <v>647.24137111409027</v>
      </c>
      <c r="E110" s="57">
        <f>B108+C108+E108+F108+G108</f>
        <v>464.71665790063594</v>
      </c>
      <c r="F110" s="50">
        <f>B108+C108+D108+F108+G108</f>
        <v>621.88562490356867</v>
      </c>
      <c r="G110" s="58">
        <f>B108+C108+D108+E108+G108</f>
        <v>599.66302776906309</v>
      </c>
    </row>
    <row r="111" spans="1:7" ht="16.5" thickTop="1" thickBot="1" x14ac:dyDescent="0.3">
      <c r="C111" s="30"/>
      <c r="F111" s="30"/>
    </row>
    <row r="112" spans="1:7" ht="16.5" thickTop="1" thickBot="1" x14ac:dyDescent="0.3">
      <c r="A112" s="39" t="s">
        <v>107</v>
      </c>
      <c r="B112" s="117">
        <f>F88</f>
        <v>6.1</v>
      </c>
      <c r="C112" s="117">
        <f>F90</f>
        <v>8.9</v>
      </c>
      <c r="D112" s="117">
        <f>F91</f>
        <v>10.3</v>
      </c>
      <c r="E112" s="117">
        <f>F88</f>
        <v>6.1</v>
      </c>
      <c r="F112" s="117">
        <f>F89</f>
        <v>7.5</v>
      </c>
      <c r="G112" s="116">
        <f>F89</f>
        <v>7.5</v>
      </c>
    </row>
    <row r="113" spans="1:7" ht="15" customHeight="1" thickTop="1" thickBot="1" x14ac:dyDescent="0.3">
      <c r="A113" s="242" t="s">
        <v>108</v>
      </c>
      <c r="B113" s="244">
        <f>SUM(B112:F112)</f>
        <v>38.9</v>
      </c>
      <c r="C113" s="244">
        <f>SUM(C112:G112)</f>
        <v>40.300000000000004</v>
      </c>
      <c r="D113" s="244">
        <f>SUM(B112,D112:G112)</f>
        <v>37.5</v>
      </c>
      <c r="E113" s="244">
        <f>SUM(B112:C112,E112:G112)</f>
        <v>36.1</v>
      </c>
      <c r="F113" s="244">
        <f>SUM(B112:D112,F112:G112)</f>
        <v>40.299999999999997</v>
      </c>
      <c r="G113" s="246">
        <f>SUM(B112:E112,G112)</f>
        <v>38.9</v>
      </c>
    </row>
    <row r="114" spans="1:7" ht="16.5" thickTop="1" thickBot="1" x14ac:dyDescent="0.3">
      <c r="A114" s="243"/>
      <c r="B114" s="245"/>
      <c r="C114" s="245"/>
      <c r="D114" s="245"/>
      <c r="E114" s="245"/>
      <c r="F114" s="245"/>
      <c r="G114" s="247"/>
    </row>
    <row r="115" spans="1:7" ht="15.75" thickTop="1" x14ac:dyDescent="0.25"/>
    <row r="117" spans="1:7" x14ac:dyDescent="0.25">
      <c r="A117" s="216" t="s">
        <v>86</v>
      </c>
      <c r="B117" s="216"/>
      <c r="C117" s="216"/>
      <c r="D117" s="216"/>
      <c r="E117" s="216"/>
      <c r="F117" s="216"/>
      <c r="G117" s="216"/>
    </row>
    <row r="118" spans="1:7" ht="15.75" thickBot="1" x14ac:dyDescent="0.3"/>
    <row r="119" spans="1:7" ht="16.5" thickTop="1" thickBot="1" x14ac:dyDescent="0.3">
      <c r="A119" s="41"/>
      <c r="B119" s="13" t="s">
        <v>47</v>
      </c>
      <c r="C119" s="13" t="s">
        <v>47</v>
      </c>
      <c r="D119" s="13" t="s">
        <v>47</v>
      </c>
      <c r="E119" s="13" t="s">
        <v>36</v>
      </c>
      <c r="F119" s="14" t="s">
        <v>48</v>
      </c>
    </row>
    <row r="120" spans="1:7" ht="16.5" thickTop="1" thickBot="1" x14ac:dyDescent="0.3">
      <c r="A120" s="42"/>
      <c r="B120" s="59">
        <v>1.55E-6</v>
      </c>
      <c r="C120" s="50">
        <v>1.5689999999999999E-6</v>
      </c>
      <c r="D120" s="101">
        <f>C74*10^-9</f>
        <v>1.5477200000000002E-6</v>
      </c>
      <c r="E120" s="50"/>
      <c r="F120" s="60"/>
    </row>
    <row r="121" spans="1:7" ht="16.5" thickTop="1" thickBot="1" x14ac:dyDescent="0.3">
      <c r="A121" s="35" t="s">
        <v>49</v>
      </c>
      <c r="B121" s="9">
        <v>-327</v>
      </c>
      <c r="C121" s="11">
        <v>-348</v>
      </c>
      <c r="D121" s="9">
        <f>E121*(D120-B120)+B121</f>
        <v>-324.48000000000019</v>
      </c>
      <c r="E121" s="9">
        <f t="shared" ref="E121:E126" si="8">(C121-B121)/($C$84-$B$84)</f>
        <v>-1105263157.8947401</v>
      </c>
      <c r="F121" s="2">
        <v>3.4</v>
      </c>
    </row>
    <row r="122" spans="1:7" ht="16.5" thickTop="1" thickBot="1" x14ac:dyDescent="0.3">
      <c r="A122" s="24" t="s">
        <v>50</v>
      </c>
      <c r="B122" s="50">
        <v>-490</v>
      </c>
      <c r="C122" s="50">
        <v>-523</v>
      </c>
      <c r="D122" s="50">
        <f>E122*(D120-B120)+B122</f>
        <v>-486.0400000000003</v>
      </c>
      <c r="E122" s="50">
        <f t="shared" si="8"/>
        <v>-1736842105.2631629</v>
      </c>
      <c r="F122" s="60">
        <v>4.0999999999999996</v>
      </c>
    </row>
    <row r="123" spans="1:7" ht="16.5" thickTop="1" thickBot="1" x14ac:dyDescent="0.3">
      <c r="A123" s="24" t="s">
        <v>51</v>
      </c>
      <c r="B123" s="9">
        <v>-653</v>
      </c>
      <c r="C123" s="9">
        <v>-697</v>
      </c>
      <c r="D123" s="9">
        <f>E123*(D120-B120)+B123</f>
        <v>-647.72000000000037</v>
      </c>
      <c r="E123" s="9">
        <f t="shared" si="8"/>
        <v>-2315789473.684217</v>
      </c>
      <c r="F123" s="2">
        <v>4.8</v>
      </c>
    </row>
    <row r="124" spans="1:7" ht="16.5" thickTop="1" thickBot="1" x14ac:dyDescent="0.3">
      <c r="A124" s="24" t="s">
        <v>52</v>
      </c>
      <c r="B124" s="50">
        <v>-980</v>
      </c>
      <c r="C124" s="50">
        <v>-1045</v>
      </c>
      <c r="D124" s="50">
        <f>E124*(D120-B120)+B124</f>
        <v>-972.2000000000005</v>
      </c>
      <c r="E124" s="50">
        <f t="shared" si="8"/>
        <v>-3421052631.5789571</v>
      </c>
      <c r="F124" s="60">
        <v>6.1</v>
      </c>
    </row>
    <row r="125" spans="1:7" ht="16.5" thickTop="1" thickBot="1" x14ac:dyDescent="0.3">
      <c r="A125" s="32" t="s">
        <v>53</v>
      </c>
      <c r="B125" s="9">
        <v>-1307</v>
      </c>
      <c r="C125" s="9">
        <v>-1394</v>
      </c>
      <c r="D125" s="9">
        <f>E125*(D120-B120)+B125</f>
        <v>-1296.5600000000006</v>
      </c>
      <c r="E125" s="9">
        <f t="shared" si="8"/>
        <v>-4578947368.4210663</v>
      </c>
      <c r="F125" s="17">
        <v>7.5</v>
      </c>
    </row>
    <row r="126" spans="1:7" ht="16.5" thickTop="1" thickBot="1" x14ac:dyDescent="0.3">
      <c r="A126" s="44" t="s">
        <v>64</v>
      </c>
      <c r="B126" s="61">
        <v>-1633</v>
      </c>
      <c r="C126" s="50">
        <v>-1742</v>
      </c>
      <c r="D126" s="61">
        <f>E126*(D120-B120)+B126</f>
        <v>-1619.920000000001</v>
      </c>
      <c r="E126" s="61">
        <f t="shared" si="8"/>
        <v>-5736842105.2631741</v>
      </c>
      <c r="F126" s="52">
        <v>8.9</v>
      </c>
    </row>
    <row r="127" spans="1:7" ht="16.5" thickTop="1" thickBot="1" x14ac:dyDescent="0.3">
      <c r="A127" s="48" t="s">
        <v>70</v>
      </c>
      <c r="B127" s="49" t="s">
        <v>71</v>
      </c>
      <c r="C127" s="49" t="s">
        <v>71</v>
      </c>
      <c r="D127" s="9">
        <f>((D126-D125)/(100-80))*(120-100)+D126</f>
        <v>-1943.2800000000013</v>
      </c>
      <c r="E127" s="43" t="s">
        <v>71</v>
      </c>
      <c r="F127" s="142">
        <f>((F126-F125)/(100-80))*(120-100)+F126</f>
        <v>10.3</v>
      </c>
      <c r="G127" s="45"/>
    </row>
    <row r="128" spans="1:7" ht="16.5" thickTop="1" thickBot="1" x14ac:dyDescent="0.3">
      <c r="A128" s="46" t="s">
        <v>72</v>
      </c>
      <c r="B128" s="62" t="s">
        <v>71</v>
      </c>
      <c r="C128" s="62" t="s">
        <v>71</v>
      </c>
      <c r="D128" s="63">
        <f>((D127-D126)/(120-100))*(140-120)+D127</f>
        <v>-2266.6400000000017</v>
      </c>
      <c r="E128" s="64" t="s">
        <v>71</v>
      </c>
      <c r="F128" s="143">
        <f>((F127-F126)/(120-100))*(140-120)+F127</f>
        <v>11.700000000000001</v>
      </c>
      <c r="G128" s="45"/>
    </row>
    <row r="129" spans="1:8" ht="16.5" thickTop="1" thickBot="1" x14ac:dyDescent="0.3">
      <c r="A129" s="18"/>
      <c r="B129" s="18"/>
      <c r="C129" s="18"/>
      <c r="F129" s="18"/>
    </row>
    <row r="130" spans="1:8" ht="16.5" thickTop="1" thickBot="1" x14ac:dyDescent="0.3">
      <c r="A130" s="39"/>
      <c r="B130" s="13" t="s">
        <v>54</v>
      </c>
      <c r="C130" s="13" t="s">
        <v>55</v>
      </c>
      <c r="D130" s="13" t="s">
        <v>56</v>
      </c>
      <c r="E130" s="13" t="s">
        <v>57</v>
      </c>
      <c r="F130" s="13" t="s">
        <v>58</v>
      </c>
      <c r="G130" s="37" t="s">
        <v>59</v>
      </c>
    </row>
    <row r="131" spans="1:8" ht="16.5" thickTop="1" thickBot="1" x14ac:dyDescent="0.3">
      <c r="A131" s="24" t="s">
        <v>60</v>
      </c>
      <c r="B131" s="50">
        <f t="shared" ref="B131:G131" si="9">B95</f>
        <v>71</v>
      </c>
      <c r="C131" s="50">
        <f t="shared" si="9"/>
        <v>92</v>
      </c>
      <c r="D131" s="50">
        <f t="shared" si="9"/>
        <v>121</v>
      </c>
      <c r="E131" s="50">
        <f t="shared" si="9"/>
        <v>56</v>
      </c>
      <c r="F131" s="50">
        <f t="shared" si="9"/>
        <v>76</v>
      </c>
      <c r="G131" s="52">
        <f t="shared" si="9"/>
        <v>87</v>
      </c>
    </row>
    <row r="132" spans="1:8" ht="16.5" thickTop="1" thickBot="1" x14ac:dyDescent="0.3">
      <c r="A132" s="24" t="s">
        <v>61</v>
      </c>
      <c r="B132" s="9">
        <f t="shared" ref="B132:G132" si="10">B$131*$C$75</f>
        <v>1230.2648625794027</v>
      </c>
      <c r="C132" s="9">
        <f t="shared" si="10"/>
        <v>1594.1460191169726</v>
      </c>
      <c r="D132" s="9">
        <f t="shared" si="10"/>
        <v>2096.6485686212354</v>
      </c>
      <c r="E132" s="9">
        <f t="shared" si="10"/>
        <v>970.34975076685282</v>
      </c>
      <c r="F132" s="9">
        <f t="shared" si="10"/>
        <v>1316.9032331835861</v>
      </c>
      <c r="G132" s="106">
        <f t="shared" si="10"/>
        <v>1507.5076485127893</v>
      </c>
      <c r="H132" s="45"/>
    </row>
    <row r="133" spans="1:8" ht="16.5" thickTop="1" thickBot="1" x14ac:dyDescent="0.3">
      <c r="A133" s="24" t="s">
        <v>62</v>
      </c>
      <c r="B133" s="50">
        <f t="shared" ref="B133:G133" si="11">$C$77/5</f>
        <v>150.3467601763073</v>
      </c>
      <c r="C133" s="50">
        <f t="shared" si="11"/>
        <v>150.3467601763073</v>
      </c>
      <c r="D133" s="50">
        <f t="shared" si="11"/>
        <v>150.3467601763073</v>
      </c>
      <c r="E133" s="50">
        <f t="shared" si="11"/>
        <v>150.3467601763073</v>
      </c>
      <c r="F133" s="50">
        <f t="shared" si="11"/>
        <v>150.3467601763073</v>
      </c>
      <c r="G133" s="61">
        <f t="shared" si="11"/>
        <v>150.3467601763073</v>
      </c>
      <c r="H133" s="45"/>
    </row>
    <row r="134" spans="1:8" ht="16.5" thickTop="1" thickBot="1" x14ac:dyDescent="0.3">
      <c r="A134" s="36" t="s">
        <v>63</v>
      </c>
      <c r="B134" s="9">
        <f t="shared" ref="B134:G134" si="12">-(B132-B133)</f>
        <v>-1079.9181024030954</v>
      </c>
      <c r="C134" s="10">
        <f t="shared" si="12"/>
        <v>-1443.7992589406654</v>
      </c>
      <c r="D134" s="10">
        <f t="shared" si="12"/>
        <v>-1946.3018084449282</v>
      </c>
      <c r="E134" s="10">
        <f t="shared" si="12"/>
        <v>-820.00299059054555</v>
      </c>
      <c r="F134" s="10">
        <f t="shared" si="12"/>
        <v>-1166.5564730072788</v>
      </c>
      <c r="G134" s="38">
        <f t="shared" si="12"/>
        <v>-1357.160888336482</v>
      </c>
    </row>
    <row r="135" spans="1:8" ht="16.5" thickTop="1" thickBot="1" x14ac:dyDescent="0.3">
      <c r="A135" s="18"/>
      <c r="B135" s="30"/>
      <c r="D135" s="18"/>
      <c r="F135" s="18"/>
      <c r="G135" s="18"/>
    </row>
    <row r="136" spans="1:8" ht="16.5" thickTop="1" thickBot="1" x14ac:dyDescent="0.3">
      <c r="A136" s="47" t="s">
        <v>65</v>
      </c>
      <c r="B136" s="53"/>
      <c r="C136" s="53"/>
      <c r="D136" s="54"/>
      <c r="E136" s="53"/>
      <c r="F136" s="55"/>
      <c r="G136" s="56"/>
    </row>
    <row r="137" spans="1:8" ht="16.5" thickTop="1" thickBot="1" x14ac:dyDescent="0.3">
      <c r="A137" s="24" t="s">
        <v>66</v>
      </c>
      <c r="B137" s="9">
        <f>IF(ABS(B134-D124)&lt;=ABS(B134-D125),D124,D125)</f>
        <v>-972.2000000000005</v>
      </c>
      <c r="C137" s="9">
        <f>IF(ABS(C134-D125)&lt;=ABS(C134-D126),D125,D126)</f>
        <v>-1296.5600000000006</v>
      </c>
      <c r="D137" s="40">
        <f>IF(ABS(D134-D128)&lt;=ABS(D134-D127),D128,D127)</f>
        <v>-1943.2800000000013</v>
      </c>
      <c r="E137" s="9">
        <f>IF(ABS(E134-D123)&lt;=ABS(E134-D124),D123,D124)</f>
        <v>-972.2000000000005</v>
      </c>
      <c r="F137" s="9">
        <f>IF(ABS(F134-D124)&lt;=ABS(F134-D125),D124,D125)</f>
        <v>-1296.5600000000006</v>
      </c>
      <c r="G137" s="17">
        <f>IF(ABS(G134-D125)&lt;=ABS(G134-D126),D125,D126)</f>
        <v>-1296.5600000000006</v>
      </c>
    </row>
    <row r="138" spans="1:8" ht="16.5" thickTop="1" thickBot="1" x14ac:dyDescent="0.3">
      <c r="A138" s="24" t="s">
        <v>67</v>
      </c>
      <c r="B138" s="50">
        <f t="shared" ref="B138:G138" si="13">B132+B137</f>
        <v>258.06486257940219</v>
      </c>
      <c r="C138" s="50">
        <f t="shared" si="13"/>
        <v>297.58601911697201</v>
      </c>
      <c r="D138" s="51">
        <f t="shared" si="13"/>
        <v>153.36856862123409</v>
      </c>
      <c r="E138" s="50">
        <f t="shared" si="13"/>
        <v>-1.8502492331476788</v>
      </c>
      <c r="F138" s="50">
        <f t="shared" si="13"/>
        <v>20.343233183585426</v>
      </c>
      <c r="G138" s="52">
        <f t="shared" si="13"/>
        <v>210.94764851278865</v>
      </c>
    </row>
    <row r="139" spans="1:8" ht="16.5" thickTop="1" thickBot="1" x14ac:dyDescent="0.3">
      <c r="A139" s="24" t="s">
        <v>68</v>
      </c>
      <c r="B139" s="9">
        <f t="shared" ref="B139:G139" si="14">B137-B134</f>
        <v>107.71810240309492</v>
      </c>
      <c r="C139" s="9">
        <f t="shared" si="14"/>
        <v>147.23925894066474</v>
      </c>
      <c r="D139" s="40">
        <f t="shared" si="14"/>
        <v>3.021808444926819</v>
      </c>
      <c r="E139" s="9">
        <f t="shared" si="14"/>
        <v>-152.19700940945495</v>
      </c>
      <c r="F139" s="9">
        <f t="shared" si="14"/>
        <v>-130.00352699272185</v>
      </c>
      <c r="G139" s="17">
        <f t="shared" si="14"/>
        <v>60.600888336481376</v>
      </c>
    </row>
    <row r="140" spans="1:8" ht="16.5" thickTop="1" thickBot="1" x14ac:dyDescent="0.3">
      <c r="A140" s="46" t="s">
        <v>69</v>
      </c>
      <c r="B140" s="57">
        <f>C138+D138+E138+F138+B138</f>
        <v>727.51243426804604</v>
      </c>
      <c r="C140" s="50">
        <f>C138+D138+E138+F138+G138</f>
        <v>680.39522020143249</v>
      </c>
      <c r="D140" s="57">
        <f>B138+D138+E138+F138+G138</f>
        <v>640.87406366386267</v>
      </c>
      <c r="E140" s="57">
        <f>B138+C138+E138+F138+G138</f>
        <v>785.09151415960059</v>
      </c>
      <c r="F140" s="50">
        <f>B138+C138+D138+F138+G138</f>
        <v>940.31033201398236</v>
      </c>
      <c r="G140" s="58">
        <f>B138+C138+D138+E138+G138</f>
        <v>918.11684959724926</v>
      </c>
    </row>
    <row r="141" spans="1:8" ht="16.5" thickTop="1" thickBot="1" x14ac:dyDescent="0.3">
      <c r="A141" s="18"/>
      <c r="C141" s="30"/>
      <c r="F141" s="30"/>
    </row>
    <row r="142" spans="1:8" ht="16.5" thickTop="1" thickBot="1" x14ac:dyDescent="0.3">
      <c r="A142" s="47" t="s">
        <v>73</v>
      </c>
      <c r="B142" s="53"/>
      <c r="C142" s="53"/>
      <c r="D142" s="53"/>
      <c r="E142" s="53"/>
      <c r="F142" s="53"/>
      <c r="G142" s="56"/>
    </row>
    <row r="143" spans="1:8" ht="16.5" thickTop="1" thickBot="1" x14ac:dyDescent="0.3">
      <c r="A143" s="24" t="s">
        <v>66</v>
      </c>
      <c r="B143" s="9">
        <f>B137</f>
        <v>-972.2000000000005</v>
      </c>
      <c r="C143" s="9">
        <f>D126</f>
        <v>-1619.920000000001</v>
      </c>
      <c r="D143" s="40">
        <f t="shared" ref="D143:G145" si="15">D137</f>
        <v>-1943.2800000000013</v>
      </c>
      <c r="E143" s="9">
        <f t="shared" si="15"/>
        <v>-972.2000000000005</v>
      </c>
      <c r="F143" s="9">
        <f t="shared" si="15"/>
        <v>-1296.5600000000006</v>
      </c>
      <c r="G143" s="17">
        <f t="shared" si="15"/>
        <v>-1296.5600000000006</v>
      </c>
    </row>
    <row r="144" spans="1:8" ht="16.5" thickTop="1" thickBot="1" x14ac:dyDescent="0.3">
      <c r="A144" s="24" t="s">
        <v>67</v>
      </c>
      <c r="B144" s="50">
        <f>B138</f>
        <v>258.06486257940219</v>
      </c>
      <c r="C144" s="50">
        <f>C132+C143</f>
        <v>-25.773980883028344</v>
      </c>
      <c r="D144" s="51">
        <f t="shared" si="15"/>
        <v>153.36856862123409</v>
      </c>
      <c r="E144" s="50">
        <f t="shared" si="15"/>
        <v>-1.8502492331476788</v>
      </c>
      <c r="F144" s="50">
        <f t="shared" si="15"/>
        <v>20.343233183585426</v>
      </c>
      <c r="G144" s="52">
        <f t="shared" si="15"/>
        <v>210.94764851278865</v>
      </c>
    </row>
    <row r="145" spans="1:7" ht="16.5" thickTop="1" thickBot="1" x14ac:dyDescent="0.3">
      <c r="A145" s="24" t="s">
        <v>68</v>
      </c>
      <c r="B145" s="9">
        <f>B139</f>
        <v>107.71810240309492</v>
      </c>
      <c r="C145" s="9">
        <f>C143-C134</f>
        <v>-176.12074105933561</v>
      </c>
      <c r="D145" s="40">
        <f t="shared" si="15"/>
        <v>3.021808444926819</v>
      </c>
      <c r="E145" s="9">
        <f t="shared" si="15"/>
        <v>-152.19700940945495</v>
      </c>
      <c r="F145" s="9">
        <f t="shared" si="15"/>
        <v>-130.00352699272185</v>
      </c>
      <c r="G145" s="17">
        <f t="shared" si="15"/>
        <v>60.600888336481376</v>
      </c>
    </row>
    <row r="146" spans="1:7" ht="16.5" thickTop="1" thickBot="1" x14ac:dyDescent="0.3">
      <c r="A146" s="46" t="s">
        <v>69</v>
      </c>
      <c r="B146" s="57">
        <f>C144+D144+E144+F144+B144</f>
        <v>404.15243426804568</v>
      </c>
      <c r="C146" s="50">
        <f>C144+D144+E144+F144+G144</f>
        <v>357.03522020143214</v>
      </c>
      <c r="D146" s="57">
        <f>B144+D144+E144+F144+G144</f>
        <v>640.87406366386267</v>
      </c>
      <c r="E146" s="57">
        <f>B144+C144+E144+F144+G144</f>
        <v>461.73151415960024</v>
      </c>
      <c r="F146" s="50">
        <f>B144+C144+D144+F144+G144</f>
        <v>616.95033201398201</v>
      </c>
      <c r="G146" s="58">
        <f>B144+C144+D144+E144+G144</f>
        <v>594.7568495972489</v>
      </c>
    </row>
    <row r="147" spans="1:7" ht="16.5" thickTop="1" thickBot="1" x14ac:dyDescent="0.3">
      <c r="C147" s="30"/>
      <c r="F147" s="30"/>
    </row>
    <row r="148" spans="1:7" ht="16.5" thickTop="1" thickBot="1" x14ac:dyDescent="0.3">
      <c r="A148" s="39" t="s">
        <v>107</v>
      </c>
      <c r="B148" s="117">
        <f>F124</f>
        <v>6.1</v>
      </c>
      <c r="C148" s="117">
        <f>F126</f>
        <v>8.9</v>
      </c>
      <c r="D148" s="117">
        <f>F127</f>
        <v>10.3</v>
      </c>
      <c r="E148" s="117">
        <f>F124</f>
        <v>6.1</v>
      </c>
      <c r="F148" s="117">
        <f>F125</f>
        <v>7.5</v>
      </c>
      <c r="G148" s="116">
        <f>F125</f>
        <v>7.5</v>
      </c>
    </row>
    <row r="149" spans="1:7" ht="16.5" thickTop="1" thickBot="1" x14ac:dyDescent="0.3">
      <c r="A149" s="242" t="s">
        <v>108</v>
      </c>
      <c r="B149" s="244">
        <f>SUM(B148:F148)</f>
        <v>38.9</v>
      </c>
      <c r="C149" s="244">
        <f>SUM(C148:G148)</f>
        <v>40.300000000000004</v>
      </c>
      <c r="D149" s="244">
        <f>SUM(B148,D148:G148)</f>
        <v>37.5</v>
      </c>
      <c r="E149" s="244">
        <f>SUM(B148:C148,E148:G148)</f>
        <v>36.1</v>
      </c>
      <c r="F149" s="244">
        <f>SUM(B148:D148,F148:G148)</f>
        <v>40.299999999999997</v>
      </c>
      <c r="G149" s="246">
        <f>SUM(B148:E148,G148)</f>
        <v>38.9</v>
      </c>
    </row>
    <row r="150" spans="1:7" ht="16.5" thickTop="1" thickBot="1" x14ac:dyDescent="0.3">
      <c r="A150" s="243"/>
      <c r="B150" s="245"/>
      <c r="C150" s="245"/>
      <c r="D150" s="245"/>
      <c r="E150" s="245"/>
      <c r="F150" s="245"/>
      <c r="G150" s="247"/>
    </row>
    <row r="151" spans="1:7" ht="15.75" thickTop="1" x14ac:dyDescent="0.25">
      <c r="B151" s="30"/>
    </row>
    <row r="152" spans="1:7" x14ac:dyDescent="0.25">
      <c r="B152" s="29"/>
    </row>
    <row r="153" spans="1:7" x14ac:dyDescent="0.25">
      <c r="A153" s="216" t="s">
        <v>87</v>
      </c>
      <c r="B153" s="216"/>
      <c r="C153" s="216"/>
      <c r="D153" s="216"/>
      <c r="E153" s="216"/>
      <c r="F153" s="216"/>
      <c r="G153" s="216"/>
    </row>
    <row r="154" spans="1:7" ht="15.75" thickBot="1" x14ac:dyDescent="0.3"/>
    <row r="155" spans="1:7" ht="16.5" thickTop="1" thickBot="1" x14ac:dyDescent="0.3">
      <c r="A155" s="41"/>
      <c r="B155" s="13" t="s">
        <v>47</v>
      </c>
      <c r="C155" s="13" t="s">
        <v>47</v>
      </c>
      <c r="D155" s="13" t="s">
        <v>47</v>
      </c>
      <c r="E155" s="13" t="s">
        <v>36</v>
      </c>
      <c r="F155" s="14" t="s">
        <v>48</v>
      </c>
    </row>
    <row r="156" spans="1:7" ht="16.5" thickTop="1" thickBot="1" x14ac:dyDescent="0.3">
      <c r="A156" s="42"/>
      <c r="B156" s="59">
        <v>1.55E-6</v>
      </c>
      <c r="C156" s="50">
        <v>1.5689999999999999E-6</v>
      </c>
      <c r="D156" s="101">
        <f>D74*10^-9</f>
        <v>1.5541300000000003E-6</v>
      </c>
      <c r="E156" s="50"/>
      <c r="F156" s="60"/>
    </row>
    <row r="157" spans="1:7" ht="16.5" thickTop="1" thickBot="1" x14ac:dyDescent="0.3">
      <c r="A157" s="35" t="s">
        <v>49</v>
      </c>
      <c r="B157" s="9">
        <v>-327</v>
      </c>
      <c r="C157" s="11">
        <v>-348</v>
      </c>
      <c r="D157" s="102">
        <f>E157*(D156-B156)+B157</f>
        <v>-331.56473684210562</v>
      </c>
      <c r="E157" s="9">
        <f t="shared" ref="E157:E162" si="16">(C157-B157)/($C$84-$B$84)</f>
        <v>-1105263157.8947401</v>
      </c>
      <c r="F157" s="2">
        <v>3.4</v>
      </c>
    </row>
    <row r="158" spans="1:7" ht="16.5" thickTop="1" thickBot="1" x14ac:dyDescent="0.3">
      <c r="A158" s="24" t="s">
        <v>50</v>
      </c>
      <c r="B158" s="50">
        <v>-490</v>
      </c>
      <c r="C158" s="50">
        <v>-523</v>
      </c>
      <c r="D158" s="103">
        <f>E158*(D156-B156)+B158</f>
        <v>-497.17315789473736</v>
      </c>
      <c r="E158" s="50">
        <f t="shared" si="16"/>
        <v>-1736842105.2631629</v>
      </c>
      <c r="F158" s="60">
        <v>4.0999999999999996</v>
      </c>
    </row>
    <row r="159" spans="1:7" ht="16.5" thickTop="1" thickBot="1" x14ac:dyDescent="0.3">
      <c r="A159" s="24" t="s">
        <v>51</v>
      </c>
      <c r="B159" s="9">
        <v>-653</v>
      </c>
      <c r="C159" s="9">
        <v>-697</v>
      </c>
      <c r="D159" s="102">
        <f>E159*(D156-B156)+B159</f>
        <v>-662.56421052631651</v>
      </c>
      <c r="E159" s="9">
        <f t="shared" si="16"/>
        <v>-2315789473.684217</v>
      </c>
      <c r="F159" s="2">
        <v>4.8</v>
      </c>
    </row>
    <row r="160" spans="1:7" ht="16.5" thickTop="1" thickBot="1" x14ac:dyDescent="0.3">
      <c r="A160" s="24" t="s">
        <v>52</v>
      </c>
      <c r="B160" s="50">
        <v>-980</v>
      </c>
      <c r="C160" s="50">
        <v>-1045</v>
      </c>
      <c r="D160" s="103">
        <f>E160*(D156-B156)+B160</f>
        <v>-994.12894736842213</v>
      </c>
      <c r="E160" s="50">
        <f t="shared" si="16"/>
        <v>-3421052631.5789571</v>
      </c>
      <c r="F160" s="60">
        <v>6.1</v>
      </c>
    </row>
    <row r="161" spans="1:8" ht="16.5" thickTop="1" thickBot="1" x14ac:dyDescent="0.3">
      <c r="A161" s="32" t="s">
        <v>53</v>
      </c>
      <c r="B161" s="9">
        <v>-1307</v>
      </c>
      <c r="C161" s="9">
        <v>-1394</v>
      </c>
      <c r="D161" s="102">
        <f>E161*(D156-B156)+B161</f>
        <v>-1325.9110526315803</v>
      </c>
      <c r="E161" s="9">
        <f t="shared" si="16"/>
        <v>-4578947368.4210663</v>
      </c>
      <c r="F161" s="17">
        <v>7.5</v>
      </c>
    </row>
    <row r="162" spans="1:8" ht="16.5" thickTop="1" thickBot="1" x14ac:dyDescent="0.3">
      <c r="A162" s="44" t="s">
        <v>64</v>
      </c>
      <c r="B162" s="61">
        <v>-1633</v>
      </c>
      <c r="C162" s="50">
        <v>-1742</v>
      </c>
      <c r="D162" s="104">
        <f>E162*(D156-B156)+B162</f>
        <v>-1656.6931578947385</v>
      </c>
      <c r="E162" s="61">
        <f t="shared" si="16"/>
        <v>-5736842105.2631741</v>
      </c>
      <c r="F162" s="52">
        <v>8.9</v>
      </c>
    </row>
    <row r="163" spans="1:8" ht="16.5" thickTop="1" thickBot="1" x14ac:dyDescent="0.3">
      <c r="A163" s="48" t="s">
        <v>70</v>
      </c>
      <c r="B163" s="49" t="s">
        <v>71</v>
      </c>
      <c r="C163" s="49" t="s">
        <v>71</v>
      </c>
      <c r="D163" s="102">
        <f>((D162-D161)/(100-80))*(120-100)+D162</f>
        <v>-1987.4752631578967</v>
      </c>
      <c r="E163" s="43" t="s">
        <v>71</v>
      </c>
      <c r="F163" s="142">
        <f>((F162-F161)/(100-80))*(120-100)+F162</f>
        <v>10.3</v>
      </c>
      <c r="G163" s="45"/>
    </row>
    <row r="164" spans="1:8" ht="16.5" thickTop="1" thickBot="1" x14ac:dyDescent="0.3">
      <c r="A164" s="46" t="s">
        <v>72</v>
      </c>
      <c r="B164" s="62" t="s">
        <v>71</v>
      </c>
      <c r="C164" s="62" t="s">
        <v>71</v>
      </c>
      <c r="D164" s="105">
        <f>((D163-D162)/(120-100))*(140-120)+D163</f>
        <v>-2318.2573684210547</v>
      </c>
      <c r="E164" s="64" t="s">
        <v>71</v>
      </c>
      <c r="F164" s="143">
        <f>((F163-F162)/(120-100))*(140-120)+F163</f>
        <v>11.700000000000001</v>
      </c>
      <c r="G164" s="45"/>
    </row>
    <row r="165" spans="1:8" ht="16.5" thickTop="1" thickBot="1" x14ac:dyDescent="0.3">
      <c r="A165" s="18"/>
      <c r="B165" s="18"/>
      <c r="C165" s="18"/>
      <c r="F165" s="18"/>
    </row>
    <row r="166" spans="1:8" ht="16.5" thickTop="1" thickBot="1" x14ac:dyDescent="0.3">
      <c r="A166" s="39"/>
      <c r="B166" s="13" t="s">
        <v>54</v>
      </c>
      <c r="C166" s="13" t="s">
        <v>55</v>
      </c>
      <c r="D166" s="13" t="s">
        <v>56</v>
      </c>
      <c r="E166" s="13" t="s">
        <v>57</v>
      </c>
      <c r="F166" s="13" t="s">
        <v>58</v>
      </c>
      <c r="G166" s="37" t="s">
        <v>59</v>
      </c>
    </row>
    <row r="167" spans="1:8" ht="16.5" thickTop="1" thickBot="1" x14ac:dyDescent="0.3">
      <c r="A167" s="24" t="s">
        <v>60</v>
      </c>
      <c r="B167" s="50">
        <f t="shared" ref="B167:G167" si="17">B$95</f>
        <v>71</v>
      </c>
      <c r="C167" s="50">
        <f t="shared" si="17"/>
        <v>92</v>
      </c>
      <c r="D167" s="50">
        <f t="shared" si="17"/>
        <v>121</v>
      </c>
      <c r="E167" s="50">
        <f t="shared" si="17"/>
        <v>56</v>
      </c>
      <c r="F167" s="50">
        <f t="shared" si="17"/>
        <v>76</v>
      </c>
      <c r="G167" s="61">
        <f t="shared" si="17"/>
        <v>87</v>
      </c>
      <c r="H167" s="45"/>
    </row>
    <row r="168" spans="1:8" ht="16.5" thickTop="1" thickBot="1" x14ac:dyDescent="0.3">
      <c r="A168" s="24" t="s">
        <v>61</v>
      </c>
      <c r="B168" s="9">
        <f t="shared" ref="B168:G168" si="18">B$167*$D$75</f>
        <v>1256.7166935117066</v>
      </c>
      <c r="C168" s="9">
        <f t="shared" si="18"/>
        <v>1628.4216310292536</v>
      </c>
      <c r="D168" s="9">
        <f t="shared" si="18"/>
        <v>2141.7284495058661</v>
      </c>
      <c r="E168" s="9">
        <f t="shared" si="18"/>
        <v>991.2131667134588</v>
      </c>
      <c r="F168" s="9">
        <f t="shared" si="18"/>
        <v>1345.2178691111226</v>
      </c>
      <c r="G168" s="106">
        <f t="shared" si="18"/>
        <v>1539.9204554298378</v>
      </c>
      <c r="H168" s="45"/>
    </row>
    <row r="169" spans="1:8" ht="16.5" thickTop="1" thickBot="1" x14ac:dyDescent="0.3">
      <c r="A169" s="24" t="s">
        <v>62</v>
      </c>
      <c r="B169" s="50">
        <f t="shared" ref="B169:G169" si="19">$D$77/5</f>
        <v>149.10910914534799</v>
      </c>
      <c r="C169" s="50">
        <f t="shared" si="19"/>
        <v>149.10910914534799</v>
      </c>
      <c r="D169" s="50">
        <f t="shared" si="19"/>
        <v>149.10910914534799</v>
      </c>
      <c r="E169" s="50">
        <f t="shared" si="19"/>
        <v>149.10910914534799</v>
      </c>
      <c r="F169" s="50">
        <f t="shared" si="19"/>
        <v>149.10910914534799</v>
      </c>
      <c r="G169" s="61">
        <f t="shared" si="19"/>
        <v>149.10910914534799</v>
      </c>
      <c r="H169" s="45"/>
    </row>
    <row r="170" spans="1:8" ht="16.5" thickTop="1" thickBot="1" x14ac:dyDescent="0.3">
      <c r="A170" s="36" t="s">
        <v>63</v>
      </c>
      <c r="B170" s="9">
        <f t="shared" ref="B170:G170" si="20">-(B168-B169)</f>
        <v>-1107.6075843663587</v>
      </c>
      <c r="C170" s="10">
        <f t="shared" si="20"/>
        <v>-1479.3125218839057</v>
      </c>
      <c r="D170" s="10">
        <f t="shared" si="20"/>
        <v>-1992.6193403605182</v>
      </c>
      <c r="E170" s="10">
        <f t="shared" si="20"/>
        <v>-842.10405756811087</v>
      </c>
      <c r="F170" s="10">
        <f t="shared" si="20"/>
        <v>-1196.1087599657747</v>
      </c>
      <c r="G170" s="38">
        <f t="shared" si="20"/>
        <v>-1390.8113462844899</v>
      </c>
    </row>
    <row r="171" spans="1:8" ht="16.5" thickTop="1" thickBot="1" x14ac:dyDescent="0.3">
      <c r="A171" s="18"/>
      <c r="B171" s="30"/>
      <c r="D171" s="18"/>
      <c r="F171" s="18"/>
      <c r="G171" s="18"/>
    </row>
    <row r="172" spans="1:8" ht="16.5" thickTop="1" thickBot="1" x14ac:dyDescent="0.3">
      <c r="A172" s="47" t="s">
        <v>65</v>
      </c>
      <c r="B172" s="53"/>
      <c r="C172" s="53"/>
      <c r="D172" s="54"/>
      <c r="E172" s="53"/>
      <c r="F172" s="55"/>
      <c r="G172" s="56"/>
    </row>
    <row r="173" spans="1:8" ht="16.5" thickTop="1" thickBot="1" x14ac:dyDescent="0.3">
      <c r="A173" s="24" t="s">
        <v>66</v>
      </c>
      <c r="B173" s="9">
        <f>IF(ABS(B170-D160)&lt;=ABS(B170-D161),D160,D161)</f>
        <v>-994.12894736842213</v>
      </c>
      <c r="C173" s="9">
        <f>IF(ABS(C170-D161)&lt;=ABS(C170-D162),D161,D162)</f>
        <v>-1325.9110526315803</v>
      </c>
      <c r="D173" s="40">
        <f>IF(ABS(D170-D164)&lt;=ABS(D170-D163),D164,D163)</f>
        <v>-1987.4752631578967</v>
      </c>
      <c r="E173" s="9">
        <f>IF(ABS(E170-D159)&lt;=ABS(E170-D160),D159,D160)</f>
        <v>-994.12894736842213</v>
      </c>
      <c r="F173" s="9">
        <f>IF(ABS(F170-D160)&lt;=ABS(F170-D161),D160,D161)</f>
        <v>-1325.9110526315803</v>
      </c>
      <c r="G173" s="17">
        <f>IF(ABS(G170-D161)&lt;=ABS(G170-D162),D161,D162)</f>
        <v>-1325.9110526315803</v>
      </c>
    </row>
    <row r="174" spans="1:8" ht="16.5" thickTop="1" thickBot="1" x14ac:dyDescent="0.3">
      <c r="A174" s="24" t="s">
        <v>67</v>
      </c>
      <c r="B174" s="50">
        <f t="shared" ref="B174:G174" si="21">B168+B173</f>
        <v>262.58774614328445</v>
      </c>
      <c r="C174" s="50">
        <f t="shared" si="21"/>
        <v>302.51057839767327</v>
      </c>
      <c r="D174" s="51">
        <f t="shared" si="21"/>
        <v>154.2531863479694</v>
      </c>
      <c r="E174" s="50">
        <f t="shared" si="21"/>
        <v>-2.9157806549633278</v>
      </c>
      <c r="F174" s="50">
        <f t="shared" si="21"/>
        <v>19.306816479542249</v>
      </c>
      <c r="G174" s="52">
        <f t="shared" si="21"/>
        <v>214.0094027982575</v>
      </c>
    </row>
    <row r="175" spans="1:8" ht="16.5" thickTop="1" thickBot="1" x14ac:dyDescent="0.3">
      <c r="A175" s="24" t="s">
        <v>68</v>
      </c>
      <c r="B175" s="9">
        <f t="shared" ref="B175:G175" si="22">B173-B170</f>
        <v>113.47863699793652</v>
      </c>
      <c r="C175" s="9">
        <f t="shared" si="22"/>
        <v>153.40146925232534</v>
      </c>
      <c r="D175" s="40">
        <f t="shared" si="22"/>
        <v>5.1440772026214745</v>
      </c>
      <c r="E175" s="9">
        <f t="shared" si="22"/>
        <v>-152.02488980031126</v>
      </c>
      <c r="F175" s="9">
        <f t="shared" si="22"/>
        <v>-129.80229266580568</v>
      </c>
      <c r="G175" s="17">
        <f t="shared" si="22"/>
        <v>64.900293652909568</v>
      </c>
    </row>
    <row r="176" spans="1:8" ht="16.5" thickTop="1" thickBot="1" x14ac:dyDescent="0.3">
      <c r="A176" s="46" t="s">
        <v>69</v>
      </c>
      <c r="B176" s="57">
        <f>C174+D174+E174+F174+B174</f>
        <v>735.74254671350604</v>
      </c>
      <c r="C176" s="50">
        <f>C174+D174+E174+F174+G174</f>
        <v>687.16420336847909</v>
      </c>
      <c r="D176" s="57">
        <f>B174+D174+E174+F174+G174</f>
        <v>647.24137111409027</v>
      </c>
      <c r="E176" s="57">
        <f>B174+C174+E174+F174+G174</f>
        <v>795.49876316379414</v>
      </c>
      <c r="F176" s="50">
        <f>B174+C174+D174+F174+G174</f>
        <v>952.66773016672687</v>
      </c>
      <c r="G176" s="58">
        <f>B174+C174+D174+E174+G174</f>
        <v>930.44513303222129</v>
      </c>
    </row>
    <row r="177" spans="1:7" ht="16.5" thickTop="1" thickBot="1" x14ac:dyDescent="0.3">
      <c r="A177" s="18"/>
      <c r="C177" s="30"/>
      <c r="F177" s="30"/>
    </row>
    <row r="178" spans="1:7" ht="16.5" thickTop="1" thickBot="1" x14ac:dyDescent="0.3">
      <c r="A178" s="47" t="s">
        <v>73</v>
      </c>
      <c r="B178" s="53"/>
      <c r="C178" s="53"/>
      <c r="D178" s="53"/>
      <c r="E178" s="53"/>
      <c r="F178" s="53"/>
      <c r="G178" s="56"/>
    </row>
    <row r="179" spans="1:7" ht="16.5" thickTop="1" thickBot="1" x14ac:dyDescent="0.3">
      <c r="A179" s="24" t="s">
        <v>66</v>
      </c>
      <c r="B179" s="9">
        <f>B173</f>
        <v>-994.12894736842213</v>
      </c>
      <c r="C179" s="9">
        <f>D162</f>
        <v>-1656.6931578947385</v>
      </c>
      <c r="D179" s="40">
        <f t="shared" ref="D179:G181" si="23">D173</f>
        <v>-1987.4752631578967</v>
      </c>
      <c r="E179" s="9">
        <f t="shared" si="23"/>
        <v>-994.12894736842213</v>
      </c>
      <c r="F179" s="9">
        <f t="shared" si="23"/>
        <v>-1325.9110526315803</v>
      </c>
      <c r="G179" s="17">
        <f t="shared" si="23"/>
        <v>-1325.9110526315803</v>
      </c>
    </row>
    <row r="180" spans="1:7" ht="16.5" thickTop="1" thickBot="1" x14ac:dyDescent="0.3">
      <c r="A180" s="24" t="s">
        <v>67</v>
      </c>
      <c r="B180" s="50">
        <f>B174</f>
        <v>262.58774614328445</v>
      </c>
      <c r="C180" s="50">
        <f>C168+C179</f>
        <v>-28.27152686548493</v>
      </c>
      <c r="D180" s="51">
        <f t="shared" si="23"/>
        <v>154.2531863479694</v>
      </c>
      <c r="E180" s="50">
        <f t="shared" si="23"/>
        <v>-2.9157806549633278</v>
      </c>
      <c r="F180" s="50">
        <f t="shared" si="23"/>
        <v>19.306816479542249</v>
      </c>
      <c r="G180" s="52">
        <f t="shared" si="23"/>
        <v>214.0094027982575</v>
      </c>
    </row>
    <row r="181" spans="1:7" ht="16.5" thickTop="1" thickBot="1" x14ac:dyDescent="0.3">
      <c r="A181" s="24" t="s">
        <v>68</v>
      </c>
      <c r="B181" s="9">
        <f>B175</f>
        <v>113.47863699793652</v>
      </c>
      <c r="C181" s="9">
        <f>C179-C170</f>
        <v>-177.38063601083286</v>
      </c>
      <c r="D181" s="40">
        <f t="shared" si="23"/>
        <v>5.1440772026214745</v>
      </c>
      <c r="E181" s="9">
        <f t="shared" si="23"/>
        <v>-152.02488980031126</v>
      </c>
      <c r="F181" s="9">
        <f t="shared" si="23"/>
        <v>-129.80229266580568</v>
      </c>
      <c r="G181" s="17">
        <f t="shared" si="23"/>
        <v>64.900293652909568</v>
      </c>
    </row>
    <row r="182" spans="1:7" ht="16.5" thickTop="1" thickBot="1" x14ac:dyDescent="0.3">
      <c r="A182" s="46" t="s">
        <v>69</v>
      </c>
      <c r="B182" s="57">
        <f>C180+D180+E180+F180+B180</f>
        <v>404.96044145034784</v>
      </c>
      <c r="C182" s="50">
        <f>C180+D180+E180+F180+G180</f>
        <v>356.38209810532089</v>
      </c>
      <c r="D182" s="57">
        <f>B180+D180+E180+F180+G180</f>
        <v>647.24137111409027</v>
      </c>
      <c r="E182" s="57">
        <f>B180+C180+E180+F180+G180</f>
        <v>464.71665790063594</v>
      </c>
      <c r="F182" s="50">
        <f>B180+C180+D180+F180+G180</f>
        <v>621.88562490356867</v>
      </c>
      <c r="G182" s="58">
        <f>B180+C180+D180+E180+G180</f>
        <v>599.66302776906309</v>
      </c>
    </row>
    <row r="183" spans="1:7" ht="16.5" thickTop="1" thickBot="1" x14ac:dyDescent="0.3">
      <c r="C183" s="30"/>
      <c r="F183" s="30"/>
    </row>
    <row r="184" spans="1:7" ht="16.5" thickTop="1" thickBot="1" x14ac:dyDescent="0.3">
      <c r="A184" s="39" t="s">
        <v>107</v>
      </c>
      <c r="B184" s="117">
        <f>F160</f>
        <v>6.1</v>
      </c>
      <c r="C184" s="117">
        <f>F162</f>
        <v>8.9</v>
      </c>
      <c r="D184" s="117">
        <f>F163</f>
        <v>10.3</v>
      </c>
      <c r="E184" s="117">
        <f>F160</f>
        <v>6.1</v>
      </c>
      <c r="F184" s="117">
        <f>F161</f>
        <v>7.5</v>
      </c>
      <c r="G184" s="116">
        <f>F161</f>
        <v>7.5</v>
      </c>
    </row>
    <row r="185" spans="1:7" ht="15" customHeight="1" thickTop="1" thickBot="1" x14ac:dyDescent="0.3">
      <c r="A185" s="242" t="s">
        <v>108</v>
      </c>
      <c r="B185" s="244">
        <f>SUM(B184:F184)</f>
        <v>38.9</v>
      </c>
      <c r="C185" s="244">
        <f>SUM(C184:G184)</f>
        <v>40.300000000000004</v>
      </c>
      <c r="D185" s="244">
        <f>SUM(B184,D184:G184)</f>
        <v>37.5</v>
      </c>
      <c r="E185" s="244">
        <f>SUM(B184:C184,E184:G184)</f>
        <v>36.1</v>
      </c>
      <c r="F185" s="244">
        <f>SUM(B184:D184,F184:G184)</f>
        <v>40.299999999999997</v>
      </c>
      <c r="G185" s="246">
        <f>SUM(B184:E184,G184)</f>
        <v>38.9</v>
      </c>
    </row>
    <row r="186" spans="1:7" ht="16.5" thickTop="1" thickBot="1" x14ac:dyDescent="0.3">
      <c r="A186" s="243"/>
      <c r="B186" s="245"/>
      <c r="C186" s="245"/>
      <c r="D186" s="245"/>
      <c r="E186" s="245"/>
      <c r="F186" s="245"/>
      <c r="G186" s="247"/>
    </row>
    <row r="187" spans="1:7" ht="15.75" thickTop="1" x14ac:dyDescent="0.25"/>
    <row r="189" spans="1:7" x14ac:dyDescent="0.25">
      <c r="A189" s="216" t="s">
        <v>88</v>
      </c>
      <c r="B189" s="216"/>
      <c r="C189" s="216"/>
      <c r="D189" s="216"/>
      <c r="E189" s="216"/>
      <c r="F189" s="216"/>
      <c r="G189" s="216"/>
    </row>
    <row r="190" spans="1:7" ht="15.75" thickBot="1" x14ac:dyDescent="0.3"/>
    <row r="191" spans="1:7" ht="16.5" thickTop="1" thickBot="1" x14ac:dyDescent="0.3">
      <c r="A191" s="41"/>
      <c r="B191" s="13" t="s">
        <v>47</v>
      </c>
      <c r="C191" s="13" t="s">
        <v>47</v>
      </c>
      <c r="D191" s="13" t="s">
        <v>47</v>
      </c>
      <c r="E191" s="13" t="s">
        <v>36</v>
      </c>
      <c r="F191" s="14" t="s">
        <v>48</v>
      </c>
    </row>
    <row r="192" spans="1:7" ht="16.5" thickTop="1" thickBot="1" x14ac:dyDescent="0.3">
      <c r="A192" s="42"/>
      <c r="B192" s="59">
        <v>1.55E-6</v>
      </c>
      <c r="C192" s="50">
        <v>1.5689999999999999E-6</v>
      </c>
      <c r="D192" s="101">
        <f>E74*10^-9</f>
        <v>1.56223E-6</v>
      </c>
      <c r="E192" s="50"/>
      <c r="F192" s="60"/>
    </row>
    <row r="193" spans="1:8" ht="16.5" thickTop="1" thickBot="1" x14ac:dyDescent="0.3">
      <c r="A193" s="35" t="s">
        <v>49</v>
      </c>
      <c r="B193" s="9">
        <v>-327</v>
      </c>
      <c r="C193" s="11">
        <v>-348</v>
      </c>
      <c r="D193" s="102">
        <f>E193*(D192-B192)+B193</f>
        <v>-340.51736842105271</v>
      </c>
      <c r="E193" s="9">
        <f t="shared" ref="E193:E198" si="24">(C193-B193)/($C$84-$B$84)</f>
        <v>-1105263157.8947401</v>
      </c>
      <c r="F193" s="2">
        <v>3.4</v>
      </c>
    </row>
    <row r="194" spans="1:8" ht="16.5" thickTop="1" thickBot="1" x14ac:dyDescent="0.3">
      <c r="A194" s="24" t="s">
        <v>50</v>
      </c>
      <c r="B194" s="50">
        <v>-490</v>
      </c>
      <c r="C194" s="50">
        <v>-523</v>
      </c>
      <c r="D194" s="103">
        <f>E194*(D192-B192)+B194</f>
        <v>-511.24157894736857</v>
      </c>
      <c r="E194" s="50">
        <f t="shared" si="24"/>
        <v>-1736842105.2631629</v>
      </c>
      <c r="F194" s="60">
        <v>4.0999999999999996</v>
      </c>
    </row>
    <row r="195" spans="1:8" ht="16.5" thickTop="1" thickBot="1" x14ac:dyDescent="0.3">
      <c r="A195" s="24" t="s">
        <v>51</v>
      </c>
      <c r="B195" s="9">
        <v>-653</v>
      </c>
      <c r="C195" s="9">
        <v>-697</v>
      </c>
      <c r="D195" s="102">
        <f>E195*(D192-B192)+B195</f>
        <v>-681.32210526315805</v>
      </c>
      <c r="E195" s="9">
        <f t="shared" si="24"/>
        <v>-2315789473.684217</v>
      </c>
      <c r="F195" s="2">
        <v>4.8</v>
      </c>
    </row>
    <row r="196" spans="1:8" ht="16.5" thickTop="1" thickBot="1" x14ac:dyDescent="0.3">
      <c r="A196" s="24" t="s">
        <v>52</v>
      </c>
      <c r="B196" s="50">
        <v>-980</v>
      </c>
      <c r="C196" s="50">
        <v>-1045</v>
      </c>
      <c r="D196" s="103">
        <f>E196*(D192-B192)+B196</f>
        <v>-1021.8394736842108</v>
      </c>
      <c r="E196" s="50">
        <f t="shared" si="24"/>
        <v>-3421052631.5789571</v>
      </c>
      <c r="F196" s="60">
        <v>6.1</v>
      </c>
    </row>
    <row r="197" spans="1:8" ht="16.5" thickTop="1" thickBot="1" x14ac:dyDescent="0.3">
      <c r="A197" s="32" t="s">
        <v>53</v>
      </c>
      <c r="B197" s="9">
        <v>-1307</v>
      </c>
      <c r="C197" s="9">
        <v>-1394</v>
      </c>
      <c r="D197" s="102">
        <f>E197*(D192-B192)+B197</f>
        <v>-1363.0005263157898</v>
      </c>
      <c r="E197" s="9">
        <f t="shared" si="24"/>
        <v>-4578947368.4210663</v>
      </c>
      <c r="F197" s="17">
        <v>7.5</v>
      </c>
    </row>
    <row r="198" spans="1:8" ht="16.5" thickTop="1" thickBot="1" x14ac:dyDescent="0.3">
      <c r="A198" s="44" t="s">
        <v>64</v>
      </c>
      <c r="B198" s="61">
        <v>-1633</v>
      </c>
      <c r="C198" s="50">
        <v>-1742</v>
      </c>
      <c r="D198" s="104">
        <f>E198*(D192-B192)+B198</f>
        <v>-1703.161578947369</v>
      </c>
      <c r="E198" s="61">
        <f t="shared" si="24"/>
        <v>-5736842105.2631741</v>
      </c>
      <c r="F198" s="52">
        <v>8.9</v>
      </c>
    </row>
    <row r="199" spans="1:8" ht="16.5" thickTop="1" thickBot="1" x14ac:dyDescent="0.3">
      <c r="A199" s="48" t="s">
        <v>70</v>
      </c>
      <c r="B199" s="49" t="s">
        <v>71</v>
      </c>
      <c r="C199" s="49" t="s">
        <v>71</v>
      </c>
      <c r="D199" s="102">
        <f>((D198-D197)/(100-80))*(120-100)+D198</f>
        <v>-2043.3226315789482</v>
      </c>
      <c r="E199" s="43" t="s">
        <v>71</v>
      </c>
      <c r="F199" s="142">
        <f>((F198-F197)/(100-80))*(120-100)+F198</f>
        <v>10.3</v>
      </c>
      <c r="G199" s="45"/>
    </row>
    <row r="200" spans="1:8" ht="16.5" thickTop="1" thickBot="1" x14ac:dyDescent="0.3">
      <c r="A200" s="46" t="s">
        <v>72</v>
      </c>
      <c r="B200" s="62" t="s">
        <v>71</v>
      </c>
      <c r="C200" s="62" t="s">
        <v>71</v>
      </c>
      <c r="D200" s="105">
        <f>((D199-D198)/(120-100))*(140-120)+D199</f>
        <v>-2383.4836842105274</v>
      </c>
      <c r="E200" s="64" t="s">
        <v>71</v>
      </c>
      <c r="F200" s="143">
        <f>((F199-F198)/(120-100))*(140-120)+F199</f>
        <v>11.700000000000001</v>
      </c>
      <c r="G200" s="45"/>
    </row>
    <row r="201" spans="1:8" ht="16.5" thickTop="1" thickBot="1" x14ac:dyDescent="0.3">
      <c r="A201" s="18"/>
      <c r="B201" s="18"/>
      <c r="C201" s="18"/>
      <c r="F201" s="18"/>
    </row>
    <row r="202" spans="1:8" ht="16.5" thickTop="1" thickBot="1" x14ac:dyDescent="0.3">
      <c r="A202" s="39"/>
      <c r="B202" s="13" t="s">
        <v>54</v>
      </c>
      <c r="C202" s="13" t="s">
        <v>55</v>
      </c>
      <c r="D202" s="13" t="s">
        <v>56</v>
      </c>
      <c r="E202" s="13" t="s">
        <v>57</v>
      </c>
      <c r="F202" s="13" t="s">
        <v>58</v>
      </c>
      <c r="G202" s="37" t="s">
        <v>59</v>
      </c>
    </row>
    <row r="203" spans="1:8" ht="16.5" thickTop="1" thickBot="1" x14ac:dyDescent="0.3">
      <c r="A203" s="24" t="s">
        <v>60</v>
      </c>
      <c r="B203" s="50">
        <f t="shared" ref="B203:G203" si="25">B$95</f>
        <v>71</v>
      </c>
      <c r="C203" s="50">
        <f t="shared" si="25"/>
        <v>92</v>
      </c>
      <c r="D203" s="50">
        <f t="shared" si="25"/>
        <v>121</v>
      </c>
      <c r="E203" s="50">
        <f t="shared" si="25"/>
        <v>56</v>
      </c>
      <c r="F203" s="50">
        <f t="shared" si="25"/>
        <v>76</v>
      </c>
      <c r="G203" s="61">
        <f t="shared" si="25"/>
        <v>87</v>
      </c>
      <c r="H203" s="45"/>
    </row>
    <row r="204" spans="1:8" ht="16.5" thickTop="1" thickBot="1" x14ac:dyDescent="0.3">
      <c r="A204" s="24" t="s">
        <v>61</v>
      </c>
      <c r="B204" s="9">
        <f t="shared" ref="B204:G204" si="26">B$203*$E$75</f>
        <v>1289.7691634310131</v>
      </c>
      <c r="C204" s="9">
        <f t="shared" si="26"/>
        <v>1671.2501836007496</v>
      </c>
      <c r="D204" s="9">
        <f t="shared" si="26"/>
        <v>2198.0573066922902</v>
      </c>
      <c r="E204" s="9">
        <f t="shared" si="26"/>
        <v>1017.2827204526302</v>
      </c>
      <c r="F204" s="9">
        <f t="shared" si="26"/>
        <v>1380.5979777571408</v>
      </c>
      <c r="G204" s="106">
        <f t="shared" si="26"/>
        <v>1580.4213692746218</v>
      </c>
      <c r="H204" s="45"/>
    </row>
    <row r="205" spans="1:8" ht="16.5" thickTop="1" thickBot="1" x14ac:dyDescent="0.3">
      <c r="A205" s="24" t="s">
        <v>62</v>
      </c>
      <c r="B205" s="50">
        <f t="shared" ref="B205:G205" si="27">$E$77/5</f>
        <v>147.56688723506335</v>
      </c>
      <c r="C205" s="50">
        <f t="shared" si="27"/>
        <v>147.56688723506335</v>
      </c>
      <c r="D205" s="50">
        <f t="shared" si="27"/>
        <v>147.56688723506335</v>
      </c>
      <c r="E205" s="50">
        <f t="shared" si="27"/>
        <v>147.56688723506335</v>
      </c>
      <c r="F205" s="50">
        <f t="shared" si="27"/>
        <v>147.56688723506335</v>
      </c>
      <c r="G205" s="61">
        <f t="shared" si="27"/>
        <v>147.56688723506335</v>
      </c>
      <c r="H205" s="45"/>
    </row>
    <row r="206" spans="1:8" ht="16.5" thickTop="1" thickBot="1" x14ac:dyDescent="0.3">
      <c r="A206" s="36" t="s">
        <v>63</v>
      </c>
      <c r="B206" s="9">
        <f t="shared" ref="B206:G206" si="28">-(B204-B205)</f>
        <v>-1142.2022761959497</v>
      </c>
      <c r="C206" s="10">
        <f t="shared" si="28"/>
        <v>-1523.6832963656861</v>
      </c>
      <c r="D206" s="10">
        <f t="shared" si="28"/>
        <v>-2050.4904194572268</v>
      </c>
      <c r="E206" s="10">
        <f t="shared" si="28"/>
        <v>-869.7158332175668</v>
      </c>
      <c r="F206" s="10">
        <f t="shared" si="28"/>
        <v>-1233.0310905220774</v>
      </c>
      <c r="G206" s="38">
        <f t="shared" si="28"/>
        <v>-1432.8544820395584</v>
      </c>
    </row>
    <row r="207" spans="1:8" ht="16.5" thickTop="1" thickBot="1" x14ac:dyDescent="0.3">
      <c r="A207" s="18"/>
      <c r="B207" s="30"/>
      <c r="D207" s="18"/>
      <c r="F207" s="18"/>
      <c r="G207" s="18"/>
    </row>
    <row r="208" spans="1:8" ht="16.5" thickTop="1" thickBot="1" x14ac:dyDescent="0.3">
      <c r="A208" s="47" t="s">
        <v>65</v>
      </c>
      <c r="B208" s="53"/>
      <c r="C208" s="53"/>
      <c r="D208" s="54"/>
      <c r="E208" s="53"/>
      <c r="F208" s="55"/>
      <c r="G208" s="56"/>
    </row>
    <row r="209" spans="1:7" ht="16.5" thickTop="1" thickBot="1" x14ac:dyDescent="0.3">
      <c r="A209" s="24" t="s">
        <v>66</v>
      </c>
      <c r="B209" s="9">
        <f>IF(ABS(B206-D196)&lt;=ABS(B206-D197),D196,D197)</f>
        <v>-1021.8394736842108</v>
      </c>
      <c r="C209" s="9">
        <f>IF(ABS(C206-D197)&lt;=ABS(C206-D198),D197,D198)</f>
        <v>-1363.0005263157898</v>
      </c>
      <c r="D209" s="40">
        <f>IF(ABS(D206-D200)&lt;=ABS(D206-D199),D200,D199)</f>
        <v>-2043.3226315789482</v>
      </c>
      <c r="E209" s="9">
        <f>IF(ABS(E206-D195)&lt;=ABS(E206-D196),D195,D196)</f>
        <v>-1021.8394736842108</v>
      </c>
      <c r="F209" s="9">
        <f>IF(ABS(F206-D196)&lt;=ABS(F206-D197),D196,D197)</f>
        <v>-1363.0005263157898</v>
      </c>
      <c r="G209" s="17">
        <f>IF(ABS(G206-D197)&lt;=ABS(G206-D198),D197,D198)</f>
        <v>-1363.0005263157898</v>
      </c>
    </row>
    <row r="210" spans="1:7" ht="16.5" thickTop="1" thickBot="1" x14ac:dyDescent="0.3">
      <c r="A210" s="24" t="s">
        <v>67</v>
      </c>
      <c r="B210" s="50">
        <f t="shared" ref="B210:G210" si="29">B204+B209</f>
        <v>267.9296897468023</v>
      </c>
      <c r="C210" s="50">
        <f t="shared" si="29"/>
        <v>308.24965728495977</v>
      </c>
      <c r="D210" s="51">
        <f t="shared" si="29"/>
        <v>154.73467511334206</v>
      </c>
      <c r="E210" s="50">
        <f t="shared" si="29"/>
        <v>-4.5567532315806147</v>
      </c>
      <c r="F210" s="50">
        <f t="shared" si="29"/>
        <v>17.597451441351041</v>
      </c>
      <c r="G210" s="52">
        <f t="shared" si="29"/>
        <v>217.42084295883205</v>
      </c>
    </row>
    <row r="211" spans="1:7" ht="16.5" thickTop="1" thickBot="1" x14ac:dyDescent="0.3">
      <c r="A211" s="24" t="s">
        <v>68</v>
      </c>
      <c r="B211" s="9">
        <f t="shared" ref="B211:G211" si="30">B209-B206</f>
        <v>120.36280251173889</v>
      </c>
      <c r="C211" s="9">
        <f t="shared" si="30"/>
        <v>160.68277004989636</v>
      </c>
      <c r="D211" s="40">
        <f t="shared" si="30"/>
        <v>7.1677878782786593</v>
      </c>
      <c r="E211" s="9">
        <f t="shared" si="30"/>
        <v>-152.12364046664402</v>
      </c>
      <c r="F211" s="9">
        <f t="shared" si="30"/>
        <v>-129.96943579371236</v>
      </c>
      <c r="G211" s="17">
        <f t="shared" si="30"/>
        <v>69.853955723768649</v>
      </c>
    </row>
    <row r="212" spans="1:7" ht="16.5" thickTop="1" thickBot="1" x14ac:dyDescent="0.3">
      <c r="A212" s="46" t="s">
        <v>69</v>
      </c>
      <c r="B212" s="57">
        <f>C210+D210+E210+F210+B210</f>
        <v>743.95472035487455</v>
      </c>
      <c r="C212" s="50">
        <f>C210+D210+E210+F210+G210</f>
        <v>693.44587356690431</v>
      </c>
      <c r="D212" s="57">
        <f>B210+D210+E210+F210+G210</f>
        <v>653.12590602874684</v>
      </c>
      <c r="E212" s="57">
        <f>B210+C210+E210+F210+G210</f>
        <v>806.64088820036454</v>
      </c>
      <c r="F212" s="50">
        <f>B210+C210+D210+F210+G210</f>
        <v>965.93231654528722</v>
      </c>
      <c r="G212" s="58">
        <f>B210+C210+D210+E210+G210</f>
        <v>943.77811187235557</v>
      </c>
    </row>
    <row r="213" spans="1:7" ht="16.5" thickTop="1" thickBot="1" x14ac:dyDescent="0.3">
      <c r="A213" s="18"/>
      <c r="C213" s="30"/>
      <c r="F213" s="30"/>
    </row>
    <row r="214" spans="1:7" ht="16.5" thickTop="1" thickBot="1" x14ac:dyDescent="0.3">
      <c r="A214" s="47" t="s">
        <v>73</v>
      </c>
      <c r="B214" s="53"/>
      <c r="C214" s="53"/>
      <c r="D214" s="53"/>
      <c r="E214" s="53"/>
      <c r="F214" s="53"/>
      <c r="G214" s="56"/>
    </row>
    <row r="215" spans="1:7" ht="16.5" thickTop="1" thickBot="1" x14ac:dyDescent="0.3">
      <c r="A215" s="24" t="s">
        <v>66</v>
      </c>
      <c r="B215" s="9">
        <f>B209</f>
        <v>-1021.8394736842108</v>
      </c>
      <c r="C215" s="102">
        <f>D198</f>
        <v>-1703.161578947369</v>
      </c>
      <c r="D215" s="40">
        <f t="shared" ref="D215:G217" si="31">D209</f>
        <v>-2043.3226315789482</v>
      </c>
      <c r="E215" s="9">
        <f t="shared" si="31"/>
        <v>-1021.8394736842108</v>
      </c>
      <c r="F215" s="9">
        <f t="shared" si="31"/>
        <v>-1363.0005263157898</v>
      </c>
      <c r="G215" s="17">
        <f t="shared" si="31"/>
        <v>-1363.0005263157898</v>
      </c>
    </row>
    <row r="216" spans="1:7" ht="16.5" thickTop="1" thickBot="1" x14ac:dyDescent="0.3">
      <c r="A216" s="24" t="s">
        <v>67</v>
      </c>
      <c r="B216" s="50">
        <f>B210</f>
        <v>267.9296897468023</v>
      </c>
      <c r="C216" s="50">
        <f>C204+C215</f>
        <v>-31.911395346619429</v>
      </c>
      <c r="D216" s="51">
        <f t="shared" si="31"/>
        <v>154.73467511334206</v>
      </c>
      <c r="E216" s="50">
        <f t="shared" si="31"/>
        <v>-4.5567532315806147</v>
      </c>
      <c r="F216" s="50">
        <f t="shared" si="31"/>
        <v>17.597451441351041</v>
      </c>
      <c r="G216" s="52">
        <f t="shared" si="31"/>
        <v>217.42084295883205</v>
      </c>
    </row>
    <row r="217" spans="1:7" ht="16.5" thickTop="1" thickBot="1" x14ac:dyDescent="0.3">
      <c r="A217" s="24" t="s">
        <v>68</v>
      </c>
      <c r="B217" s="9">
        <f>B211</f>
        <v>120.36280251173889</v>
      </c>
      <c r="C217" s="9">
        <f>C215-C206</f>
        <v>-179.47828258168283</v>
      </c>
      <c r="D217" s="40">
        <f t="shared" si="31"/>
        <v>7.1677878782786593</v>
      </c>
      <c r="E217" s="9">
        <f t="shared" si="31"/>
        <v>-152.12364046664402</v>
      </c>
      <c r="F217" s="9">
        <f t="shared" si="31"/>
        <v>-129.96943579371236</v>
      </c>
      <c r="G217" s="17">
        <f t="shared" si="31"/>
        <v>69.853955723768649</v>
      </c>
    </row>
    <row r="218" spans="1:7" ht="16.5" thickTop="1" thickBot="1" x14ac:dyDescent="0.3">
      <c r="A218" s="46" t="s">
        <v>69</v>
      </c>
      <c r="B218" s="57">
        <f>C216+D216+E216+F216+B216</f>
        <v>403.79366772329536</v>
      </c>
      <c r="C218" s="50">
        <f>C216+D216+E216+F216+G216</f>
        <v>353.28482093532511</v>
      </c>
      <c r="D218" s="57">
        <f>B216+D216+E216+F216+G216</f>
        <v>653.12590602874684</v>
      </c>
      <c r="E218" s="57">
        <f>B216+C216+E216+F216+G216</f>
        <v>466.47983556878535</v>
      </c>
      <c r="F218" s="50">
        <f>B216+C216+D216+F216+G216</f>
        <v>625.77126391370803</v>
      </c>
      <c r="G218" s="58">
        <f>B216+C216+D216+E216+G216</f>
        <v>603.61705924077637</v>
      </c>
    </row>
    <row r="219" spans="1:7" ht="16.5" thickTop="1" thickBot="1" x14ac:dyDescent="0.3">
      <c r="C219" s="30"/>
      <c r="F219" s="30"/>
    </row>
    <row r="220" spans="1:7" ht="16.5" thickTop="1" thickBot="1" x14ac:dyDescent="0.3">
      <c r="A220" s="39" t="s">
        <v>107</v>
      </c>
      <c r="B220" s="117">
        <f>F196</f>
        <v>6.1</v>
      </c>
      <c r="C220" s="117">
        <f>F198</f>
        <v>8.9</v>
      </c>
      <c r="D220" s="117">
        <f>F199</f>
        <v>10.3</v>
      </c>
      <c r="E220" s="117">
        <f>F196</f>
        <v>6.1</v>
      </c>
      <c r="F220" s="117">
        <f>F197</f>
        <v>7.5</v>
      </c>
      <c r="G220" s="116">
        <f>F197</f>
        <v>7.5</v>
      </c>
    </row>
    <row r="221" spans="1:7" ht="15" customHeight="1" thickTop="1" thickBot="1" x14ac:dyDescent="0.3">
      <c r="A221" s="242" t="s">
        <v>108</v>
      </c>
      <c r="B221" s="244">
        <f>SUM(B220:F220)</f>
        <v>38.9</v>
      </c>
      <c r="C221" s="244">
        <f>SUM(C220:G220)</f>
        <v>40.300000000000004</v>
      </c>
      <c r="D221" s="244">
        <f>SUM(B220,D220:G220)</f>
        <v>37.5</v>
      </c>
      <c r="E221" s="244">
        <f>SUM(B220:C220,E220:G220)</f>
        <v>36.1</v>
      </c>
      <c r="F221" s="244">
        <f>SUM(B220:D220,F220:G220)</f>
        <v>40.299999999999997</v>
      </c>
      <c r="G221" s="246">
        <f>SUM(B220:E220,G220)</f>
        <v>38.9</v>
      </c>
    </row>
    <row r="222" spans="1:7" ht="16.5" thickTop="1" thickBot="1" x14ac:dyDescent="0.3">
      <c r="A222" s="243"/>
      <c r="B222" s="245"/>
      <c r="C222" s="245"/>
      <c r="D222" s="245"/>
      <c r="E222" s="245"/>
      <c r="F222" s="245"/>
      <c r="G222" s="247"/>
    </row>
    <row r="223" spans="1:7" ht="15.75" thickTop="1" x14ac:dyDescent="0.25"/>
    <row r="224" spans="1:7" ht="15.75" thickBot="1" x14ac:dyDescent="0.3"/>
    <row r="225" spans="1:9" ht="16.5" thickTop="1" thickBot="1" x14ac:dyDescent="0.3">
      <c r="A225" s="155" t="s">
        <v>92</v>
      </c>
      <c r="B225" s="13" t="s">
        <v>94</v>
      </c>
      <c r="C225" s="150" t="s">
        <v>95</v>
      </c>
      <c r="D225" s="13" t="s">
        <v>96</v>
      </c>
      <c r="E225" s="150" t="s">
        <v>93</v>
      </c>
      <c r="F225" s="37" t="s">
        <v>97</v>
      </c>
    </row>
    <row r="226" spans="1:9" ht="15.75" thickTop="1" x14ac:dyDescent="0.25">
      <c r="A226" s="151" t="s">
        <v>149</v>
      </c>
      <c r="B226" s="144">
        <v>5</v>
      </c>
      <c r="C226" s="144">
        <v>1.5</v>
      </c>
      <c r="D226" s="144">
        <v>5</v>
      </c>
      <c r="E226" s="144">
        <v>0</v>
      </c>
      <c r="F226" s="145">
        <f>SUM(B226:E226)</f>
        <v>11.5</v>
      </c>
    </row>
    <row r="227" spans="1:9" x14ac:dyDescent="0.25">
      <c r="A227" s="152" t="s">
        <v>150</v>
      </c>
      <c r="B227" s="102">
        <v>5</v>
      </c>
      <c r="C227" s="40">
        <v>1.5</v>
      </c>
      <c r="D227" s="9">
        <v>0</v>
      </c>
      <c r="E227" s="9">
        <v>0.4</v>
      </c>
      <c r="F227" s="17">
        <f>SUM(B227:E227)</f>
        <v>6.9</v>
      </c>
    </row>
    <row r="228" spans="1:9" ht="15.75" thickBot="1" x14ac:dyDescent="0.3">
      <c r="A228" s="153" t="s">
        <v>151</v>
      </c>
      <c r="B228" s="57">
        <v>0</v>
      </c>
      <c r="C228" s="154">
        <v>1.5</v>
      </c>
      <c r="D228" s="57">
        <v>5</v>
      </c>
      <c r="E228" s="57">
        <v>0.4</v>
      </c>
      <c r="F228" s="58">
        <f>SUM(B228:E228)</f>
        <v>6.9</v>
      </c>
    </row>
    <row r="229" spans="1:9" ht="16.5" thickTop="1" thickBot="1" x14ac:dyDescent="0.3"/>
    <row r="230" spans="1:9" ht="16.5" thickTop="1" thickBot="1" x14ac:dyDescent="0.3">
      <c r="A230" s="15" t="s">
        <v>98</v>
      </c>
      <c r="B230" s="165" t="s">
        <v>99</v>
      </c>
      <c r="C230" s="165" t="s">
        <v>100</v>
      </c>
      <c r="D230" s="165" t="s">
        <v>101</v>
      </c>
      <c r="E230" s="165" t="s">
        <v>102</v>
      </c>
      <c r="F230" s="165" t="s">
        <v>103</v>
      </c>
      <c r="G230" s="165" t="s">
        <v>104</v>
      </c>
      <c r="H230" s="156" t="s">
        <v>105</v>
      </c>
      <c r="I230" s="164" t="s">
        <v>106</v>
      </c>
    </row>
    <row r="231" spans="1:9" ht="15.75" thickTop="1" x14ac:dyDescent="0.25">
      <c r="A231" s="151" t="s">
        <v>7</v>
      </c>
      <c r="B231" s="159">
        <f>C25</f>
        <v>76</v>
      </c>
      <c r="C231" s="159">
        <v>2</v>
      </c>
      <c r="D231" s="159">
        <f>B231-1</f>
        <v>75</v>
      </c>
      <c r="E231" s="159">
        <f>B231*0.22</f>
        <v>16.72</v>
      </c>
      <c r="F231" s="159">
        <f>$C231*0.4</f>
        <v>0.8</v>
      </c>
      <c r="G231" s="162">
        <f>$D231*0.07</f>
        <v>5.2500000000000009</v>
      </c>
      <c r="H231" s="159">
        <f>F220</f>
        <v>7.5</v>
      </c>
      <c r="I231" s="145">
        <f>SUM(E231:H231)</f>
        <v>30.27</v>
      </c>
    </row>
    <row r="232" spans="1:9" x14ac:dyDescent="0.25">
      <c r="A232" s="152" t="s">
        <v>8</v>
      </c>
      <c r="B232" s="160">
        <f>C26</f>
        <v>87</v>
      </c>
      <c r="C232" s="40">
        <v>2</v>
      </c>
      <c r="D232" s="40">
        <f>B232-1</f>
        <v>86</v>
      </c>
      <c r="E232" s="40">
        <f>B232*0.22</f>
        <v>19.14</v>
      </c>
      <c r="F232" s="40">
        <f>$C232*0.4</f>
        <v>0.8</v>
      </c>
      <c r="G232" s="161">
        <f>$D232*0.07</f>
        <v>6.0200000000000005</v>
      </c>
      <c r="H232" s="160">
        <f>G220</f>
        <v>7.5</v>
      </c>
      <c r="I232" s="2">
        <f>SUM(E232:H232)</f>
        <v>33.46</v>
      </c>
    </row>
    <row r="233" spans="1:9" x14ac:dyDescent="0.25">
      <c r="A233" s="158" t="s">
        <v>3</v>
      </c>
      <c r="B233" s="51">
        <f>C21</f>
        <v>71</v>
      </c>
      <c r="C233" s="51">
        <v>2</v>
      </c>
      <c r="D233" s="51">
        <f>B233-1</f>
        <v>70</v>
      </c>
      <c r="E233" s="51">
        <f>B233*0.22</f>
        <v>15.62</v>
      </c>
      <c r="F233" s="51">
        <f>$C233*0.4</f>
        <v>0.8</v>
      </c>
      <c r="G233" s="166">
        <f>$D233*0.07</f>
        <v>4.9000000000000004</v>
      </c>
      <c r="H233" s="51">
        <f>B220</f>
        <v>6.1</v>
      </c>
      <c r="I233" s="60">
        <f>SUM(E233:H233)</f>
        <v>27.42</v>
      </c>
    </row>
    <row r="234" spans="1:9" x14ac:dyDescent="0.25">
      <c r="A234" s="152" t="s">
        <v>4</v>
      </c>
      <c r="B234" s="160">
        <f>C22</f>
        <v>92</v>
      </c>
      <c r="C234" s="40">
        <v>2</v>
      </c>
      <c r="D234" s="40">
        <f>B234-1</f>
        <v>91</v>
      </c>
      <c r="E234" s="40">
        <f>B234*0.22</f>
        <v>20.239999999999998</v>
      </c>
      <c r="F234" s="40">
        <f>$C234*0.4</f>
        <v>0.8</v>
      </c>
      <c r="G234" s="161">
        <f>$D234*0.07</f>
        <v>6.370000000000001</v>
      </c>
      <c r="H234" s="160">
        <f>C220</f>
        <v>8.9</v>
      </c>
      <c r="I234" s="2">
        <f>SUM(E234:H234)</f>
        <v>36.31</v>
      </c>
    </row>
    <row r="235" spans="1:9" ht="15.75" thickBot="1" x14ac:dyDescent="0.3">
      <c r="A235" s="153" t="s">
        <v>5</v>
      </c>
      <c r="B235" s="57">
        <f>C23</f>
        <v>121</v>
      </c>
      <c r="C235" s="57">
        <v>2</v>
      </c>
      <c r="D235" s="57">
        <f>B235-1</f>
        <v>120</v>
      </c>
      <c r="E235" s="57">
        <f>B235*0.22</f>
        <v>26.62</v>
      </c>
      <c r="F235" s="57">
        <f>$C235*0.4</f>
        <v>0.8</v>
      </c>
      <c r="G235" s="163">
        <f>$D235*0.07</f>
        <v>8.4</v>
      </c>
      <c r="H235" s="57">
        <f>D220</f>
        <v>10.3</v>
      </c>
      <c r="I235" s="58">
        <f>SUM(E235:H235)</f>
        <v>46.120000000000005</v>
      </c>
    </row>
    <row r="236" spans="1:9" ht="16.5" thickTop="1" thickBot="1" x14ac:dyDescent="0.3"/>
    <row r="237" spans="1:9" ht="16.5" thickTop="1" thickBot="1" x14ac:dyDescent="0.3">
      <c r="A237" s="167" t="s">
        <v>109</v>
      </c>
      <c r="B237" s="157">
        <f>SUM(4*F226,F227:F228,I231:I235)</f>
        <v>233.38</v>
      </c>
    </row>
    <row r="238" spans="1:9" ht="16.5" thickTop="1" thickBot="1" x14ac:dyDescent="0.3"/>
    <row r="239" spans="1:9" ht="18" customHeight="1" thickTop="1" x14ac:dyDescent="0.25">
      <c r="A239" s="225" t="s">
        <v>33</v>
      </c>
      <c r="B239" s="227" t="s">
        <v>110</v>
      </c>
      <c r="C239" s="227" t="s">
        <v>111</v>
      </c>
      <c r="D239" s="227" t="s">
        <v>112</v>
      </c>
      <c r="E239" s="227" t="s">
        <v>194</v>
      </c>
      <c r="F239" s="227" t="s">
        <v>195</v>
      </c>
      <c r="G239" s="227" t="s">
        <v>113</v>
      </c>
      <c r="H239" s="223" t="s">
        <v>114</v>
      </c>
    </row>
    <row r="240" spans="1:9" ht="18" customHeight="1" thickBot="1" x14ac:dyDescent="0.3">
      <c r="A240" s="226"/>
      <c r="B240" s="228"/>
      <c r="C240" s="228"/>
      <c r="D240" s="228"/>
      <c r="E240" s="228"/>
      <c r="F240" s="228"/>
      <c r="G240" s="228"/>
      <c r="H240" s="224"/>
    </row>
    <row r="241" spans="1:8" ht="15.75" thickTop="1" x14ac:dyDescent="0.25">
      <c r="A241" s="151" t="s">
        <v>3</v>
      </c>
      <c r="B241" s="159">
        <v>2</v>
      </c>
      <c r="C241" s="159">
        <f>10^(B241/10)</f>
        <v>1.5848931924611136</v>
      </c>
      <c r="D241" s="159">
        <f>C241*F241</f>
        <v>11.220184543019636</v>
      </c>
      <c r="E241" s="159">
        <v>8.5</v>
      </c>
      <c r="F241" s="159">
        <f>10^(E241/10)</f>
        <v>7.0794578438413795</v>
      </c>
      <c r="G241" s="162">
        <f>SUM(C241:D241)/2</f>
        <v>6.4025388677403745</v>
      </c>
      <c r="H241" s="172">
        <f>10*LOG10(G241)</f>
        <v>8.0635222360964836</v>
      </c>
    </row>
    <row r="242" spans="1:8" x14ac:dyDescent="0.25">
      <c r="A242" s="152" t="s">
        <v>4</v>
      </c>
      <c r="B242" s="160">
        <v>1.5</v>
      </c>
      <c r="C242" s="40">
        <f>10^(B242/10)</f>
        <v>1.4125375446227544</v>
      </c>
      <c r="D242" s="40">
        <f>C242*F242</f>
        <v>12.589254117941676</v>
      </c>
      <c r="E242" s="40">
        <v>9.5</v>
      </c>
      <c r="F242" s="40">
        <f>10^(E242/10)</f>
        <v>8.9125093813374576</v>
      </c>
      <c r="G242" s="161">
        <f>SUM(C242:D242)/2</f>
        <v>7.0008958312822154</v>
      </c>
      <c r="H242" s="173">
        <f>10*LOG10(G242)</f>
        <v>8.4515361568424279</v>
      </c>
    </row>
    <row r="243" spans="1:8" x14ac:dyDescent="0.25">
      <c r="A243" s="158" t="s">
        <v>5</v>
      </c>
      <c r="B243" s="51">
        <v>1</v>
      </c>
      <c r="C243" s="51">
        <f>10^(B243/10)</f>
        <v>1.2589254117941673</v>
      </c>
      <c r="D243" s="51">
        <f>C243*F243</f>
        <v>14.125375446227546</v>
      </c>
      <c r="E243" s="51">
        <v>10.5</v>
      </c>
      <c r="F243" s="51">
        <f>10^(E243/10)</f>
        <v>11.220184543019636</v>
      </c>
      <c r="G243" s="166">
        <f>SUM(C243:D243)/2</f>
        <v>7.6921504290108569</v>
      </c>
      <c r="H243" s="60">
        <f>10*LOG10(G243)</f>
        <v>8.8604776878673892</v>
      </c>
    </row>
    <row r="244" spans="1:8" ht="15.75" thickBot="1" x14ac:dyDescent="0.3">
      <c r="A244" s="174" t="s">
        <v>6</v>
      </c>
      <c r="B244" s="175">
        <v>-3</v>
      </c>
      <c r="C244" s="176">
        <f>10^(B244/10)</f>
        <v>0.50118723362727224</v>
      </c>
      <c r="D244" s="176">
        <f>C244*F244</f>
        <v>8.9125093813374576</v>
      </c>
      <c r="E244" s="176">
        <v>12.5</v>
      </c>
      <c r="F244" s="176">
        <f>10^(E244/10)</f>
        <v>17.782794100389236</v>
      </c>
      <c r="G244" s="177">
        <f>SUM(C244:D244)/2</f>
        <v>4.7068483074823648</v>
      </c>
      <c r="H244" s="178">
        <f>10*LOG10(G244)</f>
        <v>6.7273020207015923</v>
      </c>
    </row>
    <row r="245" spans="1:8" ht="16.5" thickTop="1" thickBot="1" x14ac:dyDescent="0.3"/>
    <row r="246" spans="1:8" ht="18.75" thickTop="1" thickBot="1" x14ac:dyDescent="0.3">
      <c r="A246" s="15" t="s">
        <v>30</v>
      </c>
      <c r="B246" s="165" t="s">
        <v>117</v>
      </c>
      <c r="C246" s="165" t="s">
        <v>148</v>
      </c>
      <c r="D246" s="165" t="s">
        <v>118</v>
      </c>
      <c r="E246" s="165" t="s">
        <v>115</v>
      </c>
      <c r="F246" s="165" t="s">
        <v>119</v>
      </c>
      <c r="G246" s="165" t="s">
        <v>120</v>
      </c>
      <c r="H246" s="164" t="s">
        <v>116</v>
      </c>
    </row>
    <row r="247" spans="1:8" ht="15.75" thickTop="1" x14ac:dyDescent="0.25">
      <c r="A247" s="151" t="s">
        <v>3</v>
      </c>
      <c r="B247" s="159">
        <v>0.75</v>
      </c>
      <c r="C247" s="159">
        <v>5</v>
      </c>
      <c r="D247" s="159">
        <v>4</v>
      </c>
      <c r="E247" s="159">
        <v>6.3949999999999996</v>
      </c>
      <c r="F247" s="159">
        <v>10</v>
      </c>
      <c r="G247" s="162">
        <f>(PI()/(2*D247))/SIN(PI()/(2*D247))</f>
        <v>1.0261721529770309</v>
      </c>
      <c r="H247" s="145">
        <f>F247*G247</f>
        <v>10.261721529770309</v>
      </c>
    </row>
    <row r="248" spans="1:8" x14ac:dyDescent="0.25">
      <c r="A248" s="152" t="s">
        <v>4</v>
      </c>
      <c r="B248" s="160">
        <v>0.65</v>
      </c>
      <c r="C248" s="40">
        <v>10</v>
      </c>
      <c r="D248" s="40">
        <v>5</v>
      </c>
      <c r="E248" s="40">
        <v>6.3949999999999996</v>
      </c>
      <c r="F248" s="40">
        <v>12</v>
      </c>
      <c r="G248" s="161">
        <f>(PI()/(2*D248))/SIN(PI()/(2*D248))</f>
        <v>1.016640738463052</v>
      </c>
      <c r="H248" s="179">
        <f>F248*G248</f>
        <v>12.199688861556623</v>
      </c>
    </row>
    <row r="249" spans="1:8" x14ac:dyDescent="0.25">
      <c r="A249" s="158" t="s">
        <v>5</v>
      </c>
      <c r="B249" s="51">
        <v>0.55000000000000004</v>
      </c>
      <c r="C249" s="51">
        <v>15</v>
      </c>
      <c r="D249" s="51">
        <v>5</v>
      </c>
      <c r="E249" s="51">
        <v>6.3949999999999996</v>
      </c>
      <c r="F249" s="51">
        <v>8</v>
      </c>
      <c r="G249" s="166">
        <f>(PI()/(2*D249))/SIN(PI()/(2*D249))</f>
        <v>1.016640738463052</v>
      </c>
      <c r="H249" s="52">
        <f>F249*G249</f>
        <v>8.1331259077044162</v>
      </c>
    </row>
    <row r="250" spans="1:8" x14ac:dyDescent="0.25">
      <c r="A250" s="152" t="s">
        <v>6</v>
      </c>
      <c r="B250" s="160">
        <v>0.5</v>
      </c>
      <c r="C250" s="40">
        <v>20</v>
      </c>
      <c r="D250" s="40">
        <v>2</v>
      </c>
      <c r="E250" s="40">
        <v>6.3949999999999996</v>
      </c>
      <c r="F250" s="40">
        <v>9</v>
      </c>
      <c r="G250" s="161">
        <f>(PI()/(2*D250))/SIN(PI()/(2*D250))</f>
        <v>1.1107207345395915</v>
      </c>
      <c r="H250" s="179">
        <f>F250*G250</f>
        <v>9.9964866108563228</v>
      </c>
    </row>
    <row r="251" spans="1:8" ht="15.75" thickBot="1" x14ac:dyDescent="0.3">
      <c r="A251" s="153" t="s">
        <v>75</v>
      </c>
      <c r="B251" s="57">
        <v>0.5</v>
      </c>
      <c r="C251" s="57">
        <v>11</v>
      </c>
      <c r="D251" s="57">
        <v>4</v>
      </c>
      <c r="E251" s="57">
        <v>6.3949999999999996</v>
      </c>
      <c r="F251" s="57">
        <v>6.5</v>
      </c>
      <c r="G251" s="163">
        <f>(PI()/(2*D251))/SIN(PI()/(2*D251))</f>
        <v>1.0261721529770309</v>
      </c>
      <c r="H251" s="58">
        <f>F251*G251</f>
        <v>6.6701189943507009</v>
      </c>
    </row>
    <row r="252" spans="1:8" ht="16.5" thickTop="1" thickBot="1" x14ac:dyDescent="0.3"/>
    <row r="253" spans="1:8" ht="16.5" thickTop="1" thickBot="1" x14ac:dyDescent="0.3">
      <c r="A253" s="214" t="s">
        <v>121</v>
      </c>
      <c r="B253" s="217" t="s">
        <v>142</v>
      </c>
      <c r="C253" s="217" t="s">
        <v>143</v>
      </c>
      <c r="D253" s="217" t="s">
        <v>147</v>
      </c>
      <c r="E253" s="229" t="s">
        <v>144</v>
      </c>
      <c r="F253" s="217" t="s">
        <v>145</v>
      </c>
      <c r="G253" s="219" t="s">
        <v>146</v>
      </c>
    </row>
    <row r="254" spans="1:8" ht="16.5" thickTop="1" thickBot="1" x14ac:dyDescent="0.3">
      <c r="A254" s="215"/>
      <c r="B254" s="218"/>
      <c r="C254" s="218"/>
      <c r="D254" s="218"/>
      <c r="E254" s="230"/>
      <c r="F254" s="218"/>
      <c r="G254" s="220"/>
    </row>
    <row r="255" spans="1:8" ht="15.75" thickTop="1" x14ac:dyDescent="0.25">
      <c r="A255" s="185" t="s">
        <v>122</v>
      </c>
      <c r="B255" s="188">
        <f>$H$241</f>
        <v>8.0635222360964836</v>
      </c>
      <c r="C255" s="188">
        <f>$B$237</f>
        <v>233.38</v>
      </c>
      <c r="D255" s="188">
        <f>(($F$241+1)/($F$241-1))*$E247*$C247*10^-12*SQRT($H247*10^9)</f>
        <v>4.3046518614382246E-6</v>
      </c>
      <c r="E255" s="189">
        <f t="shared" ref="E255:E274" si="32">10*LOG10($D255)+30</f>
        <v>-23.660619663404276</v>
      </c>
      <c r="F255" s="188">
        <v>2</v>
      </c>
      <c r="G255" s="60">
        <f t="shared" ref="G255:G274" si="33">$B255-$C255-$E255-$F255</f>
        <v>-203.65585810049924</v>
      </c>
    </row>
    <row r="256" spans="1:8" x14ac:dyDescent="0.25">
      <c r="A256" s="186" t="s">
        <v>123</v>
      </c>
      <c r="B256" s="146">
        <f>$H$241</f>
        <v>8.0635222360964836</v>
      </c>
      <c r="C256" s="146">
        <f t="shared" ref="C256:C273" si="34">$B$237</f>
        <v>233.38</v>
      </c>
      <c r="D256" s="146">
        <f>(($F$241+1)/($F$241-1))*$E248*$C248*10^-12*SQRT($H248*10^9)</f>
        <v>9.3871183659008787E-6</v>
      </c>
      <c r="E256" s="190">
        <f t="shared" si="32"/>
        <v>-20.274677059081405</v>
      </c>
      <c r="F256" s="146">
        <v>2</v>
      </c>
      <c r="G256" s="2">
        <f t="shared" si="33"/>
        <v>-207.04180070482212</v>
      </c>
    </row>
    <row r="257" spans="1:8" x14ac:dyDescent="0.25">
      <c r="A257" s="253" t="s">
        <v>124</v>
      </c>
      <c r="B257" s="188">
        <f>$H$241</f>
        <v>8.0635222360964836</v>
      </c>
      <c r="C257" s="188">
        <f>$B$237</f>
        <v>233.38</v>
      </c>
      <c r="D257" s="188">
        <f>(($F$241+1)/($F$241-1))*$E249*$C249*10^-12*SQRT($H249*10^9)</f>
        <v>1.1496825075782894E-5</v>
      </c>
      <c r="E257" s="189">
        <f t="shared" si="32"/>
        <v>-19.394220763802998</v>
      </c>
      <c r="F257" s="188">
        <v>2</v>
      </c>
      <c r="G257" s="60">
        <f t="shared" si="33"/>
        <v>-207.92225700010053</v>
      </c>
    </row>
    <row r="258" spans="1:8" x14ac:dyDescent="0.25">
      <c r="A258" s="254" t="s">
        <v>125</v>
      </c>
      <c r="B258" s="146">
        <f>$H$241</f>
        <v>8.0635222360964836</v>
      </c>
      <c r="C258" s="146">
        <f t="shared" si="34"/>
        <v>233.38</v>
      </c>
      <c r="D258" s="146">
        <f>(($F$241+1)/($F$241-1))*$E250*$C250*10^-12*SQRT($H250*10^9)</f>
        <v>1.6994625813044158E-5</v>
      </c>
      <c r="E258" s="190">
        <f t="shared" si="32"/>
        <v>-17.696883932532749</v>
      </c>
      <c r="F258" s="146">
        <v>2</v>
      </c>
      <c r="G258" s="2">
        <f t="shared" si="33"/>
        <v>-209.61959383137076</v>
      </c>
    </row>
    <row r="259" spans="1:8" x14ac:dyDescent="0.25">
      <c r="A259" s="185" t="s">
        <v>126</v>
      </c>
      <c r="B259" s="188">
        <f>$H$241</f>
        <v>8.0635222360964836</v>
      </c>
      <c r="C259" s="188">
        <f t="shared" si="34"/>
        <v>233.38</v>
      </c>
      <c r="D259" s="188">
        <f>(($F$241+1)/($F$241-1))*$E251*$C251*10^-12*SQRT($H251*10^9)</f>
        <v>7.6351468211937836E-6</v>
      </c>
      <c r="E259" s="189">
        <f t="shared" si="32"/>
        <v>-21.171826071967928</v>
      </c>
      <c r="F259" s="188">
        <v>2</v>
      </c>
      <c r="G259" s="60">
        <f t="shared" si="33"/>
        <v>-206.14465169193559</v>
      </c>
    </row>
    <row r="260" spans="1:8" x14ac:dyDescent="0.25">
      <c r="A260" s="186" t="s">
        <v>127</v>
      </c>
      <c r="B260" s="146">
        <f>$H$242</f>
        <v>8.4515361568424279</v>
      </c>
      <c r="C260" s="146">
        <f t="shared" si="34"/>
        <v>233.38</v>
      </c>
      <c r="D260" s="146">
        <f>(($F$242+1)/($F$242-1))*$E247*$C247*10^-12*SQRT($H247*10^9)</f>
        <v>4.0577944061822313E-6</v>
      </c>
      <c r="E260" s="190">
        <f t="shared" si="32"/>
        <v>-23.917099608814034</v>
      </c>
      <c r="F260" s="146">
        <v>2</v>
      </c>
      <c r="G260" s="2">
        <f t="shared" si="33"/>
        <v>-203.01136423434355</v>
      </c>
    </row>
    <row r="261" spans="1:8" x14ac:dyDescent="0.25">
      <c r="A261" s="185" t="s">
        <v>128</v>
      </c>
      <c r="B261" s="188">
        <f>$H$242</f>
        <v>8.4515361568424279</v>
      </c>
      <c r="C261" s="188">
        <f t="shared" si="34"/>
        <v>233.38</v>
      </c>
      <c r="D261" s="188">
        <f>(($F$242+1)/($F$242-1))*$E248*$C248*10^-12*SQRT($H248*10^9)</f>
        <v>8.8487983747416249E-6</v>
      </c>
      <c r="E261" s="189">
        <f t="shared" si="32"/>
        <v>-20.531157004491163</v>
      </c>
      <c r="F261" s="188">
        <v>2</v>
      </c>
      <c r="G261" s="60">
        <f t="shared" si="33"/>
        <v>-206.3973068386664</v>
      </c>
    </row>
    <row r="262" spans="1:8" x14ac:dyDescent="0.25">
      <c r="A262" s="186" t="s">
        <v>141</v>
      </c>
      <c r="B262" s="146">
        <f>$H$242</f>
        <v>8.4515361568424279</v>
      </c>
      <c r="C262" s="146">
        <f t="shared" si="34"/>
        <v>233.38</v>
      </c>
      <c r="D262" s="146">
        <f>(($F$242+1)/($F$242-1))*$E249*$C249*10^-12*SQRT($H249*10^9)</f>
        <v>1.0837520427443031E-5</v>
      </c>
      <c r="E262" s="190">
        <f t="shared" si="32"/>
        <v>-19.650700709212771</v>
      </c>
      <c r="F262" s="146">
        <v>2</v>
      </c>
      <c r="G262" s="2">
        <f t="shared" si="33"/>
        <v>-207.2777631339448</v>
      </c>
    </row>
    <row r="263" spans="1:8" x14ac:dyDescent="0.25">
      <c r="A263" s="185" t="s">
        <v>129</v>
      </c>
      <c r="B263" s="188">
        <f>$H$242</f>
        <v>8.4515361568424279</v>
      </c>
      <c r="C263" s="188">
        <f t="shared" si="34"/>
        <v>233.38</v>
      </c>
      <c r="D263" s="188">
        <f>(($F$242+1)/($F$242-1))*$E250*$C250*10^-12*SQRT($H250*10^9)</f>
        <v>1.6020040593083019E-5</v>
      </c>
      <c r="E263" s="189">
        <f t="shared" si="32"/>
        <v>-17.953363877942515</v>
      </c>
      <c r="F263" s="188">
        <v>2</v>
      </c>
      <c r="G263" s="60">
        <f t="shared" si="33"/>
        <v>-208.97509996521507</v>
      </c>
    </row>
    <row r="264" spans="1:8" x14ac:dyDescent="0.25">
      <c r="A264" s="186" t="s">
        <v>130</v>
      </c>
      <c r="B264" s="146">
        <f>$H$242</f>
        <v>8.4515361568424279</v>
      </c>
      <c r="C264" s="146">
        <f t="shared" si="34"/>
        <v>233.38</v>
      </c>
      <c r="D264" s="146">
        <f>(($F$242+1)/($F$242-1))*$E251*$C251*10^-12*SQRT($H251*10^9)</f>
        <v>7.197296566293946E-6</v>
      </c>
      <c r="E264" s="190">
        <f t="shared" si="32"/>
        <v>-21.4283060173777</v>
      </c>
      <c r="F264" s="146">
        <v>2</v>
      </c>
      <c r="G264" s="2">
        <f t="shared" si="33"/>
        <v>-205.50015782577987</v>
      </c>
      <c r="H264" t="s">
        <v>84</v>
      </c>
    </row>
    <row r="265" spans="1:8" x14ac:dyDescent="0.25">
      <c r="A265" s="185" t="s">
        <v>131</v>
      </c>
      <c r="B265" s="188">
        <f>$H$243</f>
        <v>8.8604776878673892</v>
      </c>
      <c r="C265" s="188">
        <f t="shared" si="34"/>
        <v>233.38</v>
      </c>
      <c r="D265" s="188">
        <f>(($F$243+1)/($F$243-1))*$E247*$C247*10^-12*SQRT($H247*10^9)</f>
        <v>3.8729303996315915E-6</v>
      </c>
      <c r="E265" s="189">
        <f t="shared" si="32"/>
        <v>-24.119603076427687</v>
      </c>
      <c r="F265" s="188">
        <v>2</v>
      </c>
      <c r="G265" s="60">
        <f t="shared" si="33"/>
        <v>-202.39991923570491</v>
      </c>
    </row>
    <row r="266" spans="1:8" x14ac:dyDescent="0.25">
      <c r="A266" s="186" t="s">
        <v>132</v>
      </c>
      <c r="B266" s="146">
        <f>$H$243</f>
        <v>8.8604776878673892</v>
      </c>
      <c r="C266" s="146">
        <f t="shared" si="34"/>
        <v>233.38</v>
      </c>
      <c r="D266" s="146">
        <f>(($F$243+1)/($F$243-1))*$E248*$C248*10^-12*SQRT($H248*10^9)</f>
        <v>8.4456669794641123E-6</v>
      </c>
      <c r="E266" s="190">
        <f t="shared" si="32"/>
        <v>-20.733660472104816</v>
      </c>
      <c r="F266" s="146">
        <v>2</v>
      </c>
      <c r="G266" s="2">
        <f t="shared" si="33"/>
        <v>-205.78586184002779</v>
      </c>
    </row>
    <row r="267" spans="1:8" x14ac:dyDescent="0.25">
      <c r="A267" s="185" t="s">
        <v>133</v>
      </c>
      <c r="B267" s="188">
        <f>$H$243</f>
        <v>8.8604776878673892</v>
      </c>
      <c r="C267" s="188">
        <f t="shared" si="34"/>
        <v>233.38</v>
      </c>
      <c r="D267" s="188">
        <f>(($F$243+1)/($F$243-1))*$E249*$C249*10^-12*SQRT($H249*10^9)</f>
        <v>1.0343787318579966E-5</v>
      </c>
      <c r="E267" s="189">
        <f t="shared" si="32"/>
        <v>-19.853204176826409</v>
      </c>
      <c r="F267" s="188">
        <v>2</v>
      </c>
      <c r="G267" s="60">
        <f t="shared" si="33"/>
        <v>-206.6663181353062</v>
      </c>
    </row>
    <row r="268" spans="1:8" x14ac:dyDescent="0.25">
      <c r="A268" s="186" t="s">
        <v>134</v>
      </c>
      <c r="B268" s="146">
        <f>$H$243</f>
        <v>8.8604776878673892</v>
      </c>
      <c r="C268" s="146">
        <f t="shared" si="34"/>
        <v>233.38</v>
      </c>
      <c r="D268" s="146">
        <f>(($F$243+1)/($F$243-1))*$E250*$C250*10^-12*SQRT($H250*10^9)</f>
        <v>1.5290203496203691E-5</v>
      </c>
      <c r="E268" s="190">
        <f t="shared" si="32"/>
        <v>-18.155867345556167</v>
      </c>
      <c r="F268" s="146">
        <v>2</v>
      </c>
      <c r="G268" s="2">
        <f t="shared" si="33"/>
        <v>-208.36365496657643</v>
      </c>
    </row>
    <row r="269" spans="1:8" x14ac:dyDescent="0.25">
      <c r="A269" s="185" t="s">
        <v>135</v>
      </c>
      <c r="B269" s="188">
        <f>$H$243</f>
        <v>8.8604776878673892</v>
      </c>
      <c r="C269" s="188">
        <f t="shared" si="34"/>
        <v>233.38</v>
      </c>
      <c r="D269" s="188">
        <f>(($F$243+1)/($F$243-1))*$E251*$C251*10^-12*SQRT($H251*10^9)</f>
        <v>6.8694038870711754E-6</v>
      </c>
      <c r="E269" s="189">
        <f t="shared" si="32"/>
        <v>-21.630809484991346</v>
      </c>
      <c r="F269" s="188">
        <v>2</v>
      </c>
      <c r="G269" s="60">
        <f t="shared" si="33"/>
        <v>-204.88871282714126</v>
      </c>
    </row>
    <row r="270" spans="1:8" x14ac:dyDescent="0.25">
      <c r="A270" s="186" t="s">
        <v>136</v>
      </c>
      <c r="B270" s="146">
        <f>$H$244</f>
        <v>6.7273020207015923</v>
      </c>
      <c r="C270" s="146">
        <f t="shared" si="34"/>
        <v>233.38</v>
      </c>
      <c r="D270" s="146">
        <f>(($F$244+1)/($F$244-1))*$E247*$C247*10^-12*SQRT($H247*10^9)</f>
        <v>3.6250716675328969E-6</v>
      </c>
      <c r="E270" s="190">
        <f t="shared" si="32"/>
        <v>-24.406834030222569</v>
      </c>
      <c r="F270" s="146">
        <v>2</v>
      </c>
      <c r="G270" s="2">
        <f t="shared" si="33"/>
        <v>-204.24586394907584</v>
      </c>
    </row>
    <row r="271" spans="1:8" x14ac:dyDescent="0.25">
      <c r="A271" s="185" t="s">
        <v>137</v>
      </c>
      <c r="B271" s="188">
        <f>$H$244</f>
        <v>6.7273020207015923</v>
      </c>
      <c r="C271" s="188">
        <f t="shared" si="34"/>
        <v>233.38</v>
      </c>
      <c r="D271" s="188">
        <f>(($F$244+1)/($F$244-1))*$E248*$C248*10^-12*SQRT($H248*10^9)</f>
        <v>7.9051635122556878E-6</v>
      </c>
      <c r="E271" s="189">
        <f t="shared" si="32"/>
        <v>-21.020891425899705</v>
      </c>
      <c r="F271" s="188">
        <v>2</v>
      </c>
      <c r="G271" s="60">
        <f t="shared" si="33"/>
        <v>-207.63180655339869</v>
      </c>
    </row>
    <row r="272" spans="1:8" x14ac:dyDescent="0.25">
      <c r="A272" s="186" t="s">
        <v>138</v>
      </c>
      <c r="B272" s="146">
        <f>$H$244</f>
        <v>6.7273020207015923</v>
      </c>
      <c r="C272" s="146">
        <f t="shared" si="34"/>
        <v>233.38</v>
      </c>
      <c r="D272" s="146">
        <f>(($F$244+1)/($F$244-1))*$E249*$C249*10^-12*SQRT($H249*10^9)</f>
        <v>9.6818084691470732E-6</v>
      </c>
      <c r="E272" s="190">
        <f t="shared" si="32"/>
        <v>-20.140435130621299</v>
      </c>
      <c r="F272" s="146">
        <v>2</v>
      </c>
      <c r="G272" s="2">
        <f t="shared" si="33"/>
        <v>-208.5122628486771</v>
      </c>
    </row>
    <row r="273" spans="1:7" x14ac:dyDescent="0.25">
      <c r="A273" s="185" t="s">
        <v>139</v>
      </c>
      <c r="B273" s="188">
        <f>$H$244</f>
        <v>6.7273020207015923</v>
      </c>
      <c r="C273" s="188">
        <f t="shared" si="34"/>
        <v>233.38</v>
      </c>
      <c r="D273" s="188">
        <f>(($F$244+1)/($F$244-1))*$E250*$C250*10^-12*SQRT($H250*10^9)</f>
        <v>1.4311665267770625E-5</v>
      </c>
      <c r="E273" s="189">
        <f t="shared" si="32"/>
        <v>-18.44309829935105</v>
      </c>
      <c r="F273" s="188">
        <v>2</v>
      </c>
      <c r="G273" s="60">
        <f t="shared" si="33"/>
        <v>-210.20959967994736</v>
      </c>
    </row>
    <row r="274" spans="1:7" ht="15" customHeight="1" thickBot="1" x14ac:dyDescent="0.3">
      <c r="A274" s="187" t="s">
        <v>140</v>
      </c>
      <c r="B274" s="148">
        <f>$H$244</f>
        <v>6.7273020207015923</v>
      </c>
      <c r="C274" s="148">
        <f>$B$237</f>
        <v>233.38</v>
      </c>
      <c r="D274" s="148">
        <f>(($F$244+1)/($F$244-1))*$E251*$C251*10^-12*SQRT($H251*10^9)</f>
        <v>6.4297776707350208E-6</v>
      </c>
      <c r="E274" s="191">
        <f t="shared" si="32"/>
        <v>-21.918040438786228</v>
      </c>
      <c r="F274" s="148">
        <v>2</v>
      </c>
      <c r="G274" s="4">
        <f t="shared" si="33"/>
        <v>-206.73465754051219</v>
      </c>
    </row>
    <row r="275" spans="1:7" ht="16.5" thickTop="1" thickBot="1" x14ac:dyDescent="0.3"/>
    <row r="276" spans="1:7" ht="31.5" thickTop="1" thickBot="1" x14ac:dyDescent="0.3">
      <c r="A276" s="180" t="s">
        <v>98</v>
      </c>
      <c r="B276" s="182" t="s">
        <v>152</v>
      </c>
      <c r="C276" s="183" t="s">
        <v>153</v>
      </c>
      <c r="D276" s="181" t="s">
        <v>154</v>
      </c>
      <c r="E276" s="192" t="s">
        <v>155</v>
      </c>
    </row>
    <row r="277" spans="1:7" ht="15.75" thickTop="1" x14ac:dyDescent="0.25">
      <c r="A277" s="185" t="s">
        <v>7</v>
      </c>
      <c r="B277" s="188">
        <f>I231</f>
        <v>30.27</v>
      </c>
      <c r="C277" s="188">
        <f>$F$226+0.4</f>
        <v>11.9</v>
      </c>
      <c r="D277" s="188">
        <f>+B277+C277</f>
        <v>42.17</v>
      </c>
      <c r="E277" s="193">
        <f>D277</f>
        <v>42.17</v>
      </c>
    </row>
    <row r="278" spans="1:7" x14ac:dyDescent="0.25">
      <c r="A278" s="186" t="s">
        <v>8</v>
      </c>
      <c r="B278" s="146">
        <f>I232</f>
        <v>33.46</v>
      </c>
      <c r="C278" s="146">
        <f>$F$226+0.4</f>
        <v>11.9</v>
      </c>
      <c r="D278" s="146">
        <f>+B278+C278</f>
        <v>45.36</v>
      </c>
      <c r="E278" s="194">
        <f>D278</f>
        <v>45.36</v>
      </c>
    </row>
    <row r="279" spans="1:7" x14ac:dyDescent="0.25">
      <c r="A279" s="253" t="s">
        <v>3</v>
      </c>
      <c r="B279" s="188">
        <f>I233</f>
        <v>27.42</v>
      </c>
      <c r="C279" s="188">
        <f>$F$226+0.4</f>
        <v>11.9</v>
      </c>
      <c r="D279" s="188">
        <f>+B279+C279</f>
        <v>39.32</v>
      </c>
      <c r="E279" s="193">
        <f>D279</f>
        <v>39.32</v>
      </c>
    </row>
    <row r="280" spans="1:7" x14ac:dyDescent="0.25">
      <c r="A280" s="186" t="s">
        <v>4</v>
      </c>
      <c r="B280" s="146">
        <f>I234</f>
        <v>36.31</v>
      </c>
      <c r="C280" s="146">
        <f>$F$226+0.4</f>
        <v>11.9</v>
      </c>
      <c r="D280" s="146">
        <f>+B280+C280</f>
        <v>48.21</v>
      </c>
      <c r="E280" s="194">
        <f>D280</f>
        <v>48.21</v>
      </c>
    </row>
    <row r="281" spans="1:7" ht="15.75" thickBot="1" x14ac:dyDescent="0.3">
      <c r="A281" s="195" t="s">
        <v>5</v>
      </c>
      <c r="B281" s="138">
        <f>I235</f>
        <v>46.120000000000005</v>
      </c>
      <c r="C281" s="138">
        <f>$F$226+0.4</f>
        <v>11.9</v>
      </c>
      <c r="D281" s="138">
        <f>+B281+C281</f>
        <v>58.02</v>
      </c>
      <c r="E281" s="196">
        <f>D281</f>
        <v>58.02</v>
      </c>
    </row>
    <row r="282" spans="1:7" ht="16.5" thickTop="1" thickBot="1" x14ac:dyDescent="0.3"/>
    <row r="283" spans="1:7" ht="19.5" thickTop="1" thickBot="1" x14ac:dyDescent="0.3">
      <c r="A283" s="180" t="s">
        <v>98</v>
      </c>
      <c r="B283" s="182" t="s">
        <v>157</v>
      </c>
      <c r="C283" s="183" t="s">
        <v>158</v>
      </c>
      <c r="D283" s="181" t="s">
        <v>159</v>
      </c>
      <c r="E283" s="192" t="s">
        <v>160</v>
      </c>
    </row>
    <row r="284" spans="1:7" ht="15.75" thickTop="1" x14ac:dyDescent="0.25">
      <c r="A284" s="185" t="s">
        <v>7</v>
      </c>
      <c r="B284" s="188">
        <f>C25</f>
        <v>76</v>
      </c>
      <c r="C284" s="188">
        <v>0.22</v>
      </c>
      <c r="D284" s="188">
        <f>C284/(10^4*LOG10(EXP(1)))</f>
        <v>5.0656872045869005E-5</v>
      </c>
      <c r="E284" s="193">
        <f>(1-EXP(-D284*B284*1000))/D284</f>
        <v>19320.54961178729</v>
      </c>
    </row>
    <row r="285" spans="1:7" x14ac:dyDescent="0.25">
      <c r="A285" s="186" t="s">
        <v>8</v>
      </c>
      <c r="B285" s="146">
        <f>C26</f>
        <v>87</v>
      </c>
      <c r="C285" s="146">
        <v>0.22</v>
      </c>
      <c r="D285" s="146">
        <f>C285/(10^4*LOG10(EXP(1)))</f>
        <v>5.0656872045869005E-5</v>
      </c>
      <c r="E285" s="194">
        <f>(1-EXP(-D285*B285*1000))/D285</f>
        <v>19500.02169727939</v>
      </c>
    </row>
    <row r="286" spans="1:7" x14ac:dyDescent="0.25">
      <c r="A286" s="253" t="s">
        <v>3</v>
      </c>
      <c r="B286" s="188">
        <f>C21</f>
        <v>71</v>
      </c>
      <c r="C286" s="188">
        <v>0.22</v>
      </c>
      <c r="D286" s="188">
        <f>C286/(10^4*LOG10(EXP(1)))</f>
        <v>5.0656872045869005E-5</v>
      </c>
      <c r="E286" s="193">
        <f>(1-EXP(-D286*B286*1000))/D286</f>
        <v>19199.453479876556</v>
      </c>
    </row>
    <row r="287" spans="1:7" x14ac:dyDescent="0.25">
      <c r="A287" s="186" t="s">
        <v>4</v>
      </c>
      <c r="B287" s="146">
        <f>C22</f>
        <v>92</v>
      </c>
      <c r="C287" s="146">
        <v>0.22</v>
      </c>
      <c r="D287" s="146">
        <f>C287/(10^4*LOG10(EXP(1)))</f>
        <v>5.0656872045869005E-5</v>
      </c>
      <c r="E287" s="194">
        <f>(1-EXP(-D287*B287*1000))/D287</f>
        <v>19553.864823896463</v>
      </c>
    </row>
    <row r="288" spans="1:7" ht="15.75" thickBot="1" x14ac:dyDescent="0.3">
      <c r="A288" s="195" t="s">
        <v>5</v>
      </c>
      <c r="B288" s="138">
        <f>C23</f>
        <v>121</v>
      </c>
      <c r="C288" s="138">
        <v>0.22</v>
      </c>
      <c r="D288" s="138">
        <f>C288/(10^4*LOG10(EXP(1)))</f>
        <v>5.0656872045869005E-5</v>
      </c>
      <c r="E288" s="196">
        <f>(1-EXP(-D288*B288*1000))/D288</f>
        <v>19697.668843906002</v>
      </c>
    </row>
    <row r="289" spans="1:7" ht="16.5" thickTop="1" thickBot="1" x14ac:dyDescent="0.3"/>
    <row r="290" spans="1:7" ht="19.5" thickTop="1" thickBot="1" x14ac:dyDescent="0.3">
      <c r="A290" s="197" t="s">
        <v>196</v>
      </c>
      <c r="B290" s="139">
        <f>2.6*10^-20</f>
        <v>2.5999999999999999E-20</v>
      </c>
    </row>
    <row r="291" spans="1:7" ht="19.5" thickTop="1" thickBot="1" x14ac:dyDescent="0.3">
      <c r="A291" s="198" t="s">
        <v>197</v>
      </c>
      <c r="B291" s="147">
        <v>80</v>
      </c>
    </row>
    <row r="292" spans="1:7" ht="16.5" thickTop="1" thickBot="1" x14ac:dyDescent="0.3">
      <c r="A292" s="198" t="s">
        <v>161</v>
      </c>
      <c r="B292" s="199">
        <f>F74*10^-9</f>
        <v>1.53112E-6</v>
      </c>
    </row>
    <row r="293" spans="1:7" ht="18.75" thickTop="1" thickBot="1" x14ac:dyDescent="0.3">
      <c r="A293" s="198" t="s">
        <v>198</v>
      </c>
      <c r="B293" s="147">
        <f>2*PI()*B290/(B291*10^-12*B292)*1000</f>
        <v>1.3336872517068326</v>
      </c>
      <c r="D293" s="12" t="s">
        <v>164</v>
      </c>
      <c r="E293" s="139">
        <v>6.9</v>
      </c>
    </row>
    <row r="294" spans="1:7" ht="16.5" thickTop="1" thickBot="1" x14ac:dyDescent="0.3">
      <c r="A294" s="198" t="s">
        <v>162</v>
      </c>
      <c r="B294" s="199">
        <v>11</v>
      </c>
      <c r="D294" s="201" t="s">
        <v>165</v>
      </c>
      <c r="E294" s="147">
        <f>10^(E293/10)</f>
        <v>4.8977881936844634</v>
      </c>
    </row>
    <row r="295" spans="1:7" ht="19.5" thickTop="1" thickBot="1" x14ac:dyDescent="0.3">
      <c r="A295" s="198" t="s">
        <v>199</v>
      </c>
      <c r="B295" s="147">
        <f>SUM(E284:E288)/1000</f>
        <v>97.271558456745694</v>
      </c>
      <c r="D295" s="201" t="s">
        <v>166</v>
      </c>
      <c r="E295" s="199">
        <f>662.606896*10^-36</f>
        <v>6.6260689599999996E-34</v>
      </c>
    </row>
    <row r="296" spans="1:7" ht="19.5" thickTop="1" thickBot="1" x14ac:dyDescent="0.4">
      <c r="A296" s="221" t="s">
        <v>163</v>
      </c>
      <c r="B296" s="222">
        <f>PI()/2</f>
        <v>1.5707963267948966</v>
      </c>
      <c r="D296" s="201" t="s">
        <v>203</v>
      </c>
      <c r="E296" s="147">
        <f>C37</f>
        <v>195.8</v>
      </c>
    </row>
    <row r="297" spans="1:7" ht="19.5" thickTop="1" thickBot="1" x14ac:dyDescent="0.4">
      <c r="A297" s="221"/>
      <c r="B297" s="222"/>
      <c r="D297" s="202" t="s">
        <v>204</v>
      </c>
      <c r="E297" s="140">
        <v>75</v>
      </c>
    </row>
    <row r="298" spans="1:7" ht="19.5" thickTop="1" thickBot="1" x14ac:dyDescent="0.4">
      <c r="A298" s="201" t="s">
        <v>200</v>
      </c>
      <c r="B298" s="147">
        <f>B296/(B295*(2*B294-1)*B293)</f>
        <v>5.7658150619557846E-4</v>
      </c>
    </row>
    <row r="299" spans="1:7" ht="19.5" thickTop="1" thickBot="1" x14ac:dyDescent="0.4">
      <c r="A299" s="201" t="s">
        <v>201</v>
      </c>
      <c r="B299" s="199">
        <f>10*LOG10(B298)+30</f>
        <v>-2.3913929168422641</v>
      </c>
    </row>
    <row r="300" spans="1:7" ht="19.5" thickTop="1" thickBot="1" x14ac:dyDescent="0.4">
      <c r="A300" s="202" t="s">
        <v>202</v>
      </c>
      <c r="B300" s="149">
        <f>B299+0.4</f>
        <v>-1.9913929168422642</v>
      </c>
    </row>
    <row r="301" spans="1:7" ht="15.75" thickTop="1" x14ac:dyDescent="0.25"/>
    <row r="304" spans="1:7" x14ac:dyDescent="0.25">
      <c r="A304" s="216" t="s">
        <v>193</v>
      </c>
      <c r="B304" s="216"/>
      <c r="C304" s="216"/>
      <c r="D304" s="216"/>
      <c r="E304" s="216"/>
      <c r="F304" s="216"/>
      <c r="G304" s="216"/>
    </row>
    <row r="305" spans="1:6" ht="15.75" thickBot="1" x14ac:dyDescent="0.3"/>
    <row r="306" spans="1:6" ht="19.5" thickTop="1" thickBot="1" x14ac:dyDescent="0.4">
      <c r="A306" s="12" t="s">
        <v>167</v>
      </c>
      <c r="B306" s="204" t="s">
        <v>168</v>
      </c>
      <c r="C306" s="204" t="s">
        <v>169</v>
      </c>
      <c r="D306" s="204" t="s">
        <v>205</v>
      </c>
      <c r="E306" s="37" t="s">
        <v>170</v>
      </c>
    </row>
    <row r="307" spans="1:6" ht="15.75" thickTop="1" x14ac:dyDescent="0.25">
      <c r="A307" s="185" t="s">
        <v>7</v>
      </c>
      <c r="B307" s="188">
        <f>E277</f>
        <v>42.17</v>
      </c>
      <c r="C307" s="188">
        <f>10^(B307/10)</f>
        <v>16481.623915255113</v>
      </c>
      <c r="D307" s="188">
        <f>$E$294/2*($C307-1)*$E$295*$E$296*10^12</f>
        <v>5.2361525671560736E-15</v>
      </c>
      <c r="E307" s="193">
        <f>D307*$E$297*10^9*2</f>
        <v>7.8542288507341097E-4</v>
      </c>
    </row>
    <row r="308" spans="1:6" x14ac:dyDescent="0.25">
      <c r="A308" s="186" t="s">
        <v>8</v>
      </c>
      <c r="B308" s="146">
        <f>E278</f>
        <v>45.36</v>
      </c>
      <c r="C308" s="146">
        <f t="shared" ref="C308:C311" si="35">10^(B308/10)</f>
        <v>34355.794789987463</v>
      </c>
      <c r="D308" s="146">
        <f>$E$294/2*($C308-1)*$E$295*$E$296*10^12</f>
        <v>1.0915056848497251E-14</v>
      </c>
      <c r="E308" s="194">
        <f>D308*$E$297*10^9*2</f>
        <v>1.6372585272745874E-3</v>
      </c>
    </row>
    <row r="309" spans="1:6" x14ac:dyDescent="0.25">
      <c r="A309" s="185" t="s">
        <v>3</v>
      </c>
      <c r="B309" s="188">
        <f>E279</f>
        <v>39.32</v>
      </c>
      <c r="C309" s="188">
        <f t="shared" si="35"/>
        <v>8550.6671288468424</v>
      </c>
      <c r="D309" s="188">
        <f>$E$294/2*($C309-1)*$E$295*$E$296*10^12</f>
        <v>2.7163632709076535E-15</v>
      </c>
      <c r="E309" s="193">
        <f>D309*$E$297*10^9*2</f>
        <v>4.0745449063614799E-4</v>
      </c>
    </row>
    <row r="310" spans="1:6" x14ac:dyDescent="0.25">
      <c r="A310" s="186" t="s">
        <v>4</v>
      </c>
      <c r="B310" s="146">
        <f>E280</f>
        <v>48.21</v>
      </c>
      <c r="C310" s="146">
        <f t="shared" si="35"/>
        <v>66221.650370176256</v>
      </c>
      <c r="D310" s="146">
        <f>$E$294/2*($C310-1)*$E$295*$E$296*10^12</f>
        <v>2.1039338693578565E-14</v>
      </c>
      <c r="E310" s="194">
        <f>D310*$E$297*10^9*2</f>
        <v>3.1559008040367847E-3</v>
      </c>
    </row>
    <row r="311" spans="1:6" ht="15.75" thickBot="1" x14ac:dyDescent="0.3">
      <c r="A311" s="195" t="s">
        <v>5</v>
      </c>
      <c r="B311" s="138">
        <f>E281</f>
        <v>58.02</v>
      </c>
      <c r="C311" s="138">
        <f t="shared" si="35"/>
        <v>633869.71125692874</v>
      </c>
      <c r="D311" s="138">
        <f>$E$294/2*($C311-1)*$E$295*$E$296*10^12</f>
        <v>2.013900260545143E-13</v>
      </c>
      <c r="E311" s="196">
        <f>D311*$E$297*10^9*2</f>
        <v>3.0208503908177142E-2</v>
      </c>
    </row>
    <row r="312" spans="1:6" ht="16.5" thickTop="1" thickBot="1" x14ac:dyDescent="0.3">
      <c r="A312" s="203"/>
      <c r="B312" s="30"/>
      <c r="C312" s="30"/>
    </row>
    <row r="313" spans="1:6" ht="16.5" thickTop="1" thickBot="1" x14ac:dyDescent="0.3">
      <c r="A313" s="197" t="s">
        <v>171</v>
      </c>
      <c r="B313" s="139">
        <f>10*LOG10(SUM(E307:E311))+30</f>
        <v>15.586430688895774</v>
      </c>
    </row>
    <row r="314" spans="1:6" ht="16.5" thickTop="1" thickBot="1" x14ac:dyDescent="0.3">
      <c r="A314" s="205" t="s">
        <v>174</v>
      </c>
      <c r="B314" s="149">
        <f>B300-B313</f>
        <v>-17.57782360573804</v>
      </c>
    </row>
    <row r="315" spans="1:6" ht="16.5" thickTop="1" thickBot="1" x14ac:dyDescent="0.3"/>
    <row r="316" spans="1:6" ht="20.25" thickTop="1" thickBot="1" x14ac:dyDescent="0.4">
      <c r="A316" s="15" t="s">
        <v>121</v>
      </c>
      <c r="B316" s="150" t="s">
        <v>172</v>
      </c>
      <c r="C316" s="13" t="s">
        <v>206</v>
      </c>
      <c r="D316" s="156" t="s">
        <v>116</v>
      </c>
      <c r="E316" s="204" t="s">
        <v>207</v>
      </c>
      <c r="F316" s="37" t="s">
        <v>173</v>
      </c>
    </row>
    <row r="317" spans="1:6" ht="15.75" thickTop="1" x14ac:dyDescent="0.25">
      <c r="A317" s="185" t="s">
        <v>122</v>
      </c>
      <c r="B317" s="188">
        <f>1/$F$241</f>
        <v>0.14125375446227542</v>
      </c>
      <c r="C317" s="188">
        <f t="shared" ref="C317:C336" si="36">$E$247^2</f>
        <v>40.896024999999995</v>
      </c>
      <c r="D317" s="188">
        <f>$H$247*10^9</f>
        <v>10261721529.770309</v>
      </c>
      <c r="E317" s="189">
        <f t="shared" ref="E317:E336" si="37">$E$297*10^9</f>
        <v>75000000000</v>
      </c>
      <c r="F317" s="199">
        <f t="shared" ref="F317:F336" si="38">10*LOG10($C317*$D317/$E317*((1+$B317)/(1-$B317))^2*(1+SQRT(4*$B317/(1+$B317)^2+((1-$B317)/(1+$B317))^2*$E317/($C317*$D317))))</f>
        <v>12.332802934605487</v>
      </c>
    </row>
    <row r="318" spans="1:6" x14ac:dyDescent="0.25">
      <c r="A318" s="186" t="s">
        <v>123</v>
      </c>
      <c r="B318" s="146">
        <f>1/$F$241</f>
        <v>0.14125375446227542</v>
      </c>
      <c r="C318" s="146">
        <f t="shared" si="36"/>
        <v>40.896024999999995</v>
      </c>
      <c r="D318" s="146">
        <f>$H$248*10^9</f>
        <v>12199688861.556623</v>
      </c>
      <c r="E318" s="190">
        <f t="shared" si="37"/>
        <v>75000000000</v>
      </c>
      <c r="F318" s="147">
        <f t="shared" si="38"/>
        <v>13.056227698331453</v>
      </c>
    </row>
    <row r="319" spans="1:6" x14ac:dyDescent="0.25">
      <c r="A319" s="185" t="s">
        <v>124</v>
      </c>
      <c r="B319" s="188">
        <f>1/$F$241</f>
        <v>0.14125375446227542</v>
      </c>
      <c r="C319" s="188">
        <f t="shared" si="36"/>
        <v>40.896024999999995</v>
      </c>
      <c r="D319" s="188">
        <f>$H$249*10^9</f>
        <v>8133125907.7044163</v>
      </c>
      <c r="E319" s="189">
        <f t="shared" si="37"/>
        <v>75000000000</v>
      </c>
      <c r="F319" s="199">
        <f t="shared" si="38"/>
        <v>11.367805426722764</v>
      </c>
    </row>
    <row r="320" spans="1:6" x14ac:dyDescent="0.25">
      <c r="A320" s="186" t="s">
        <v>125</v>
      </c>
      <c r="B320" s="146">
        <f>1/$F$241</f>
        <v>0.14125375446227542</v>
      </c>
      <c r="C320" s="146">
        <f t="shared" si="36"/>
        <v>40.896024999999995</v>
      </c>
      <c r="D320" s="146">
        <f>$H$250*10^9</f>
        <v>9996486610.8563232</v>
      </c>
      <c r="E320" s="190">
        <f t="shared" si="37"/>
        <v>75000000000</v>
      </c>
      <c r="F320" s="147">
        <f t="shared" si="38"/>
        <v>12.223669824807626</v>
      </c>
    </row>
    <row r="321" spans="1:6" x14ac:dyDescent="0.25">
      <c r="A321" s="185" t="s">
        <v>126</v>
      </c>
      <c r="B321" s="188">
        <f>1/$F$241</f>
        <v>0.14125375446227542</v>
      </c>
      <c r="C321" s="188">
        <f t="shared" si="36"/>
        <v>40.896024999999995</v>
      </c>
      <c r="D321" s="188">
        <f>$H$251*10^9</f>
        <v>6670118994.3507013</v>
      </c>
      <c r="E321" s="189">
        <f t="shared" si="37"/>
        <v>75000000000</v>
      </c>
      <c r="F321" s="199">
        <f t="shared" si="38"/>
        <v>10.552151443358353</v>
      </c>
    </row>
    <row r="322" spans="1:6" x14ac:dyDescent="0.25">
      <c r="A322" s="186" t="s">
        <v>127</v>
      </c>
      <c r="B322" s="146">
        <f>1/$F$242</f>
        <v>0.11220184543019632</v>
      </c>
      <c r="C322" s="146">
        <f t="shared" si="36"/>
        <v>40.896024999999995</v>
      </c>
      <c r="D322" s="146">
        <f>$H$247*10^9</f>
        <v>10261721529.770309</v>
      </c>
      <c r="E322" s="190">
        <f t="shared" si="37"/>
        <v>75000000000</v>
      </c>
      <c r="F322" s="147">
        <f t="shared" si="38"/>
        <v>11.715761507874568</v>
      </c>
    </row>
    <row r="323" spans="1:6" x14ac:dyDescent="0.25">
      <c r="A323" s="185" t="s">
        <v>128</v>
      </c>
      <c r="B323" s="188">
        <f>1/$F$242</f>
        <v>0.11220184543019632</v>
      </c>
      <c r="C323" s="188">
        <f t="shared" si="36"/>
        <v>40.896024999999995</v>
      </c>
      <c r="D323" s="188">
        <f>$H$248*10^9</f>
        <v>12199688861.556623</v>
      </c>
      <c r="E323" s="189">
        <f t="shared" si="37"/>
        <v>75000000000</v>
      </c>
      <c r="F323" s="199">
        <f t="shared" si="38"/>
        <v>12.432932194046204</v>
      </c>
    </row>
    <row r="324" spans="1:6" x14ac:dyDescent="0.25">
      <c r="A324" s="186" t="s">
        <v>141</v>
      </c>
      <c r="B324" s="146">
        <f>1/$F$242</f>
        <v>0.11220184543019632</v>
      </c>
      <c r="C324" s="146">
        <f t="shared" si="36"/>
        <v>40.896024999999995</v>
      </c>
      <c r="D324" s="146">
        <f>$H$249*10^9</f>
        <v>8133125907.7044163</v>
      </c>
      <c r="E324" s="190">
        <f t="shared" si="37"/>
        <v>75000000000</v>
      </c>
      <c r="F324" s="147">
        <f t="shared" si="38"/>
        <v>10.760402163960816</v>
      </c>
    </row>
    <row r="325" spans="1:6" x14ac:dyDescent="0.25">
      <c r="A325" s="185" t="s">
        <v>129</v>
      </c>
      <c r="B325" s="188">
        <f>1/$F$242</f>
        <v>0.11220184543019632</v>
      </c>
      <c r="C325" s="188">
        <f t="shared" si="36"/>
        <v>40.896024999999995</v>
      </c>
      <c r="D325" s="188">
        <f>$H$250*10^9</f>
        <v>9996486610.8563232</v>
      </c>
      <c r="E325" s="189">
        <f t="shared" si="37"/>
        <v>75000000000</v>
      </c>
      <c r="F325" s="199">
        <f t="shared" si="38"/>
        <v>11.607642001058458</v>
      </c>
    </row>
    <row r="326" spans="1:6" x14ac:dyDescent="0.25">
      <c r="A326" s="186" t="s">
        <v>130</v>
      </c>
      <c r="B326" s="146">
        <f>1/$F$242</f>
        <v>0.11220184543019632</v>
      </c>
      <c r="C326" s="146">
        <f t="shared" si="36"/>
        <v>40.896024999999995</v>
      </c>
      <c r="D326" s="146">
        <f>$H$251*10^9</f>
        <v>6670118994.3507013</v>
      </c>
      <c r="E326" s="190">
        <f t="shared" si="37"/>
        <v>75000000000</v>
      </c>
      <c r="F326" s="147">
        <f t="shared" si="38"/>
        <v>9.9541403621797269</v>
      </c>
    </row>
    <row r="327" spans="1:6" x14ac:dyDescent="0.25">
      <c r="A327" s="185" t="s">
        <v>131</v>
      </c>
      <c r="B327" s="188">
        <f>1/$F$243</f>
        <v>8.9125093813374537E-2</v>
      </c>
      <c r="C327" s="188">
        <f t="shared" si="36"/>
        <v>40.896024999999995</v>
      </c>
      <c r="D327" s="188">
        <f>$H$247*10^9</f>
        <v>10261721529.770309</v>
      </c>
      <c r="E327" s="189">
        <f t="shared" si="37"/>
        <v>75000000000</v>
      </c>
      <c r="F327" s="199">
        <f t="shared" si="38"/>
        <v>11.211770155680043</v>
      </c>
    </row>
    <row r="328" spans="1:6" x14ac:dyDescent="0.25">
      <c r="A328" s="186" t="s">
        <v>132</v>
      </c>
      <c r="B328" s="146">
        <f>1/$F$243</f>
        <v>8.9125093813374537E-2</v>
      </c>
      <c r="C328" s="146">
        <f t="shared" si="36"/>
        <v>40.896024999999995</v>
      </c>
      <c r="D328" s="146">
        <f>$H$248*10^9</f>
        <v>12199688861.556623</v>
      </c>
      <c r="E328" s="190">
        <f t="shared" si="37"/>
        <v>75000000000</v>
      </c>
      <c r="F328" s="147">
        <f t="shared" si="38"/>
        <v>11.922383809762609</v>
      </c>
    </row>
    <row r="329" spans="1:6" x14ac:dyDescent="0.25">
      <c r="A329" s="185" t="s">
        <v>133</v>
      </c>
      <c r="B329" s="188">
        <f>1/$F$243</f>
        <v>8.9125093813374537E-2</v>
      </c>
      <c r="C329" s="188">
        <f t="shared" si="36"/>
        <v>40.896024999999995</v>
      </c>
      <c r="D329" s="188">
        <f>$H$249*10^9</f>
        <v>8133125907.7044163</v>
      </c>
      <c r="E329" s="189">
        <f t="shared" si="37"/>
        <v>75000000000</v>
      </c>
      <c r="F329" s="199">
        <f t="shared" si="38"/>
        <v>10.266353870018234</v>
      </c>
    </row>
    <row r="330" spans="1:6" x14ac:dyDescent="0.25">
      <c r="A330" s="186" t="s">
        <v>134</v>
      </c>
      <c r="B330" s="146">
        <f>1/$F$243</f>
        <v>8.9125093813374537E-2</v>
      </c>
      <c r="C330" s="146">
        <f t="shared" si="36"/>
        <v>40.896024999999995</v>
      </c>
      <c r="D330" s="146">
        <f>$H$250*10^9</f>
        <v>9996486610.8563232</v>
      </c>
      <c r="E330" s="190">
        <f t="shared" si="37"/>
        <v>75000000000</v>
      </c>
      <c r="F330" s="147">
        <f t="shared" si="38"/>
        <v>11.104705421547935</v>
      </c>
    </row>
    <row r="331" spans="1:6" x14ac:dyDescent="0.25">
      <c r="A331" s="185" t="s">
        <v>135</v>
      </c>
      <c r="B331" s="188">
        <f>1/$F$243</f>
        <v>8.9125093813374537E-2</v>
      </c>
      <c r="C331" s="188">
        <f t="shared" si="36"/>
        <v>40.896024999999995</v>
      </c>
      <c r="D331" s="188">
        <f>$H$251*10^9</f>
        <v>6670118994.3507013</v>
      </c>
      <c r="E331" s="189">
        <f t="shared" si="37"/>
        <v>75000000000</v>
      </c>
      <c r="F331" s="199">
        <f t="shared" si="38"/>
        <v>9.46960195324165</v>
      </c>
    </row>
    <row r="332" spans="1:6" x14ac:dyDescent="0.25">
      <c r="A332" s="186" t="s">
        <v>136</v>
      </c>
      <c r="B332" s="146">
        <f>1/$F$244</f>
        <v>5.6234132519034884E-2</v>
      </c>
      <c r="C332" s="146">
        <f t="shared" si="36"/>
        <v>40.896024999999995</v>
      </c>
      <c r="D332" s="146">
        <f>$H$247*10^9</f>
        <v>10261721529.770309</v>
      </c>
      <c r="E332" s="190">
        <f t="shared" si="37"/>
        <v>75000000000</v>
      </c>
      <c r="F332" s="147">
        <f t="shared" si="38"/>
        <v>10.461471578512537</v>
      </c>
    </row>
    <row r="333" spans="1:6" x14ac:dyDescent="0.25">
      <c r="A333" s="185" t="s">
        <v>137</v>
      </c>
      <c r="B333" s="188">
        <f>1/$F$244</f>
        <v>5.6234132519034884E-2</v>
      </c>
      <c r="C333" s="188">
        <f t="shared" si="36"/>
        <v>40.896024999999995</v>
      </c>
      <c r="D333" s="188">
        <f>$H$248*10^9</f>
        <v>12199688861.556623</v>
      </c>
      <c r="E333" s="189">
        <f t="shared" si="37"/>
        <v>75000000000</v>
      </c>
      <c r="F333" s="199">
        <f t="shared" si="38"/>
        <v>11.158660751453532</v>
      </c>
    </row>
    <row r="334" spans="1:6" x14ac:dyDescent="0.25">
      <c r="A334" s="186" t="s">
        <v>138</v>
      </c>
      <c r="B334" s="146">
        <f>1/$F$244</f>
        <v>5.6234132519034884E-2</v>
      </c>
      <c r="C334" s="146">
        <f t="shared" si="36"/>
        <v>40.896024999999995</v>
      </c>
      <c r="D334" s="146">
        <f>$H$249*10^9</f>
        <v>8133125907.7044163</v>
      </c>
      <c r="E334" s="190">
        <f t="shared" si="37"/>
        <v>75000000000</v>
      </c>
      <c r="F334" s="147">
        <f t="shared" si="38"/>
        <v>9.5358752820712631</v>
      </c>
    </row>
    <row r="335" spans="1:6" x14ac:dyDescent="0.25">
      <c r="A335" s="185" t="s">
        <v>139</v>
      </c>
      <c r="B335" s="188">
        <f>1/$F$244</f>
        <v>5.6234132519034884E-2</v>
      </c>
      <c r="C335" s="188">
        <f t="shared" si="36"/>
        <v>40.896024999999995</v>
      </c>
      <c r="D335" s="188">
        <f>$H$250*10^9</f>
        <v>9996486610.8563232</v>
      </c>
      <c r="E335" s="189">
        <f t="shared" si="37"/>
        <v>75000000000</v>
      </c>
      <c r="F335" s="199">
        <f t="shared" si="38"/>
        <v>10.356539318237967</v>
      </c>
    </row>
    <row r="336" spans="1:6" ht="15.75" thickBot="1" x14ac:dyDescent="0.3">
      <c r="A336" s="187" t="s">
        <v>140</v>
      </c>
      <c r="B336" s="148">
        <f>1/$F$244</f>
        <v>5.6234132519034884E-2</v>
      </c>
      <c r="C336" s="148">
        <f t="shared" si="36"/>
        <v>40.896024999999995</v>
      </c>
      <c r="D336" s="148">
        <f>$H$251*10^9</f>
        <v>6670118994.3507013</v>
      </c>
      <c r="E336" s="191">
        <f t="shared" si="37"/>
        <v>75000000000</v>
      </c>
      <c r="F336" s="149">
        <f t="shared" si="38"/>
        <v>8.7575213331384241</v>
      </c>
    </row>
    <row r="337" spans="1:6" ht="16.5" thickTop="1" thickBot="1" x14ac:dyDescent="0.3">
      <c r="A337" s="141"/>
      <c r="B337" s="141"/>
      <c r="C337" s="141"/>
      <c r="D337" s="141"/>
      <c r="E337" s="141"/>
      <c r="F337" s="141"/>
    </row>
    <row r="338" spans="1:6" ht="16.5" thickTop="1" thickBot="1" x14ac:dyDescent="0.3">
      <c r="A338" s="197" t="s">
        <v>121</v>
      </c>
      <c r="B338" s="204" t="s">
        <v>174</v>
      </c>
      <c r="C338" s="13" t="s">
        <v>173</v>
      </c>
      <c r="D338" s="150" t="s">
        <v>175</v>
      </c>
      <c r="E338" s="37" t="s">
        <v>146</v>
      </c>
    </row>
    <row r="339" spans="1:6" ht="15.75" thickTop="1" x14ac:dyDescent="0.25">
      <c r="A339" s="185" t="s">
        <v>122</v>
      </c>
      <c r="B339" s="188">
        <f t="shared" ref="B339:B358" si="39">$B$314</f>
        <v>-17.57782360573804</v>
      </c>
      <c r="C339" s="188">
        <f t="shared" ref="C339:C358" si="40">F317</f>
        <v>12.332802934605487</v>
      </c>
      <c r="D339" s="188">
        <v>2</v>
      </c>
      <c r="E339" s="193">
        <f t="shared" ref="E339:E358" si="41">$B339-$C339-$D339</f>
        <v>-31.910626540343529</v>
      </c>
    </row>
    <row r="340" spans="1:6" x14ac:dyDescent="0.25">
      <c r="A340" s="186" t="s">
        <v>123</v>
      </c>
      <c r="B340" s="146">
        <f t="shared" si="39"/>
        <v>-17.57782360573804</v>
      </c>
      <c r="C340" s="146">
        <f t="shared" si="40"/>
        <v>13.056227698331453</v>
      </c>
      <c r="D340" s="146">
        <v>2</v>
      </c>
      <c r="E340" s="194">
        <f t="shared" si="41"/>
        <v>-32.634051304069494</v>
      </c>
    </row>
    <row r="341" spans="1:6" x14ac:dyDescent="0.25">
      <c r="A341" s="185" t="s">
        <v>124</v>
      </c>
      <c r="B341" s="188">
        <f t="shared" si="39"/>
        <v>-17.57782360573804</v>
      </c>
      <c r="C341" s="188">
        <f t="shared" si="40"/>
        <v>11.367805426722764</v>
      </c>
      <c r="D341" s="188">
        <v>2</v>
      </c>
      <c r="E341" s="193">
        <f t="shared" si="41"/>
        <v>-30.945629032460804</v>
      </c>
    </row>
    <row r="342" spans="1:6" x14ac:dyDescent="0.25">
      <c r="A342" s="186" t="s">
        <v>125</v>
      </c>
      <c r="B342" s="146">
        <f t="shared" si="39"/>
        <v>-17.57782360573804</v>
      </c>
      <c r="C342" s="146">
        <f t="shared" si="40"/>
        <v>12.223669824807626</v>
      </c>
      <c r="D342" s="146">
        <v>2</v>
      </c>
      <c r="E342" s="194">
        <f t="shared" si="41"/>
        <v>-31.801493430545666</v>
      </c>
    </row>
    <row r="343" spans="1:6" x14ac:dyDescent="0.25">
      <c r="A343" s="185" t="s">
        <v>126</v>
      </c>
      <c r="B343" s="188">
        <f t="shared" si="39"/>
        <v>-17.57782360573804</v>
      </c>
      <c r="C343" s="188">
        <f t="shared" si="40"/>
        <v>10.552151443358353</v>
      </c>
      <c r="D343" s="188">
        <v>2</v>
      </c>
      <c r="E343" s="193">
        <f t="shared" si="41"/>
        <v>-30.129975049096394</v>
      </c>
    </row>
    <row r="344" spans="1:6" x14ac:dyDescent="0.25">
      <c r="A344" s="186" t="s">
        <v>127</v>
      </c>
      <c r="B344" s="146">
        <f t="shared" si="39"/>
        <v>-17.57782360573804</v>
      </c>
      <c r="C344" s="146">
        <f t="shared" si="40"/>
        <v>11.715761507874568</v>
      </c>
      <c r="D344" s="146">
        <v>2</v>
      </c>
      <c r="E344" s="194">
        <f t="shared" si="41"/>
        <v>-31.293585113612608</v>
      </c>
    </row>
    <row r="345" spans="1:6" x14ac:dyDescent="0.25">
      <c r="A345" s="185" t="s">
        <v>128</v>
      </c>
      <c r="B345" s="188">
        <f t="shared" si="39"/>
        <v>-17.57782360573804</v>
      </c>
      <c r="C345" s="188">
        <f t="shared" si="40"/>
        <v>12.432932194046204</v>
      </c>
      <c r="D345" s="188">
        <v>2</v>
      </c>
      <c r="E345" s="193">
        <f t="shared" si="41"/>
        <v>-32.010755799784242</v>
      </c>
    </row>
    <row r="346" spans="1:6" x14ac:dyDescent="0.25">
      <c r="A346" s="186" t="s">
        <v>141</v>
      </c>
      <c r="B346" s="146">
        <f t="shared" si="39"/>
        <v>-17.57782360573804</v>
      </c>
      <c r="C346" s="146">
        <f t="shared" si="40"/>
        <v>10.760402163960816</v>
      </c>
      <c r="D346" s="146">
        <v>2</v>
      </c>
      <c r="E346" s="194">
        <f t="shared" si="41"/>
        <v>-30.338225769698855</v>
      </c>
    </row>
    <row r="347" spans="1:6" x14ac:dyDescent="0.25">
      <c r="A347" s="185" t="s">
        <v>129</v>
      </c>
      <c r="B347" s="188">
        <f t="shared" si="39"/>
        <v>-17.57782360573804</v>
      </c>
      <c r="C347" s="188">
        <f t="shared" si="40"/>
        <v>11.607642001058458</v>
      </c>
      <c r="D347" s="188">
        <v>2</v>
      </c>
      <c r="E347" s="193">
        <f t="shared" si="41"/>
        <v>-31.185465606796498</v>
      </c>
    </row>
    <row r="348" spans="1:6" x14ac:dyDescent="0.25">
      <c r="A348" s="186" t="s">
        <v>130</v>
      </c>
      <c r="B348" s="146">
        <f t="shared" si="39"/>
        <v>-17.57782360573804</v>
      </c>
      <c r="C348" s="146">
        <f t="shared" si="40"/>
        <v>9.9541403621797269</v>
      </c>
      <c r="D348" s="146">
        <v>2</v>
      </c>
      <c r="E348" s="194">
        <f t="shared" si="41"/>
        <v>-29.531963967917768</v>
      </c>
    </row>
    <row r="349" spans="1:6" x14ac:dyDescent="0.25">
      <c r="A349" s="185" t="s">
        <v>131</v>
      </c>
      <c r="B349" s="188">
        <f t="shared" si="39"/>
        <v>-17.57782360573804</v>
      </c>
      <c r="C349" s="188">
        <f t="shared" si="40"/>
        <v>11.211770155680043</v>
      </c>
      <c r="D349" s="188">
        <v>2</v>
      </c>
      <c r="E349" s="193">
        <f t="shared" si="41"/>
        <v>-30.789593761418082</v>
      </c>
    </row>
    <row r="350" spans="1:6" x14ac:dyDescent="0.25">
      <c r="A350" s="186" t="s">
        <v>132</v>
      </c>
      <c r="B350" s="146">
        <f t="shared" si="39"/>
        <v>-17.57782360573804</v>
      </c>
      <c r="C350" s="146">
        <f t="shared" si="40"/>
        <v>11.922383809762609</v>
      </c>
      <c r="D350" s="146">
        <v>2</v>
      </c>
      <c r="E350" s="194">
        <f t="shared" si="41"/>
        <v>-31.500207415500647</v>
      </c>
    </row>
    <row r="351" spans="1:6" x14ac:dyDescent="0.25">
      <c r="A351" s="185" t="s">
        <v>133</v>
      </c>
      <c r="B351" s="188">
        <f t="shared" si="39"/>
        <v>-17.57782360573804</v>
      </c>
      <c r="C351" s="188">
        <f t="shared" si="40"/>
        <v>10.266353870018234</v>
      </c>
      <c r="D351" s="188">
        <v>2</v>
      </c>
      <c r="E351" s="193">
        <f t="shared" si="41"/>
        <v>-29.844177475756275</v>
      </c>
    </row>
    <row r="352" spans="1:6" x14ac:dyDescent="0.25">
      <c r="A352" s="186" t="s">
        <v>134</v>
      </c>
      <c r="B352" s="146">
        <f t="shared" si="39"/>
        <v>-17.57782360573804</v>
      </c>
      <c r="C352" s="146">
        <f t="shared" si="40"/>
        <v>11.104705421547935</v>
      </c>
      <c r="D352" s="146">
        <v>2</v>
      </c>
      <c r="E352" s="194">
        <f t="shared" si="41"/>
        <v>-30.682529027285973</v>
      </c>
    </row>
    <row r="353" spans="1:7" x14ac:dyDescent="0.25">
      <c r="A353" s="185" t="s">
        <v>135</v>
      </c>
      <c r="B353" s="188">
        <f t="shared" si="39"/>
        <v>-17.57782360573804</v>
      </c>
      <c r="C353" s="188">
        <f t="shared" si="40"/>
        <v>9.46960195324165</v>
      </c>
      <c r="D353" s="188">
        <v>2</v>
      </c>
      <c r="E353" s="193">
        <f t="shared" si="41"/>
        <v>-29.04742555897969</v>
      </c>
    </row>
    <row r="354" spans="1:7" x14ac:dyDescent="0.25">
      <c r="A354" s="186" t="s">
        <v>136</v>
      </c>
      <c r="B354" s="146">
        <f t="shared" si="39"/>
        <v>-17.57782360573804</v>
      </c>
      <c r="C354" s="146">
        <f t="shared" si="40"/>
        <v>10.461471578512537</v>
      </c>
      <c r="D354" s="146">
        <v>2</v>
      </c>
      <c r="E354" s="194">
        <f t="shared" si="41"/>
        <v>-30.039295184250577</v>
      </c>
    </row>
    <row r="355" spans="1:7" x14ac:dyDescent="0.25">
      <c r="A355" s="185" t="s">
        <v>137</v>
      </c>
      <c r="B355" s="188">
        <f t="shared" si="39"/>
        <v>-17.57782360573804</v>
      </c>
      <c r="C355" s="188">
        <f t="shared" si="40"/>
        <v>11.158660751453532</v>
      </c>
      <c r="D355" s="188">
        <v>2</v>
      </c>
      <c r="E355" s="193">
        <f t="shared" si="41"/>
        <v>-30.736484357191571</v>
      </c>
    </row>
    <row r="356" spans="1:7" x14ac:dyDescent="0.25">
      <c r="A356" s="186" t="s">
        <v>138</v>
      </c>
      <c r="B356" s="146">
        <f t="shared" si="39"/>
        <v>-17.57782360573804</v>
      </c>
      <c r="C356" s="146">
        <f t="shared" si="40"/>
        <v>9.5358752820712631</v>
      </c>
      <c r="D356" s="146">
        <v>2</v>
      </c>
      <c r="E356" s="194">
        <f t="shared" si="41"/>
        <v>-29.113698887809303</v>
      </c>
    </row>
    <row r="357" spans="1:7" ht="15" customHeight="1" x14ac:dyDescent="0.25">
      <c r="A357" s="185" t="s">
        <v>139</v>
      </c>
      <c r="B357" s="188">
        <f t="shared" si="39"/>
        <v>-17.57782360573804</v>
      </c>
      <c r="C357" s="188">
        <f t="shared" si="40"/>
        <v>10.356539318237967</v>
      </c>
      <c r="D357" s="188">
        <v>2</v>
      </c>
      <c r="E357" s="193">
        <f t="shared" si="41"/>
        <v>-29.934362923976007</v>
      </c>
    </row>
    <row r="358" spans="1:7" ht="15.75" thickBot="1" x14ac:dyDescent="0.3">
      <c r="A358" s="187" t="s">
        <v>140</v>
      </c>
      <c r="B358" s="148">
        <f t="shared" si="39"/>
        <v>-17.57782360573804</v>
      </c>
      <c r="C358" s="148">
        <f t="shared" si="40"/>
        <v>8.7575213331384241</v>
      </c>
      <c r="D358" s="148">
        <v>2</v>
      </c>
      <c r="E358" s="206">
        <f t="shared" si="41"/>
        <v>-28.335344938876464</v>
      </c>
    </row>
    <row r="359" spans="1:7" ht="15.75" thickTop="1" x14ac:dyDescent="0.25"/>
    <row r="361" spans="1:7" x14ac:dyDescent="0.25">
      <c r="A361" s="216" t="s">
        <v>182</v>
      </c>
      <c r="B361" s="216"/>
      <c r="C361" s="216"/>
      <c r="D361" s="216"/>
      <c r="E361" s="216"/>
      <c r="F361" s="216"/>
      <c r="G361" s="216"/>
    </row>
    <row r="362" spans="1:7" ht="15.75" thickBot="1" x14ac:dyDescent="0.3"/>
    <row r="363" spans="1:7" ht="31.5" thickTop="1" thickBot="1" x14ac:dyDescent="0.3">
      <c r="A363" s="180" t="s">
        <v>98</v>
      </c>
      <c r="B363" s="181" t="s">
        <v>152</v>
      </c>
      <c r="C363" s="181" t="s">
        <v>153</v>
      </c>
      <c r="D363" s="182" t="s">
        <v>154</v>
      </c>
      <c r="E363" s="182" t="s">
        <v>155</v>
      </c>
      <c r="F363" s="184" t="s">
        <v>176</v>
      </c>
    </row>
    <row r="364" spans="1:7" ht="15.75" thickTop="1" x14ac:dyDescent="0.25">
      <c r="A364" s="185" t="s">
        <v>7</v>
      </c>
      <c r="B364" s="188">
        <v>30.27</v>
      </c>
      <c r="C364" s="188">
        <v>11.9</v>
      </c>
      <c r="D364" s="188">
        <v>42.17</v>
      </c>
      <c r="E364" s="188">
        <f>$B364</f>
        <v>30.27</v>
      </c>
      <c r="F364" s="193">
        <f>$C364</f>
        <v>11.9</v>
      </c>
    </row>
    <row r="365" spans="1:7" x14ac:dyDescent="0.25">
      <c r="A365" s="186" t="s">
        <v>8</v>
      </c>
      <c r="B365" s="146">
        <v>33.46</v>
      </c>
      <c r="C365" s="146">
        <v>11.9</v>
      </c>
      <c r="D365" s="146">
        <v>45.36</v>
      </c>
      <c r="E365" s="146">
        <f>$B365</f>
        <v>33.46</v>
      </c>
      <c r="F365" s="194">
        <f>$C365</f>
        <v>11.9</v>
      </c>
    </row>
    <row r="366" spans="1:7" x14ac:dyDescent="0.25">
      <c r="A366" s="185" t="s">
        <v>3</v>
      </c>
      <c r="B366" s="188">
        <v>27.42</v>
      </c>
      <c r="C366" s="188">
        <v>11.9</v>
      </c>
      <c r="D366" s="188">
        <v>39.32</v>
      </c>
      <c r="E366" s="188">
        <f>$B366</f>
        <v>27.42</v>
      </c>
      <c r="F366" s="193">
        <f>$C366</f>
        <v>11.9</v>
      </c>
    </row>
    <row r="367" spans="1:7" x14ac:dyDescent="0.25">
      <c r="A367" s="186" t="s">
        <v>4</v>
      </c>
      <c r="B367" s="146">
        <v>36.31</v>
      </c>
      <c r="C367" s="146">
        <v>11.9</v>
      </c>
      <c r="D367" s="146">
        <v>48.21</v>
      </c>
      <c r="E367" s="146">
        <f>$B367</f>
        <v>36.31</v>
      </c>
      <c r="F367" s="194">
        <f>$C367</f>
        <v>11.9</v>
      </c>
    </row>
    <row r="368" spans="1:7" ht="15.75" thickBot="1" x14ac:dyDescent="0.3">
      <c r="A368" s="195" t="s">
        <v>5</v>
      </c>
      <c r="B368" s="138">
        <v>46.120000000000005</v>
      </c>
      <c r="C368" s="138">
        <v>11.9</v>
      </c>
      <c r="D368" s="138">
        <v>58.02</v>
      </c>
      <c r="E368" s="138">
        <f>$B368</f>
        <v>46.120000000000005</v>
      </c>
      <c r="F368" s="196">
        <f>$C368</f>
        <v>11.9</v>
      </c>
    </row>
    <row r="369" spans="1:6" ht="16.5" thickTop="1" thickBot="1" x14ac:dyDescent="0.3"/>
    <row r="370" spans="1:6" ht="18.75" customHeight="1" thickTop="1" x14ac:dyDescent="0.25">
      <c r="A370" s="256" t="s">
        <v>167</v>
      </c>
      <c r="B370" s="257" t="s">
        <v>168</v>
      </c>
      <c r="C370" s="257" t="s">
        <v>169</v>
      </c>
      <c r="D370" s="227" t="s">
        <v>205</v>
      </c>
      <c r="E370" s="258" t="s">
        <v>170</v>
      </c>
    </row>
    <row r="371" spans="1:6" ht="16.5" customHeight="1" thickBot="1" x14ac:dyDescent="0.3">
      <c r="A371" s="259"/>
      <c r="B371" s="255"/>
      <c r="C371" s="255"/>
      <c r="D371" s="228"/>
      <c r="E371" s="260"/>
    </row>
    <row r="372" spans="1:6" ht="15.75" thickTop="1" x14ac:dyDescent="0.25">
      <c r="A372" s="264" t="s">
        <v>180</v>
      </c>
      <c r="B372" s="261">
        <f>$E364</f>
        <v>30.27</v>
      </c>
      <c r="C372" s="261">
        <f t="shared" ref="C372:C377" si="42">10^($B372/10)</f>
        <v>1064.1430182243171</v>
      </c>
      <c r="D372" s="262">
        <f t="shared" ref="D372:D377" si="43">$E$294/2*($C372-1)*$E$295*$E$296*10^12</f>
        <v>3.3777720265653801E-16</v>
      </c>
      <c r="E372" s="263">
        <f t="shared" ref="E372:E377" si="44">D372*$E$297*10^9*2</f>
        <v>5.0666580398480699E-5</v>
      </c>
    </row>
    <row r="373" spans="1:6" x14ac:dyDescent="0.25">
      <c r="A373" s="158" t="s">
        <v>181</v>
      </c>
      <c r="B373" s="50">
        <f>$E365</f>
        <v>33.46</v>
      </c>
      <c r="C373" s="50">
        <f t="shared" si="42"/>
        <v>2218.1964198002206</v>
      </c>
      <c r="D373" s="50">
        <f t="shared" si="43"/>
        <v>7.0443805920963318E-16</v>
      </c>
      <c r="E373" s="52">
        <f t="shared" si="44"/>
        <v>1.0566570888144497E-4</v>
      </c>
    </row>
    <row r="374" spans="1:6" x14ac:dyDescent="0.25">
      <c r="A374" s="254" t="s">
        <v>224</v>
      </c>
      <c r="B374" s="168">
        <f>$E366</f>
        <v>27.42</v>
      </c>
      <c r="C374" s="168">
        <f t="shared" si="42"/>
        <v>552.07743928075786</v>
      </c>
      <c r="D374" s="168">
        <f t="shared" si="43"/>
        <v>1.7508594111663327E-16</v>
      </c>
      <c r="E374" s="194">
        <f t="shared" si="44"/>
        <v>2.626289116749499E-5</v>
      </c>
    </row>
    <row r="375" spans="1:6" x14ac:dyDescent="0.25">
      <c r="A375" s="253" t="s">
        <v>178</v>
      </c>
      <c r="B375" s="188">
        <f>$E367</f>
        <v>36.31</v>
      </c>
      <c r="C375" s="188">
        <f t="shared" si="42"/>
        <v>4275.6288615158683</v>
      </c>
      <c r="D375" s="188">
        <f t="shared" si="43"/>
        <v>1.3581165981311868E-15</v>
      </c>
      <c r="E375" s="193">
        <f t="shared" si="44"/>
        <v>2.0371748971967802E-4</v>
      </c>
    </row>
    <row r="376" spans="1:6" x14ac:dyDescent="0.25">
      <c r="A376" s="254" t="s">
        <v>179</v>
      </c>
      <c r="B376" s="168">
        <f>$E368</f>
        <v>46.120000000000005</v>
      </c>
      <c r="C376" s="168">
        <f t="shared" si="42"/>
        <v>40926.065973001161</v>
      </c>
      <c r="D376" s="168">
        <f t="shared" si="43"/>
        <v>1.3002534998520688E-14</v>
      </c>
      <c r="E376" s="194">
        <f t="shared" si="44"/>
        <v>1.9503802497781034E-3</v>
      </c>
    </row>
    <row r="377" spans="1:6" ht="15.75" thickBot="1" x14ac:dyDescent="0.3">
      <c r="A377" s="195" t="s">
        <v>177</v>
      </c>
      <c r="B377" s="170">
        <f>F364</f>
        <v>11.9</v>
      </c>
      <c r="C377" s="170">
        <f t="shared" si="42"/>
        <v>15.488166189124817</v>
      </c>
      <c r="D377" s="170">
        <f t="shared" si="43"/>
        <v>4.6031175139157595E-18</v>
      </c>
      <c r="E377" s="196">
        <f t="shared" si="44"/>
        <v>6.9046762708736391E-7</v>
      </c>
    </row>
    <row r="378" spans="1:6" ht="16.5" thickTop="1" thickBot="1" x14ac:dyDescent="0.3"/>
    <row r="379" spans="1:6" ht="16.5" thickTop="1" thickBot="1" x14ac:dyDescent="0.3">
      <c r="A379" s="197" t="s">
        <v>171</v>
      </c>
      <c r="B379" s="139">
        <f>10*LOG10(SUM(E372:E377))+30</f>
        <v>3.6872995306448004</v>
      </c>
    </row>
    <row r="380" spans="1:6" ht="16.5" thickTop="1" thickBot="1" x14ac:dyDescent="0.3">
      <c r="A380" s="205" t="s">
        <v>174</v>
      </c>
      <c r="B380" s="149">
        <f>$B$300-B379</f>
        <v>-5.6786924474870641</v>
      </c>
    </row>
    <row r="381" spans="1:6" ht="16.5" thickTop="1" thickBot="1" x14ac:dyDescent="0.3"/>
    <row r="382" spans="1:6" ht="20.25" thickTop="1" thickBot="1" x14ac:dyDescent="0.4">
      <c r="A382" s="15" t="s">
        <v>121</v>
      </c>
      <c r="B382" s="150" t="s">
        <v>172</v>
      </c>
      <c r="C382" s="13" t="s">
        <v>206</v>
      </c>
      <c r="D382" s="156" t="s">
        <v>116</v>
      </c>
      <c r="E382" s="204" t="s">
        <v>207</v>
      </c>
      <c r="F382" s="37" t="s">
        <v>173</v>
      </c>
    </row>
    <row r="383" spans="1:6" ht="15.75" thickTop="1" x14ac:dyDescent="0.25">
      <c r="A383" s="185" t="s">
        <v>122</v>
      </c>
      <c r="B383" s="188">
        <f>1/$F$241</f>
        <v>0.14125375446227542</v>
      </c>
      <c r="C383" s="188">
        <f t="shared" ref="C383:C402" si="45">$E$247^2</f>
        <v>40.896024999999995</v>
      </c>
      <c r="D383" s="188">
        <f>$H$247*10^9</f>
        <v>10261721529.770309</v>
      </c>
      <c r="E383" s="189">
        <f t="shared" ref="E383:E402" si="46">$E$297*10^9</f>
        <v>75000000000</v>
      </c>
      <c r="F383" s="199">
        <f t="shared" ref="F383:F402" si="47">10*LOG10($C383*$D383/$E383*((1+$B383)/(1-$B383))^2*(1+SQRT(4*$B383/(1+$B383)^2+((1-$B383)/(1+$B383))^2*$E383/($C383*$D383))))</f>
        <v>12.332802934605487</v>
      </c>
    </row>
    <row r="384" spans="1:6" x14ac:dyDescent="0.25">
      <c r="A384" s="186" t="s">
        <v>123</v>
      </c>
      <c r="B384" s="146">
        <f>1/$F$241</f>
        <v>0.14125375446227542</v>
      </c>
      <c r="C384" s="146">
        <f t="shared" si="45"/>
        <v>40.896024999999995</v>
      </c>
      <c r="D384" s="146">
        <f>$H$248*10^9</f>
        <v>12199688861.556623</v>
      </c>
      <c r="E384" s="190">
        <f t="shared" si="46"/>
        <v>75000000000</v>
      </c>
      <c r="F384" s="147">
        <f t="shared" si="47"/>
        <v>13.056227698331453</v>
      </c>
    </row>
    <row r="385" spans="1:6" x14ac:dyDescent="0.25">
      <c r="A385" s="185" t="s">
        <v>124</v>
      </c>
      <c r="B385" s="188">
        <f>1/$F$241</f>
        <v>0.14125375446227542</v>
      </c>
      <c r="C385" s="188">
        <f t="shared" si="45"/>
        <v>40.896024999999995</v>
      </c>
      <c r="D385" s="188">
        <f>$H$249*10^9</f>
        <v>8133125907.7044163</v>
      </c>
      <c r="E385" s="189">
        <f t="shared" si="46"/>
        <v>75000000000</v>
      </c>
      <c r="F385" s="199">
        <f t="shared" si="47"/>
        <v>11.367805426722764</v>
      </c>
    </row>
    <row r="386" spans="1:6" x14ac:dyDescent="0.25">
      <c r="A386" s="186" t="s">
        <v>125</v>
      </c>
      <c r="B386" s="146">
        <f>1/$F$241</f>
        <v>0.14125375446227542</v>
      </c>
      <c r="C386" s="146">
        <f t="shared" si="45"/>
        <v>40.896024999999995</v>
      </c>
      <c r="D386" s="146">
        <f>$H$250*10^9</f>
        <v>9996486610.8563232</v>
      </c>
      <c r="E386" s="190">
        <f t="shared" si="46"/>
        <v>75000000000</v>
      </c>
      <c r="F386" s="147">
        <f t="shared" si="47"/>
        <v>12.223669824807626</v>
      </c>
    </row>
    <row r="387" spans="1:6" x14ac:dyDescent="0.25">
      <c r="A387" s="185" t="s">
        <v>126</v>
      </c>
      <c r="B387" s="188">
        <f>1/$F$241</f>
        <v>0.14125375446227542</v>
      </c>
      <c r="C387" s="188">
        <f t="shared" si="45"/>
        <v>40.896024999999995</v>
      </c>
      <c r="D387" s="188">
        <f>$H$251*10^9</f>
        <v>6670118994.3507013</v>
      </c>
      <c r="E387" s="189">
        <f t="shared" si="46"/>
        <v>75000000000</v>
      </c>
      <c r="F387" s="199">
        <f t="shared" si="47"/>
        <v>10.552151443358353</v>
      </c>
    </row>
    <row r="388" spans="1:6" x14ac:dyDescent="0.25">
      <c r="A388" s="186" t="s">
        <v>127</v>
      </c>
      <c r="B388" s="146">
        <f>1/$F$242</f>
        <v>0.11220184543019632</v>
      </c>
      <c r="C388" s="146">
        <f t="shared" si="45"/>
        <v>40.896024999999995</v>
      </c>
      <c r="D388" s="146">
        <f>$H$247*10^9</f>
        <v>10261721529.770309</v>
      </c>
      <c r="E388" s="190">
        <f t="shared" si="46"/>
        <v>75000000000</v>
      </c>
      <c r="F388" s="147">
        <f t="shared" si="47"/>
        <v>11.715761507874568</v>
      </c>
    </row>
    <row r="389" spans="1:6" x14ac:dyDescent="0.25">
      <c r="A389" s="185" t="s">
        <v>128</v>
      </c>
      <c r="B389" s="188">
        <f>1/$F$242</f>
        <v>0.11220184543019632</v>
      </c>
      <c r="C389" s="188">
        <f t="shared" si="45"/>
        <v>40.896024999999995</v>
      </c>
      <c r="D389" s="188">
        <f>$H$248*10^9</f>
        <v>12199688861.556623</v>
      </c>
      <c r="E389" s="189">
        <f t="shared" si="46"/>
        <v>75000000000</v>
      </c>
      <c r="F389" s="199">
        <f t="shared" si="47"/>
        <v>12.432932194046204</v>
      </c>
    </row>
    <row r="390" spans="1:6" x14ac:dyDescent="0.25">
      <c r="A390" s="186" t="s">
        <v>141</v>
      </c>
      <c r="B390" s="146">
        <f>1/$F$242</f>
        <v>0.11220184543019632</v>
      </c>
      <c r="C390" s="146">
        <f t="shared" si="45"/>
        <v>40.896024999999995</v>
      </c>
      <c r="D390" s="146">
        <f>$H$249*10^9</f>
        <v>8133125907.7044163</v>
      </c>
      <c r="E390" s="190">
        <f t="shared" si="46"/>
        <v>75000000000</v>
      </c>
      <c r="F390" s="147">
        <f t="shared" si="47"/>
        <v>10.760402163960816</v>
      </c>
    </row>
    <row r="391" spans="1:6" x14ac:dyDescent="0.25">
      <c r="A391" s="185" t="s">
        <v>129</v>
      </c>
      <c r="B391" s="188">
        <f>1/$F$242</f>
        <v>0.11220184543019632</v>
      </c>
      <c r="C391" s="188">
        <f t="shared" si="45"/>
        <v>40.896024999999995</v>
      </c>
      <c r="D391" s="188">
        <f>$H$250*10^9</f>
        <v>9996486610.8563232</v>
      </c>
      <c r="E391" s="189">
        <f t="shared" si="46"/>
        <v>75000000000</v>
      </c>
      <c r="F391" s="199">
        <f t="shared" si="47"/>
        <v>11.607642001058458</v>
      </c>
    </row>
    <row r="392" spans="1:6" x14ac:dyDescent="0.25">
      <c r="A392" s="186" t="s">
        <v>130</v>
      </c>
      <c r="B392" s="146">
        <f>1/$F$242</f>
        <v>0.11220184543019632</v>
      </c>
      <c r="C392" s="146">
        <f t="shared" si="45"/>
        <v>40.896024999999995</v>
      </c>
      <c r="D392" s="146">
        <f>$H$251*10^9</f>
        <v>6670118994.3507013</v>
      </c>
      <c r="E392" s="190">
        <f t="shared" si="46"/>
        <v>75000000000</v>
      </c>
      <c r="F392" s="147">
        <f t="shared" si="47"/>
        <v>9.9541403621797269</v>
      </c>
    </row>
    <row r="393" spans="1:6" x14ac:dyDescent="0.25">
      <c r="A393" s="185" t="s">
        <v>131</v>
      </c>
      <c r="B393" s="188">
        <f>1/$F$243</f>
        <v>8.9125093813374537E-2</v>
      </c>
      <c r="C393" s="188">
        <f t="shared" si="45"/>
        <v>40.896024999999995</v>
      </c>
      <c r="D393" s="188">
        <f>$H$247*10^9</f>
        <v>10261721529.770309</v>
      </c>
      <c r="E393" s="189">
        <f t="shared" si="46"/>
        <v>75000000000</v>
      </c>
      <c r="F393" s="199">
        <f t="shared" si="47"/>
        <v>11.211770155680043</v>
      </c>
    </row>
    <row r="394" spans="1:6" x14ac:dyDescent="0.25">
      <c r="A394" s="186" t="s">
        <v>132</v>
      </c>
      <c r="B394" s="146">
        <f>1/$F$243</f>
        <v>8.9125093813374537E-2</v>
      </c>
      <c r="C394" s="146">
        <f t="shared" si="45"/>
        <v>40.896024999999995</v>
      </c>
      <c r="D394" s="146">
        <f>$H$248*10^9</f>
        <v>12199688861.556623</v>
      </c>
      <c r="E394" s="190">
        <f t="shared" si="46"/>
        <v>75000000000</v>
      </c>
      <c r="F394" s="147">
        <f t="shared" si="47"/>
        <v>11.922383809762609</v>
      </c>
    </row>
    <row r="395" spans="1:6" x14ac:dyDescent="0.25">
      <c r="A395" s="185" t="s">
        <v>133</v>
      </c>
      <c r="B395" s="188">
        <f>1/$F$243</f>
        <v>8.9125093813374537E-2</v>
      </c>
      <c r="C395" s="188">
        <f t="shared" si="45"/>
        <v>40.896024999999995</v>
      </c>
      <c r="D395" s="188">
        <f>$H$249*10^9</f>
        <v>8133125907.7044163</v>
      </c>
      <c r="E395" s="189">
        <f t="shared" si="46"/>
        <v>75000000000</v>
      </c>
      <c r="F395" s="199">
        <f t="shared" si="47"/>
        <v>10.266353870018234</v>
      </c>
    </row>
    <row r="396" spans="1:6" x14ac:dyDescent="0.25">
      <c r="A396" s="186" t="s">
        <v>134</v>
      </c>
      <c r="B396" s="146">
        <f>1/$F$243</f>
        <v>8.9125093813374537E-2</v>
      </c>
      <c r="C396" s="146">
        <f t="shared" si="45"/>
        <v>40.896024999999995</v>
      </c>
      <c r="D396" s="146">
        <f>$H$250*10^9</f>
        <v>9996486610.8563232</v>
      </c>
      <c r="E396" s="190">
        <f t="shared" si="46"/>
        <v>75000000000</v>
      </c>
      <c r="F396" s="147">
        <f t="shared" si="47"/>
        <v>11.104705421547935</v>
      </c>
    </row>
    <row r="397" spans="1:6" x14ac:dyDescent="0.25">
      <c r="A397" s="185" t="s">
        <v>135</v>
      </c>
      <c r="B397" s="188">
        <f>1/$F$243</f>
        <v>8.9125093813374537E-2</v>
      </c>
      <c r="C397" s="188">
        <f t="shared" si="45"/>
        <v>40.896024999999995</v>
      </c>
      <c r="D397" s="188">
        <f>$H$251*10^9</f>
        <v>6670118994.3507013</v>
      </c>
      <c r="E397" s="189">
        <f t="shared" si="46"/>
        <v>75000000000</v>
      </c>
      <c r="F397" s="199">
        <f t="shared" si="47"/>
        <v>9.46960195324165</v>
      </c>
    </row>
    <row r="398" spans="1:6" x14ac:dyDescent="0.25">
      <c r="A398" s="186" t="s">
        <v>136</v>
      </c>
      <c r="B398" s="146">
        <f>1/$F$244</f>
        <v>5.6234132519034884E-2</v>
      </c>
      <c r="C398" s="146">
        <f t="shared" si="45"/>
        <v>40.896024999999995</v>
      </c>
      <c r="D398" s="146">
        <f>$H$247*10^9</f>
        <v>10261721529.770309</v>
      </c>
      <c r="E398" s="190">
        <f t="shared" si="46"/>
        <v>75000000000</v>
      </c>
      <c r="F398" s="147">
        <f t="shared" si="47"/>
        <v>10.461471578512537</v>
      </c>
    </row>
    <row r="399" spans="1:6" x14ac:dyDescent="0.25">
      <c r="A399" s="185" t="s">
        <v>137</v>
      </c>
      <c r="B399" s="188">
        <f>1/$F$244</f>
        <v>5.6234132519034884E-2</v>
      </c>
      <c r="C399" s="188">
        <f t="shared" si="45"/>
        <v>40.896024999999995</v>
      </c>
      <c r="D399" s="188">
        <f>$H$248*10^9</f>
        <v>12199688861.556623</v>
      </c>
      <c r="E399" s="189">
        <f t="shared" si="46"/>
        <v>75000000000</v>
      </c>
      <c r="F399" s="199">
        <f t="shared" si="47"/>
        <v>11.158660751453532</v>
      </c>
    </row>
    <row r="400" spans="1:6" x14ac:dyDescent="0.25">
      <c r="A400" s="186" t="s">
        <v>138</v>
      </c>
      <c r="B400" s="146">
        <f>1/$F$244</f>
        <v>5.6234132519034884E-2</v>
      </c>
      <c r="C400" s="146">
        <f t="shared" si="45"/>
        <v>40.896024999999995</v>
      </c>
      <c r="D400" s="146">
        <f>$H$249*10^9</f>
        <v>8133125907.7044163</v>
      </c>
      <c r="E400" s="190">
        <f t="shared" si="46"/>
        <v>75000000000</v>
      </c>
      <c r="F400" s="147">
        <f t="shared" si="47"/>
        <v>9.5358752820712631</v>
      </c>
    </row>
    <row r="401" spans="1:6" x14ac:dyDescent="0.25">
      <c r="A401" s="185" t="s">
        <v>139</v>
      </c>
      <c r="B401" s="188">
        <f>1/$F$244</f>
        <v>5.6234132519034884E-2</v>
      </c>
      <c r="C401" s="188">
        <f t="shared" si="45"/>
        <v>40.896024999999995</v>
      </c>
      <c r="D401" s="188">
        <f>$H$250*10^9</f>
        <v>9996486610.8563232</v>
      </c>
      <c r="E401" s="189">
        <f t="shared" si="46"/>
        <v>75000000000</v>
      </c>
      <c r="F401" s="199">
        <f t="shared" si="47"/>
        <v>10.356539318237967</v>
      </c>
    </row>
    <row r="402" spans="1:6" ht="15.75" thickBot="1" x14ac:dyDescent="0.3">
      <c r="A402" s="187" t="s">
        <v>140</v>
      </c>
      <c r="B402" s="148">
        <f>1/$F$244</f>
        <v>5.6234132519034884E-2</v>
      </c>
      <c r="C402" s="148">
        <f t="shared" si="45"/>
        <v>40.896024999999995</v>
      </c>
      <c r="D402" s="148">
        <f>$H$251*10^9</f>
        <v>6670118994.3507013</v>
      </c>
      <c r="E402" s="191">
        <f t="shared" si="46"/>
        <v>75000000000</v>
      </c>
      <c r="F402" s="149">
        <f t="shared" si="47"/>
        <v>8.7575213331384241</v>
      </c>
    </row>
    <row r="403" spans="1:6" ht="16.5" thickTop="1" thickBot="1" x14ac:dyDescent="0.3"/>
    <row r="404" spans="1:6" ht="16.5" thickTop="1" thickBot="1" x14ac:dyDescent="0.3">
      <c r="A404" s="197" t="s">
        <v>121</v>
      </c>
      <c r="B404" s="204" t="s">
        <v>174</v>
      </c>
      <c r="C404" s="13" t="s">
        <v>173</v>
      </c>
      <c r="D404" s="150" t="s">
        <v>175</v>
      </c>
      <c r="E404" s="37" t="s">
        <v>146</v>
      </c>
    </row>
    <row r="405" spans="1:6" ht="15.75" thickTop="1" x14ac:dyDescent="0.25">
      <c r="A405" s="185" t="s">
        <v>122</v>
      </c>
      <c r="B405" s="188">
        <f t="shared" ref="B405:B424" si="48">$B$380</f>
        <v>-5.6786924474870641</v>
      </c>
      <c r="C405" s="188">
        <f t="shared" ref="C405:C424" si="49">F383</f>
        <v>12.332802934605487</v>
      </c>
      <c r="D405" s="188">
        <v>2</v>
      </c>
      <c r="E405" s="193">
        <f t="shared" ref="E405:E424" si="50">$B405-$C405-$D405</f>
        <v>-20.011495382092551</v>
      </c>
    </row>
    <row r="406" spans="1:6" x14ac:dyDescent="0.25">
      <c r="A406" s="186" t="s">
        <v>123</v>
      </c>
      <c r="B406" s="146">
        <f t="shared" si="48"/>
        <v>-5.6786924474870641</v>
      </c>
      <c r="C406" s="146">
        <f t="shared" si="49"/>
        <v>13.056227698331453</v>
      </c>
      <c r="D406" s="146">
        <v>2</v>
      </c>
      <c r="E406" s="194">
        <f t="shared" si="50"/>
        <v>-20.734920145818517</v>
      </c>
    </row>
    <row r="407" spans="1:6" x14ac:dyDescent="0.25">
      <c r="A407" s="185" t="s">
        <v>124</v>
      </c>
      <c r="B407" s="188">
        <f t="shared" si="48"/>
        <v>-5.6786924474870641</v>
      </c>
      <c r="C407" s="188">
        <f t="shared" si="49"/>
        <v>11.367805426722764</v>
      </c>
      <c r="D407" s="188">
        <v>2</v>
      </c>
      <c r="E407" s="193">
        <f t="shared" si="50"/>
        <v>-19.046497874209827</v>
      </c>
    </row>
    <row r="408" spans="1:6" x14ac:dyDescent="0.25">
      <c r="A408" s="186" t="s">
        <v>125</v>
      </c>
      <c r="B408" s="146">
        <f t="shared" si="48"/>
        <v>-5.6786924474870641</v>
      </c>
      <c r="C408" s="146">
        <f t="shared" si="49"/>
        <v>12.223669824807626</v>
      </c>
      <c r="D408" s="146">
        <v>2</v>
      </c>
      <c r="E408" s="194">
        <f t="shared" si="50"/>
        <v>-19.902362272294688</v>
      </c>
    </row>
    <row r="409" spans="1:6" x14ac:dyDescent="0.25">
      <c r="A409" s="185" t="s">
        <v>126</v>
      </c>
      <c r="B409" s="188">
        <f t="shared" si="48"/>
        <v>-5.6786924474870641</v>
      </c>
      <c r="C409" s="188">
        <f t="shared" si="49"/>
        <v>10.552151443358353</v>
      </c>
      <c r="D409" s="188">
        <v>2</v>
      </c>
      <c r="E409" s="193">
        <f t="shared" si="50"/>
        <v>-18.230843890845417</v>
      </c>
    </row>
    <row r="410" spans="1:6" x14ac:dyDescent="0.25">
      <c r="A410" s="186" t="s">
        <v>127</v>
      </c>
      <c r="B410" s="146">
        <f t="shared" si="48"/>
        <v>-5.6786924474870641</v>
      </c>
      <c r="C410" s="146">
        <f t="shared" si="49"/>
        <v>11.715761507874568</v>
      </c>
      <c r="D410" s="146">
        <v>2</v>
      </c>
      <c r="E410" s="194">
        <f t="shared" si="50"/>
        <v>-19.394453955361634</v>
      </c>
    </row>
    <row r="411" spans="1:6" x14ac:dyDescent="0.25">
      <c r="A411" s="185" t="s">
        <v>128</v>
      </c>
      <c r="B411" s="188">
        <f t="shared" si="48"/>
        <v>-5.6786924474870641</v>
      </c>
      <c r="C411" s="188">
        <f t="shared" si="49"/>
        <v>12.432932194046204</v>
      </c>
      <c r="D411" s="188">
        <v>2</v>
      </c>
      <c r="E411" s="193">
        <f t="shared" si="50"/>
        <v>-20.111624641533268</v>
      </c>
    </row>
    <row r="412" spans="1:6" x14ac:dyDescent="0.25">
      <c r="A412" s="186" t="s">
        <v>141</v>
      </c>
      <c r="B412" s="146">
        <f t="shared" si="48"/>
        <v>-5.6786924474870641</v>
      </c>
      <c r="C412" s="146">
        <f t="shared" si="49"/>
        <v>10.760402163960816</v>
      </c>
      <c r="D412" s="146">
        <v>2</v>
      </c>
      <c r="E412" s="194">
        <f t="shared" si="50"/>
        <v>-18.439094611447878</v>
      </c>
    </row>
    <row r="413" spans="1:6" x14ac:dyDescent="0.25">
      <c r="A413" s="185" t="s">
        <v>129</v>
      </c>
      <c r="B413" s="188">
        <f t="shared" si="48"/>
        <v>-5.6786924474870641</v>
      </c>
      <c r="C413" s="188">
        <f t="shared" si="49"/>
        <v>11.607642001058458</v>
      </c>
      <c r="D413" s="188">
        <v>2</v>
      </c>
      <c r="E413" s="193">
        <f t="shared" si="50"/>
        <v>-19.286334448545524</v>
      </c>
    </row>
    <row r="414" spans="1:6" x14ac:dyDescent="0.25">
      <c r="A414" s="186" t="s">
        <v>130</v>
      </c>
      <c r="B414" s="146">
        <f t="shared" si="48"/>
        <v>-5.6786924474870641</v>
      </c>
      <c r="C414" s="146">
        <f t="shared" si="49"/>
        <v>9.9541403621797269</v>
      </c>
      <c r="D414" s="146">
        <v>2</v>
      </c>
      <c r="E414" s="194">
        <f t="shared" si="50"/>
        <v>-17.632832809666791</v>
      </c>
    </row>
    <row r="415" spans="1:6" x14ac:dyDescent="0.25">
      <c r="A415" s="185" t="s">
        <v>131</v>
      </c>
      <c r="B415" s="188">
        <f t="shared" si="48"/>
        <v>-5.6786924474870641</v>
      </c>
      <c r="C415" s="188">
        <f t="shared" si="49"/>
        <v>11.211770155680043</v>
      </c>
      <c r="D415" s="188">
        <v>2</v>
      </c>
      <c r="E415" s="193">
        <f t="shared" si="50"/>
        <v>-18.890462603167109</v>
      </c>
    </row>
    <row r="416" spans="1:6" x14ac:dyDescent="0.25">
      <c r="A416" s="186" t="s">
        <v>132</v>
      </c>
      <c r="B416" s="146">
        <f t="shared" si="48"/>
        <v>-5.6786924474870641</v>
      </c>
      <c r="C416" s="146">
        <f t="shared" si="49"/>
        <v>11.922383809762609</v>
      </c>
      <c r="D416" s="146">
        <v>2</v>
      </c>
      <c r="E416" s="194">
        <f t="shared" si="50"/>
        <v>-19.601076257249673</v>
      </c>
    </row>
    <row r="417" spans="1:7" x14ac:dyDescent="0.25">
      <c r="A417" s="185" t="s">
        <v>133</v>
      </c>
      <c r="B417" s="188">
        <f t="shared" si="48"/>
        <v>-5.6786924474870641</v>
      </c>
      <c r="C417" s="188">
        <f t="shared" si="49"/>
        <v>10.266353870018234</v>
      </c>
      <c r="D417" s="188">
        <v>2</v>
      </c>
      <c r="E417" s="193">
        <f t="shared" si="50"/>
        <v>-17.945046317505298</v>
      </c>
    </row>
    <row r="418" spans="1:7" x14ac:dyDescent="0.25">
      <c r="A418" s="186" t="s">
        <v>134</v>
      </c>
      <c r="B418" s="146">
        <f t="shared" si="48"/>
        <v>-5.6786924474870641</v>
      </c>
      <c r="C418" s="146">
        <f t="shared" si="49"/>
        <v>11.104705421547935</v>
      </c>
      <c r="D418" s="146">
        <v>2</v>
      </c>
      <c r="E418" s="194">
        <f t="shared" si="50"/>
        <v>-18.783397869034999</v>
      </c>
    </row>
    <row r="419" spans="1:7" x14ac:dyDescent="0.25">
      <c r="A419" s="185" t="s">
        <v>135</v>
      </c>
      <c r="B419" s="188">
        <f t="shared" si="48"/>
        <v>-5.6786924474870641</v>
      </c>
      <c r="C419" s="188">
        <f t="shared" si="49"/>
        <v>9.46960195324165</v>
      </c>
      <c r="D419" s="188">
        <v>2</v>
      </c>
      <c r="E419" s="193">
        <f t="shared" si="50"/>
        <v>-17.148294400728716</v>
      </c>
    </row>
    <row r="420" spans="1:7" x14ac:dyDescent="0.25">
      <c r="A420" s="186" t="s">
        <v>136</v>
      </c>
      <c r="B420" s="146">
        <f t="shared" si="48"/>
        <v>-5.6786924474870641</v>
      </c>
      <c r="C420" s="146">
        <f t="shared" si="49"/>
        <v>10.461471578512537</v>
      </c>
      <c r="D420" s="146">
        <v>2</v>
      </c>
      <c r="E420" s="194">
        <f t="shared" si="50"/>
        <v>-18.140164025999603</v>
      </c>
    </row>
    <row r="421" spans="1:7" x14ac:dyDescent="0.25">
      <c r="A421" s="185" t="s">
        <v>137</v>
      </c>
      <c r="B421" s="188">
        <f t="shared" si="48"/>
        <v>-5.6786924474870641</v>
      </c>
      <c r="C421" s="188">
        <f t="shared" si="49"/>
        <v>11.158660751453532</v>
      </c>
      <c r="D421" s="188">
        <v>2</v>
      </c>
      <c r="E421" s="193">
        <f t="shared" si="50"/>
        <v>-18.837353198940598</v>
      </c>
    </row>
    <row r="422" spans="1:7" x14ac:dyDescent="0.25">
      <c r="A422" s="186" t="s">
        <v>138</v>
      </c>
      <c r="B422" s="146">
        <f t="shared" si="48"/>
        <v>-5.6786924474870641</v>
      </c>
      <c r="C422" s="146">
        <f t="shared" si="49"/>
        <v>9.5358752820712631</v>
      </c>
      <c r="D422" s="146">
        <v>2</v>
      </c>
      <c r="E422" s="194">
        <f t="shared" si="50"/>
        <v>-17.214567729558325</v>
      </c>
    </row>
    <row r="423" spans="1:7" ht="15" customHeight="1" x14ac:dyDescent="0.25">
      <c r="A423" s="185" t="s">
        <v>139</v>
      </c>
      <c r="B423" s="188">
        <f t="shared" si="48"/>
        <v>-5.6786924474870641</v>
      </c>
      <c r="C423" s="188">
        <f t="shared" si="49"/>
        <v>10.356539318237967</v>
      </c>
      <c r="D423" s="188">
        <v>2</v>
      </c>
      <c r="E423" s="193">
        <f t="shared" si="50"/>
        <v>-18.03523176572503</v>
      </c>
    </row>
    <row r="424" spans="1:7" ht="15.75" thickBot="1" x14ac:dyDescent="0.3">
      <c r="A424" s="187" t="s">
        <v>140</v>
      </c>
      <c r="B424" s="148">
        <f t="shared" si="48"/>
        <v>-5.6786924474870641</v>
      </c>
      <c r="C424" s="148">
        <f t="shared" si="49"/>
        <v>8.7575213331384241</v>
      </c>
      <c r="D424" s="148">
        <v>2</v>
      </c>
      <c r="E424" s="206">
        <f t="shared" si="50"/>
        <v>-16.436213780625486</v>
      </c>
    </row>
    <row r="425" spans="1:7" ht="15.75" thickTop="1" x14ac:dyDescent="0.25"/>
    <row r="427" spans="1:7" x14ac:dyDescent="0.25">
      <c r="A427" s="216" t="s">
        <v>225</v>
      </c>
      <c r="B427" s="216"/>
      <c r="C427" s="216"/>
      <c r="D427" s="216"/>
      <c r="E427" s="216"/>
      <c r="F427" s="216"/>
      <c r="G427" s="216"/>
    </row>
    <row r="428" spans="1:7" ht="15.75" thickBot="1" x14ac:dyDescent="0.3"/>
    <row r="429" spans="1:7" ht="31.5" thickTop="1" thickBot="1" x14ac:dyDescent="0.3">
      <c r="A429" s="180" t="s">
        <v>98</v>
      </c>
      <c r="B429" s="181" t="s">
        <v>152</v>
      </c>
      <c r="C429" s="181" t="s">
        <v>153</v>
      </c>
      <c r="D429" s="182" t="s">
        <v>154</v>
      </c>
      <c r="E429" s="182" t="s">
        <v>155</v>
      </c>
      <c r="F429" s="184" t="s">
        <v>176</v>
      </c>
    </row>
    <row r="430" spans="1:7" ht="15.75" thickTop="1" x14ac:dyDescent="0.25">
      <c r="A430" s="185" t="s">
        <v>7</v>
      </c>
      <c r="B430" s="188">
        <f t="shared" ref="B430:F434" si="51">B364</f>
        <v>30.27</v>
      </c>
      <c r="C430" s="188">
        <f t="shared" si="51"/>
        <v>11.9</v>
      </c>
      <c r="D430" s="188">
        <f t="shared" si="51"/>
        <v>42.17</v>
      </c>
      <c r="E430" s="188">
        <f t="shared" si="51"/>
        <v>30.27</v>
      </c>
      <c r="F430" s="193">
        <f t="shared" si="51"/>
        <v>11.9</v>
      </c>
    </row>
    <row r="431" spans="1:7" x14ac:dyDescent="0.25">
      <c r="A431" s="186" t="s">
        <v>8</v>
      </c>
      <c r="B431" s="146">
        <f t="shared" si="51"/>
        <v>33.46</v>
      </c>
      <c r="C431" s="146">
        <f t="shared" si="51"/>
        <v>11.9</v>
      </c>
      <c r="D431" s="146">
        <f t="shared" si="51"/>
        <v>45.36</v>
      </c>
      <c r="E431" s="146">
        <f t="shared" si="51"/>
        <v>33.46</v>
      </c>
      <c r="F431" s="194">
        <f t="shared" si="51"/>
        <v>11.9</v>
      </c>
    </row>
    <row r="432" spans="1:7" x14ac:dyDescent="0.25">
      <c r="A432" s="185" t="s">
        <v>3</v>
      </c>
      <c r="B432" s="188">
        <f t="shared" si="51"/>
        <v>27.42</v>
      </c>
      <c r="C432" s="188">
        <f t="shared" si="51"/>
        <v>11.9</v>
      </c>
      <c r="D432" s="188">
        <f t="shared" si="51"/>
        <v>39.32</v>
      </c>
      <c r="E432" s="188">
        <f t="shared" si="51"/>
        <v>27.42</v>
      </c>
      <c r="F432" s="193">
        <f t="shared" si="51"/>
        <v>11.9</v>
      </c>
    </row>
    <row r="433" spans="1:6" x14ac:dyDescent="0.25">
      <c r="A433" s="186" t="s">
        <v>4</v>
      </c>
      <c r="B433" s="146">
        <f t="shared" si="51"/>
        <v>36.31</v>
      </c>
      <c r="C433" s="146">
        <f t="shared" si="51"/>
        <v>11.9</v>
      </c>
      <c r="D433" s="146">
        <f t="shared" si="51"/>
        <v>48.21</v>
      </c>
      <c r="E433" s="146">
        <f t="shared" si="51"/>
        <v>36.31</v>
      </c>
      <c r="F433" s="194">
        <f t="shared" si="51"/>
        <v>11.9</v>
      </c>
    </row>
    <row r="434" spans="1:6" ht="15.75" thickBot="1" x14ac:dyDescent="0.3">
      <c r="A434" s="195" t="s">
        <v>5</v>
      </c>
      <c r="B434" s="138">
        <f t="shared" si="51"/>
        <v>46.120000000000005</v>
      </c>
      <c r="C434" s="138">
        <f t="shared" si="51"/>
        <v>11.9</v>
      </c>
      <c r="D434" s="138">
        <f t="shared" si="51"/>
        <v>58.02</v>
      </c>
      <c r="E434" s="138">
        <f t="shared" si="51"/>
        <v>46.120000000000005</v>
      </c>
      <c r="F434" s="196">
        <f t="shared" si="51"/>
        <v>11.9</v>
      </c>
    </row>
    <row r="435" spans="1:6" ht="16.5" thickTop="1" thickBot="1" x14ac:dyDescent="0.3"/>
    <row r="436" spans="1:6" ht="16.5" thickTop="1" thickBot="1" x14ac:dyDescent="0.3">
      <c r="A436" s="214" t="s">
        <v>167</v>
      </c>
      <c r="B436" s="217" t="s">
        <v>168</v>
      </c>
      <c r="C436" s="217" t="s">
        <v>169</v>
      </c>
      <c r="D436" s="217" t="s">
        <v>205</v>
      </c>
      <c r="E436" s="217" t="s">
        <v>170</v>
      </c>
      <c r="F436" s="219" t="s">
        <v>187</v>
      </c>
    </row>
    <row r="437" spans="1:6" ht="16.5" thickTop="1" thickBot="1" x14ac:dyDescent="0.3">
      <c r="A437" s="215"/>
      <c r="B437" s="218"/>
      <c r="C437" s="218"/>
      <c r="D437" s="218"/>
      <c r="E437" s="218"/>
      <c r="F437" s="220"/>
    </row>
    <row r="438" spans="1:6" ht="15.75" thickTop="1" x14ac:dyDescent="0.25">
      <c r="A438" s="158" t="s">
        <v>180</v>
      </c>
      <c r="B438" s="50">
        <f>$E430</f>
        <v>30.27</v>
      </c>
      <c r="C438" s="50">
        <f t="shared" ref="C438:C444" si="52">10^($B438/10)</f>
        <v>1064.1430182243171</v>
      </c>
      <c r="D438" s="50">
        <f t="shared" ref="D438:D444" si="53">$E$294/2*($C438-1)*$E$295*$E$296*10^12</f>
        <v>3.3777720265653801E-16</v>
      </c>
      <c r="E438" s="50">
        <f t="shared" ref="E438:E444" si="54">D438*$E$297*10^9*2</f>
        <v>5.0666580398480699E-5</v>
      </c>
      <c r="F438" s="60">
        <f>E438</f>
        <v>5.0666580398480699E-5</v>
      </c>
    </row>
    <row r="439" spans="1:6" x14ac:dyDescent="0.25">
      <c r="A439" s="254" t="s">
        <v>181</v>
      </c>
      <c r="B439" s="146">
        <f>$E431</f>
        <v>33.46</v>
      </c>
      <c r="C439" s="146">
        <f t="shared" si="52"/>
        <v>2218.1964198002206</v>
      </c>
      <c r="D439" s="146">
        <f t="shared" si="53"/>
        <v>7.0443805920963318E-16</v>
      </c>
      <c r="E439" s="190">
        <f t="shared" si="54"/>
        <v>1.0566570888144497E-4</v>
      </c>
      <c r="F439" s="252">
        <f>E439</f>
        <v>1.0566570888144497E-4</v>
      </c>
    </row>
    <row r="440" spans="1:6" x14ac:dyDescent="0.25">
      <c r="A440" s="253" t="s">
        <v>224</v>
      </c>
      <c r="B440" s="188">
        <f>$E432</f>
        <v>27.42</v>
      </c>
      <c r="C440" s="188">
        <f t="shared" si="52"/>
        <v>552.07743928075786</v>
      </c>
      <c r="D440" s="188">
        <f t="shared" si="53"/>
        <v>1.7508594111663327E-16</v>
      </c>
      <c r="E440" s="189">
        <f t="shared" si="54"/>
        <v>2.626289116749499E-5</v>
      </c>
      <c r="F440" s="199">
        <f>E440</f>
        <v>2.626289116749499E-5</v>
      </c>
    </row>
    <row r="441" spans="1:6" x14ac:dyDescent="0.25">
      <c r="A441" s="254" t="s">
        <v>178</v>
      </c>
      <c r="B441" s="146">
        <f>$E433</f>
        <v>36.31</v>
      </c>
      <c r="C441" s="146">
        <f t="shared" si="52"/>
        <v>4275.6288615158683</v>
      </c>
      <c r="D441" s="146">
        <f t="shared" si="53"/>
        <v>1.3581165981311868E-15</v>
      </c>
      <c r="E441" s="190">
        <f t="shared" si="54"/>
        <v>2.0371748971967802E-4</v>
      </c>
      <c r="F441" s="252">
        <f>E441</f>
        <v>2.0371748971967802E-4</v>
      </c>
    </row>
    <row r="442" spans="1:6" x14ac:dyDescent="0.25">
      <c r="A442" s="253" t="s">
        <v>185</v>
      </c>
      <c r="B442" s="188">
        <f>($B$434+2*0.4)/2</f>
        <v>23.46</v>
      </c>
      <c r="C442" s="188">
        <f t="shared" si="52"/>
        <v>221.819641980022</v>
      </c>
      <c r="D442" s="188">
        <f t="shared" si="53"/>
        <v>7.0157861812616873E-17</v>
      </c>
      <c r="E442" s="189">
        <f t="shared" si="54"/>
        <v>1.0523679271892531E-5</v>
      </c>
      <c r="F442" s="199">
        <f>SUM(E442:E443)</f>
        <v>2.1047358543785062E-5</v>
      </c>
    </row>
    <row r="443" spans="1:6" x14ac:dyDescent="0.25">
      <c r="A443" s="254" t="s">
        <v>179</v>
      </c>
      <c r="B443" s="146">
        <f>($B$434+2*0.4)/2</f>
        <v>23.46</v>
      </c>
      <c r="C443" s="146">
        <f t="shared" si="52"/>
        <v>221.819641980022</v>
      </c>
      <c r="D443" s="146">
        <f t="shared" si="53"/>
        <v>7.0157861812616873E-17</v>
      </c>
      <c r="E443" s="190">
        <f t="shared" si="54"/>
        <v>1.0523679271892531E-5</v>
      </c>
      <c r="F443" s="147">
        <f>SUM(E442:E443)</f>
        <v>2.1047358543785062E-5</v>
      </c>
    </row>
    <row r="444" spans="1:6" ht="15.75" thickBot="1" x14ac:dyDescent="0.3">
      <c r="A444" s="195" t="s">
        <v>177</v>
      </c>
      <c r="B444" s="138">
        <f>F431</f>
        <v>11.9</v>
      </c>
      <c r="C444" s="138">
        <f t="shared" si="52"/>
        <v>15.488166189124817</v>
      </c>
      <c r="D444" s="138">
        <f t="shared" si="53"/>
        <v>4.6031175139157595E-18</v>
      </c>
      <c r="E444" s="207">
        <f t="shared" si="54"/>
        <v>6.9046762708736391E-7</v>
      </c>
      <c r="F444" s="140">
        <f>E444</f>
        <v>6.9046762708736391E-7</v>
      </c>
    </row>
    <row r="445" spans="1:6" ht="16.5" thickTop="1" thickBot="1" x14ac:dyDescent="0.3"/>
    <row r="446" spans="1:6" ht="16.5" thickTop="1" thickBot="1" x14ac:dyDescent="0.3">
      <c r="A446" s="197" t="s">
        <v>171</v>
      </c>
      <c r="B446" s="139">
        <f>10*LOG10(SUM(E438:E444))+30</f>
        <v>-3.8928608954751525</v>
      </c>
    </row>
    <row r="447" spans="1:6" ht="16.5" thickTop="1" thickBot="1" x14ac:dyDescent="0.3">
      <c r="A447" s="205" t="s">
        <v>174</v>
      </c>
      <c r="B447" s="149">
        <f>$B$300-B446</f>
        <v>1.9014679786328883</v>
      </c>
    </row>
    <row r="448" spans="1:6" ht="16.5" thickTop="1" thickBot="1" x14ac:dyDescent="0.3"/>
    <row r="449" spans="1:6" ht="20.25" thickTop="1" thickBot="1" x14ac:dyDescent="0.4">
      <c r="A449" s="15" t="s">
        <v>121</v>
      </c>
      <c r="B449" s="150" t="s">
        <v>172</v>
      </c>
      <c r="C449" s="13" t="s">
        <v>206</v>
      </c>
      <c r="D449" s="156" t="s">
        <v>116</v>
      </c>
      <c r="E449" s="204" t="s">
        <v>207</v>
      </c>
      <c r="F449" s="37" t="s">
        <v>173</v>
      </c>
    </row>
    <row r="450" spans="1:6" ht="15.75" thickTop="1" x14ac:dyDescent="0.25">
      <c r="A450" s="185" t="s">
        <v>122</v>
      </c>
      <c r="B450" s="188">
        <f>1/$F$241</f>
        <v>0.14125375446227542</v>
      </c>
      <c r="C450" s="188">
        <f t="shared" ref="C450:C469" si="55">$E$247^2</f>
        <v>40.896024999999995</v>
      </c>
      <c r="D450" s="188">
        <f>$H$247*10^9</f>
        <v>10261721529.770309</v>
      </c>
      <c r="E450" s="189">
        <f t="shared" ref="E450:E469" si="56">$E$297*10^9</f>
        <v>75000000000</v>
      </c>
      <c r="F450" s="199">
        <f t="shared" ref="F450:F469" si="57">10*LOG10($C450*$D450/$E450*((1+$B450)/(1-$B450))^2*(1+SQRT(4*$B450/(1+$B450)^2+((1-$B450)/(1+$B450))^2*$E450/($C450*$D450))))</f>
        <v>12.332802934605487</v>
      </c>
    </row>
    <row r="451" spans="1:6" x14ac:dyDescent="0.25">
      <c r="A451" s="186" t="s">
        <v>123</v>
      </c>
      <c r="B451" s="146">
        <f>1/$F$241</f>
        <v>0.14125375446227542</v>
      </c>
      <c r="C451" s="146">
        <f t="shared" si="55"/>
        <v>40.896024999999995</v>
      </c>
      <c r="D451" s="146">
        <f>$H$248*10^9</f>
        <v>12199688861.556623</v>
      </c>
      <c r="E451" s="190">
        <f t="shared" si="56"/>
        <v>75000000000</v>
      </c>
      <c r="F451" s="147">
        <f t="shared" si="57"/>
        <v>13.056227698331453</v>
      </c>
    </row>
    <row r="452" spans="1:6" x14ac:dyDescent="0.25">
      <c r="A452" s="185" t="s">
        <v>124</v>
      </c>
      <c r="B452" s="188">
        <f>1/$F$241</f>
        <v>0.14125375446227542</v>
      </c>
      <c r="C452" s="188">
        <f t="shared" si="55"/>
        <v>40.896024999999995</v>
      </c>
      <c r="D452" s="188">
        <f>$H$249*10^9</f>
        <v>8133125907.7044163</v>
      </c>
      <c r="E452" s="189">
        <f t="shared" si="56"/>
        <v>75000000000</v>
      </c>
      <c r="F452" s="199">
        <f t="shared" si="57"/>
        <v>11.367805426722764</v>
      </c>
    </row>
    <row r="453" spans="1:6" x14ac:dyDescent="0.25">
      <c r="A453" s="186" t="s">
        <v>125</v>
      </c>
      <c r="B453" s="146">
        <f>1/$F$241</f>
        <v>0.14125375446227542</v>
      </c>
      <c r="C453" s="146">
        <f t="shared" si="55"/>
        <v>40.896024999999995</v>
      </c>
      <c r="D453" s="146">
        <f>$H$250*10^9</f>
        <v>9996486610.8563232</v>
      </c>
      <c r="E453" s="190">
        <f t="shared" si="56"/>
        <v>75000000000</v>
      </c>
      <c r="F453" s="147">
        <f t="shared" si="57"/>
        <v>12.223669824807626</v>
      </c>
    </row>
    <row r="454" spans="1:6" x14ac:dyDescent="0.25">
      <c r="A454" s="185" t="s">
        <v>126</v>
      </c>
      <c r="B454" s="188">
        <f>1/$F$241</f>
        <v>0.14125375446227542</v>
      </c>
      <c r="C454" s="188">
        <f t="shared" si="55"/>
        <v>40.896024999999995</v>
      </c>
      <c r="D454" s="188">
        <f>$H$251*10^9</f>
        <v>6670118994.3507013</v>
      </c>
      <c r="E454" s="189">
        <f t="shared" si="56"/>
        <v>75000000000</v>
      </c>
      <c r="F454" s="199">
        <f t="shared" si="57"/>
        <v>10.552151443358353</v>
      </c>
    </row>
    <row r="455" spans="1:6" x14ac:dyDescent="0.25">
      <c r="A455" s="186" t="s">
        <v>127</v>
      </c>
      <c r="B455" s="146">
        <f>1/$F$242</f>
        <v>0.11220184543019632</v>
      </c>
      <c r="C455" s="146">
        <f t="shared" si="55"/>
        <v>40.896024999999995</v>
      </c>
      <c r="D455" s="146">
        <f>$H$247*10^9</f>
        <v>10261721529.770309</v>
      </c>
      <c r="E455" s="190">
        <f t="shared" si="56"/>
        <v>75000000000</v>
      </c>
      <c r="F455" s="147">
        <f t="shared" si="57"/>
        <v>11.715761507874568</v>
      </c>
    </row>
    <row r="456" spans="1:6" x14ac:dyDescent="0.25">
      <c r="A456" s="185" t="s">
        <v>128</v>
      </c>
      <c r="B456" s="188">
        <f>1/$F$242</f>
        <v>0.11220184543019632</v>
      </c>
      <c r="C456" s="188">
        <f t="shared" si="55"/>
        <v>40.896024999999995</v>
      </c>
      <c r="D456" s="188">
        <f>$H$248*10^9</f>
        <v>12199688861.556623</v>
      </c>
      <c r="E456" s="189">
        <f t="shared" si="56"/>
        <v>75000000000</v>
      </c>
      <c r="F456" s="199">
        <f t="shared" si="57"/>
        <v>12.432932194046204</v>
      </c>
    </row>
    <row r="457" spans="1:6" x14ac:dyDescent="0.25">
      <c r="A457" s="186" t="s">
        <v>141</v>
      </c>
      <c r="B457" s="146">
        <f>1/$F$242</f>
        <v>0.11220184543019632</v>
      </c>
      <c r="C457" s="146">
        <f t="shared" si="55"/>
        <v>40.896024999999995</v>
      </c>
      <c r="D457" s="146">
        <f>$H$249*10^9</f>
        <v>8133125907.7044163</v>
      </c>
      <c r="E457" s="190">
        <f t="shared" si="56"/>
        <v>75000000000</v>
      </c>
      <c r="F457" s="147">
        <f t="shared" si="57"/>
        <v>10.760402163960816</v>
      </c>
    </row>
    <row r="458" spans="1:6" x14ac:dyDescent="0.25">
      <c r="A458" s="185" t="s">
        <v>129</v>
      </c>
      <c r="B458" s="188">
        <f>1/$F$242</f>
        <v>0.11220184543019632</v>
      </c>
      <c r="C458" s="188">
        <f t="shared" si="55"/>
        <v>40.896024999999995</v>
      </c>
      <c r="D458" s="188">
        <f>$H$250*10^9</f>
        <v>9996486610.8563232</v>
      </c>
      <c r="E458" s="189">
        <f t="shared" si="56"/>
        <v>75000000000</v>
      </c>
      <c r="F458" s="199">
        <f t="shared" si="57"/>
        <v>11.607642001058458</v>
      </c>
    </row>
    <row r="459" spans="1:6" x14ac:dyDescent="0.25">
      <c r="A459" s="186" t="s">
        <v>130</v>
      </c>
      <c r="B459" s="146">
        <f>1/$F$242</f>
        <v>0.11220184543019632</v>
      </c>
      <c r="C459" s="146">
        <f t="shared" si="55"/>
        <v>40.896024999999995</v>
      </c>
      <c r="D459" s="146">
        <f>$H$251*10^9</f>
        <v>6670118994.3507013</v>
      </c>
      <c r="E459" s="190">
        <f t="shared" si="56"/>
        <v>75000000000</v>
      </c>
      <c r="F459" s="147">
        <f t="shared" si="57"/>
        <v>9.9541403621797269</v>
      </c>
    </row>
    <row r="460" spans="1:6" x14ac:dyDescent="0.25">
      <c r="A460" s="185" t="s">
        <v>131</v>
      </c>
      <c r="B460" s="188">
        <f>1/$F$243</f>
        <v>8.9125093813374537E-2</v>
      </c>
      <c r="C460" s="188">
        <f t="shared" si="55"/>
        <v>40.896024999999995</v>
      </c>
      <c r="D460" s="188">
        <f>$H$247*10^9</f>
        <v>10261721529.770309</v>
      </c>
      <c r="E460" s="189">
        <f t="shared" si="56"/>
        <v>75000000000</v>
      </c>
      <c r="F460" s="199">
        <f t="shared" si="57"/>
        <v>11.211770155680043</v>
      </c>
    </row>
    <row r="461" spans="1:6" x14ac:dyDescent="0.25">
      <c r="A461" s="186" t="s">
        <v>132</v>
      </c>
      <c r="B461" s="146">
        <f>1/$F$243</f>
        <v>8.9125093813374537E-2</v>
      </c>
      <c r="C461" s="146">
        <f t="shared" si="55"/>
        <v>40.896024999999995</v>
      </c>
      <c r="D461" s="146">
        <f>$H$248*10^9</f>
        <v>12199688861.556623</v>
      </c>
      <c r="E461" s="190">
        <f t="shared" si="56"/>
        <v>75000000000</v>
      </c>
      <c r="F461" s="147">
        <f t="shared" si="57"/>
        <v>11.922383809762609</v>
      </c>
    </row>
    <row r="462" spans="1:6" x14ac:dyDescent="0.25">
      <c r="A462" s="185" t="s">
        <v>133</v>
      </c>
      <c r="B462" s="188">
        <f>1/$F$243</f>
        <v>8.9125093813374537E-2</v>
      </c>
      <c r="C462" s="188">
        <f t="shared" si="55"/>
        <v>40.896024999999995</v>
      </c>
      <c r="D462" s="188">
        <f>$H$249*10^9</f>
        <v>8133125907.7044163</v>
      </c>
      <c r="E462" s="189">
        <f t="shared" si="56"/>
        <v>75000000000</v>
      </c>
      <c r="F462" s="199">
        <f t="shared" si="57"/>
        <v>10.266353870018234</v>
      </c>
    </row>
    <row r="463" spans="1:6" x14ac:dyDescent="0.25">
      <c r="A463" s="186" t="s">
        <v>134</v>
      </c>
      <c r="B463" s="146">
        <f>1/$F$243</f>
        <v>8.9125093813374537E-2</v>
      </c>
      <c r="C463" s="146">
        <f t="shared" si="55"/>
        <v>40.896024999999995</v>
      </c>
      <c r="D463" s="146">
        <f>$H$250*10^9</f>
        <v>9996486610.8563232</v>
      </c>
      <c r="E463" s="190">
        <f t="shared" si="56"/>
        <v>75000000000</v>
      </c>
      <c r="F463" s="147">
        <f t="shared" si="57"/>
        <v>11.104705421547935</v>
      </c>
    </row>
    <row r="464" spans="1:6" x14ac:dyDescent="0.25">
      <c r="A464" s="185" t="s">
        <v>135</v>
      </c>
      <c r="B464" s="188">
        <f>1/$F$243</f>
        <v>8.9125093813374537E-2</v>
      </c>
      <c r="C464" s="188">
        <f t="shared" si="55"/>
        <v>40.896024999999995</v>
      </c>
      <c r="D464" s="188">
        <f>$H$251*10^9</f>
        <v>6670118994.3507013</v>
      </c>
      <c r="E464" s="189">
        <f t="shared" si="56"/>
        <v>75000000000</v>
      </c>
      <c r="F464" s="199">
        <f t="shared" si="57"/>
        <v>9.46960195324165</v>
      </c>
    </row>
    <row r="465" spans="1:6" x14ac:dyDescent="0.25">
      <c r="A465" s="186" t="s">
        <v>136</v>
      </c>
      <c r="B465" s="146">
        <f>1/$F$244</f>
        <v>5.6234132519034884E-2</v>
      </c>
      <c r="C465" s="146">
        <f t="shared" si="55"/>
        <v>40.896024999999995</v>
      </c>
      <c r="D465" s="146">
        <f>$H$247*10^9</f>
        <v>10261721529.770309</v>
      </c>
      <c r="E465" s="190">
        <f t="shared" si="56"/>
        <v>75000000000</v>
      </c>
      <c r="F465" s="147">
        <f t="shared" si="57"/>
        <v>10.461471578512537</v>
      </c>
    </row>
    <row r="466" spans="1:6" x14ac:dyDescent="0.25">
      <c r="A466" s="185" t="s">
        <v>137</v>
      </c>
      <c r="B466" s="188">
        <f>1/$F$244</f>
        <v>5.6234132519034884E-2</v>
      </c>
      <c r="C466" s="188">
        <f t="shared" si="55"/>
        <v>40.896024999999995</v>
      </c>
      <c r="D466" s="188">
        <f>$H$248*10^9</f>
        <v>12199688861.556623</v>
      </c>
      <c r="E466" s="189">
        <f t="shared" si="56"/>
        <v>75000000000</v>
      </c>
      <c r="F466" s="199">
        <f t="shared" si="57"/>
        <v>11.158660751453532</v>
      </c>
    </row>
    <row r="467" spans="1:6" x14ac:dyDescent="0.25">
      <c r="A467" s="186" t="s">
        <v>138</v>
      </c>
      <c r="B467" s="146">
        <f>1/$F$244</f>
        <v>5.6234132519034884E-2</v>
      </c>
      <c r="C467" s="146">
        <f t="shared" si="55"/>
        <v>40.896024999999995</v>
      </c>
      <c r="D467" s="146">
        <f>$H$249*10^9</f>
        <v>8133125907.7044163</v>
      </c>
      <c r="E467" s="190">
        <f t="shared" si="56"/>
        <v>75000000000</v>
      </c>
      <c r="F467" s="147">
        <f t="shared" si="57"/>
        <v>9.5358752820712631</v>
      </c>
    </row>
    <row r="468" spans="1:6" x14ac:dyDescent="0.25">
      <c r="A468" s="185" t="s">
        <v>139</v>
      </c>
      <c r="B468" s="188">
        <f>1/$F$244</f>
        <v>5.6234132519034884E-2</v>
      </c>
      <c r="C468" s="188">
        <f t="shared" si="55"/>
        <v>40.896024999999995</v>
      </c>
      <c r="D468" s="188">
        <f>$H$250*10^9</f>
        <v>9996486610.8563232</v>
      </c>
      <c r="E468" s="189">
        <f t="shared" si="56"/>
        <v>75000000000</v>
      </c>
      <c r="F468" s="199">
        <f t="shared" si="57"/>
        <v>10.356539318237967</v>
      </c>
    </row>
    <row r="469" spans="1:6" ht="15.75" thickBot="1" x14ac:dyDescent="0.3">
      <c r="A469" s="187" t="s">
        <v>140</v>
      </c>
      <c r="B469" s="148">
        <f>1/$F$244</f>
        <v>5.6234132519034884E-2</v>
      </c>
      <c r="C469" s="148">
        <f t="shared" si="55"/>
        <v>40.896024999999995</v>
      </c>
      <c r="D469" s="148">
        <f>$H$251*10^9</f>
        <v>6670118994.3507013</v>
      </c>
      <c r="E469" s="191">
        <f t="shared" si="56"/>
        <v>75000000000</v>
      </c>
      <c r="F469" s="149">
        <f t="shared" si="57"/>
        <v>8.7575213331384241</v>
      </c>
    </row>
    <row r="470" spans="1:6" ht="16.5" thickTop="1" thickBot="1" x14ac:dyDescent="0.3"/>
    <row r="471" spans="1:6" ht="16.5" thickTop="1" thickBot="1" x14ac:dyDescent="0.3">
      <c r="A471" s="197" t="s">
        <v>121</v>
      </c>
      <c r="B471" s="204" t="s">
        <v>174</v>
      </c>
      <c r="C471" s="13" t="s">
        <v>173</v>
      </c>
      <c r="D471" s="150" t="s">
        <v>175</v>
      </c>
      <c r="E471" s="37" t="s">
        <v>146</v>
      </c>
    </row>
    <row r="472" spans="1:6" ht="15.75" thickTop="1" x14ac:dyDescent="0.25">
      <c r="A472" s="185" t="s">
        <v>122</v>
      </c>
      <c r="B472" s="188">
        <f t="shared" ref="B472:B491" si="58">$B$447</f>
        <v>1.9014679786328883</v>
      </c>
      <c r="C472" s="188">
        <f t="shared" ref="C472:C491" si="59">F450</f>
        <v>12.332802934605487</v>
      </c>
      <c r="D472" s="188">
        <v>2</v>
      </c>
      <c r="E472" s="193">
        <f t="shared" ref="E472:E491" si="60">$B472-$C472-$D472</f>
        <v>-12.431334955972599</v>
      </c>
    </row>
    <row r="473" spans="1:6" x14ac:dyDescent="0.25">
      <c r="A473" s="186" t="s">
        <v>123</v>
      </c>
      <c r="B473" s="146">
        <f t="shared" si="58"/>
        <v>1.9014679786328883</v>
      </c>
      <c r="C473" s="146">
        <f t="shared" si="59"/>
        <v>13.056227698331453</v>
      </c>
      <c r="D473" s="146">
        <v>2</v>
      </c>
      <c r="E473" s="194">
        <f t="shared" si="60"/>
        <v>-13.154759719698564</v>
      </c>
    </row>
    <row r="474" spans="1:6" x14ac:dyDescent="0.25">
      <c r="A474" s="185" t="s">
        <v>124</v>
      </c>
      <c r="B474" s="188">
        <f t="shared" si="58"/>
        <v>1.9014679786328883</v>
      </c>
      <c r="C474" s="188">
        <f t="shared" si="59"/>
        <v>11.367805426722764</v>
      </c>
      <c r="D474" s="188">
        <v>2</v>
      </c>
      <c r="E474" s="193">
        <f t="shared" si="60"/>
        <v>-11.466337448089876</v>
      </c>
    </row>
    <row r="475" spans="1:6" x14ac:dyDescent="0.25">
      <c r="A475" s="186" t="s">
        <v>125</v>
      </c>
      <c r="B475" s="146">
        <f t="shared" si="58"/>
        <v>1.9014679786328883</v>
      </c>
      <c r="C475" s="146">
        <f t="shared" si="59"/>
        <v>12.223669824807626</v>
      </c>
      <c r="D475" s="146">
        <v>2</v>
      </c>
      <c r="E475" s="194">
        <f t="shared" si="60"/>
        <v>-12.322201846174737</v>
      </c>
    </row>
    <row r="476" spans="1:6" x14ac:dyDescent="0.25">
      <c r="A476" s="185" t="s">
        <v>126</v>
      </c>
      <c r="B476" s="188">
        <f t="shared" si="58"/>
        <v>1.9014679786328883</v>
      </c>
      <c r="C476" s="188">
        <f t="shared" si="59"/>
        <v>10.552151443358353</v>
      </c>
      <c r="D476" s="188">
        <v>2</v>
      </c>
      <c r="E476" s="193">
        <f t="shared" si="60"/>
        <v>-10.650683464725464</v>
      </c>
    </row>
    <row r="477" spans="1:6" x14ac:dyDescent="0.25">
      <c r="A477" s="186" t="s">
        <v>127</v>
      </c>
      <c r="B477" s="146">
        <f t="shared" si="58"/>
        <v>1.9014679786328883</v>
      </c>
      <c r="C477" s="146">
        <f t="shared" si="59"/>
        <v>11.715761507874568</v>
      </c>
      <c r="D477" s="146">
        <v>2</v>
      </c>
      <c r="E477" s="194">
        <f t="shared" si="60"/>
        <v>-11.814293529241679</v>
      </c>
    </row>
    <row r="478" spans="1:6" x14ac:dyDescent="0.25">
      <c r="A478" s="185" t="s">
        <v>128</v>
      </c>
      <c r="B478" s="188">
        <f t="shared" si="58"/>
        <v>1.9014679786328883</v>
      </c>
      <c r="C478" s="188">
        <f t="shared" si="59"/>
        <v>12.432932194046204</v>
      </c>
      <c r="D478" s="188">
        <v>2</v>
      </c>
      <c r="E478" s="193">
        <f t="shared" si="60"/>
        <v>-12.531464215413315</v>
      </c>
    </row>
    <row r="479" spans="1:6" x14ac:dyDescent="0.25">
      <c r="A479" s="186" t="s">
        <v>141</v>
      </c>
      <c r="B479" s="146">
        <f t="shared" si="58"/>
        <v>1.9014679786328883</v>
      </c>
      <c r="C479" s="146">
        <f t="shared" si="59"/>
        <v>10.760402163960816</v>
      </c>
      <c r="D479" s="146">
        <v>2</v>
      </c>
      <c r="E479" s="194">
        <f t="shared" si="60"/>
        <v>-10.858934185327927</v>
      </c>
    </row>
    <row r="480" spans="1:6" x14ac:dyDescent="0.25">
      <c r="A480" s="185" t="s">
        <v>129</v>
      </c>
      <c r="B480" s="188">
        <f t="shared" si="58"/>
        <v>1.9014679786328883</v>
      </c>
      <c r="C480" s="188">
        <f t="shared" si="59"/>
        <v>11.607642001058458</v>
      </c>
      <c r="D480" s="188">
        <v>2</v>
      </c>
      <c r="E480" s="193">
        <f t="shared" si="60"/>
        <v>-11.70617402242557</v>
      </c>
    </row>
    <row r="481" spans="1:7" x14ac:dyDescent="0.25">
      <c r="A481" s="186" t="s">
        <v>130</v>
      </c>
      <c r="B481" s="146">
        <f t="shared" si="58"/>
        <v>1.9014679786328883</v>
      </c>
      <c r="C481" s="146">
        <f t="shared" si="59"/>
        <v>9.9541403621797269</v>
      </c>
      <c r="D481" s="146">
        <v>2</v>
      </c>
      <c r="E481" s="194">
        <f t="shared" si="60"/>
        <v>-10.052672383546838</v>
      </c>
    </row>
    <row r="482" spans="1:7" x14ac:dyDescent="0.25">
      <c r="A482" s="185" t="s">
        <v>131</v>
      </c>
      <c r="B482" s="188">
        <f t="shared" si="58"/>
        <v>1.9014679786328883</v>
      </c>
      <c r="C482" s="188">
        <f t="shared" si="59"/>
        <v>11.211770155680043</v>
      </c>
      <c r="D482" s="188">
        <v>2</v>
      </c>
      <c r="E482" s="193">
        <f t="shared" si="60"/>
        <v>-11.310302177047154</v>
      </c>
    </row>
    <row r="483" spans="1:7" x14ac:dyDescent="0.25">
      <c r="A483" s="186" t="s">
        <v>132</v>
      </c>
      <c r="B483" s="146">
        <f t="shared" si="58"/>
        <v>1.9014679786328883</v>
      </c>
      <c r="C483" s="146">
        <f t="shared" si="59"/>
        <v>11.922383809762609</v>
      </c>
      <c r="D483" s="146">
        <v>2</v>
      </c>
      <c r="E483" s="194">
        <f t="shared" si="60"/>
        <v>-12.02091583112972</v>
      </c>
    </row>
    <row r="484" spans="1:7" x14ac:dyDescent="0.25">
      <c r="A484" s="185" t="s">
        <v>133</v>
      </c>
      <c r="B484" s="188">
        <f t="shared" si="58"/>
        <v>1.9014679786328883</v>
      </c>
      <c r="C484" s="188">
        <f t="shared" si="59"/>
        <v>10.266353870018234</v>
      </c>
      <c r="D484" s="188">
        <v>2</v>
      </c>
      <c r="E484" s="193">
        <f t="shared" si="60"/>
        <v>-10.364885891385345</v>
      </c>
    </row>
    <row r="485" spans="1:7" x14ac:dyDescent="0.25">
      <c r="A485" s="186" t="s">
        <v>134</v>
      </c>
      <c r="B485" s="146">
        <f t="shared" si="58"/>
        <v>1.9014679786328883</v>
      </c>
      <c r="C485" s="146">
        <f t="shared" si="59"/>
        <v>11.104705421547935</v>
      </c>
      <c r="D485" s="146">
        <v>2</v>
      </c>
      <c r="E485" s="194">
        <f t="shared" si="60"/>
        <v>-11.203237442915047</v>
      </c>
    </row>
    <row r="486" spans="1:7" x14ac:dyDescent="0.25">
      <c r="A486" s="185" t="s">
        <v>135</v>
      </c>
      <c r="B486" s="188">
        <f t="shared" si="58"/>
        <v>1.9014679786328883</v>
      </c>
      <c r="C486" s="188">
        <f t="shared" si="59"/>
        <v>9.46960195324165</v>
      </c>
      <c r="D486" s="188">
        <v>2</v>
      </c>
      <c r="E486" s="193">
        <f t="shared" si="60"/>
        <v>-9.5681339746087612</v>
      </c>
    </row>
    <row r="487" spans="1:7" x14ac:dyDescent="0.25">
      <c r="A487" s="186" t="s">
        <v>136</v>
      </c>
      <c r="B487" s="146">
        <f t="shared" si="58"/>
        <v>1.9014679786328883</v>
      </c>
      <c r="C487" s="146">
        <f t="shared" si="59"/>
        <v>10.461471578512537</v>
      </c>
      <c r="D487" s="146">
        <v>2</v>
      </c>
      <c r="E487" s="194">
        <f t="shared" si="60"/>
        <v>-10.560003599879648</v>
      </c>
    </row>
    <row r="488" spans="1:7" x14ac:dyDescent="0.25">
      <c r="A488" s="185" t="s">
        <v>137</v>
      </c>
      <c r="B488" s="188">
        <f t="shared" si="58"/>
        <v>1.9014679786328883</v>
      </c>
      <c r="C488" s="188">
        <f t="shared" si="59"/>
        <v>11.158660751453532</v>
      </c>
      <c r="D488" s="188">
        <v>2</v>
      </c>
      <c r="E488" s="193">
        <f t="shared" si="60"/>
        <v>-11.257192772820643</v>
      </c>
    </row>
    <row r="489" spans="1:7" x14ac:dyDescent="0.25">
      <c r="A489" s="186" t="s">
        <v>138</v>
      </c>
      <c r="B489" s="146">
        <f t="shared" si="58"/>
        <v>1.9014679786328883</v>
      </c>
      <c r="C489" s="146">
        <f t="shared" si="59"/>
        <v>9.5358752820712631</v>
      </c>
      <c r="D489" s="146">
        <v>2</v>
      </c>
      <c r="E489" s="194">
        <f t="shared" si="60"/>
        <v>-9.6344073034383744</v>
      </c>
    </row>
    <row r="490" spans="1:7" ht="15" customHeight="1" x14ac:dyDescent="0.25">
      <c r="A490" s="185" t="s">
        <v>139</v>
      </c>
      <c r="B490" s="188">
        <f t="shared" si="58"/>
        <v>1.9014679786328883</v>
      </c>
      <c r="C490" s="188">
        <f t="shared" si="59"/>
        <v>10.356539318237967</v>
      </c>
      <c r="D490" s="188">
        <v>2</v>
      </c>
      <c r="E490" s="193">
        <f t="shared" si="60"/>
        <v>-10.455071339605079</v>
      </c>
    </row>
    <row r="491" spans="1:7" ht="15.75" thickBot="1" x14ac:dyDescent="0.3">
      <c r="A491" s="187" t="s">
        <v>140</v>
      </c>
      <c r="B491" s="148">
        <f t="shared" si="58"/>
        <v>1.9014679786328883</v>
      </c>
      <c r="C491" s="148">
        <f t="shared" si="59"/>
        <v>8.7575213331384241</v>
      </c>
      <c r="D491" s="148">
        <v>2</v>
      </c>
      <c r="E491" s="206">
        <f t="shared" si="60"/>
        <v>-8.8560533545055353</v>
      </c>
    </row>
    <row r="492" spans="1:7" ht="15.75" thickTop="1" x14ac:dyDescent="0.25"/>
    <row r="494" spans="1:7" x14ac:dyDescent="0.25">
      <c r="A494" s="216" t="s">
        <v>226</v>
      </c>
      <c r="B494" s="216"/>
      <c r="C494" s="216"/>
      <c r="D494" s="216"/>
      <c r="E494" s="216"/>
      <c r="F494" s="216"/>
      <c r="G494" s="216"/>
    </row>
    <row r="495" spans="1:7" ht="15.75" thickBot="1" x14ac:dyDescent="0.3"/>
    <row r="496" spans="1:7" ht="31.5" thickTop="1" thickBot="1" x14ac:dyDescent="0.3">
      <c r="A496" s="180" t="s">
        <v>98</v>
      </c>
      <c r="B496" s="181" t="s">
        <v>152</v>
      </c>
      <c r="C496" s="181" t="s">
        <v>153</v>
      </c>
      <c r="D496" s="182" t="s">
        <v>154</v>
      </c>
      <c r="E496" s="182" t="s">
        <v>155</v>
      </c>
      <c r="F496" s="184" t="s">
        <v>176</v>
      </c>
    </row>
    <row r="497" spans="1:6" ht="15.75" thickTop="1" x14ac:dyDescent="0.25">
      <c r="A497" s="185" t="s">
        <v>7</v>
      </c>
      <c r="B497" s="188">
        <v>30.27</v>
      </c>
      <c r="C497" s="188">
        <v>11.9</v>
      </c>
      <c r="D497" s="188">
        <v>42.17</v>
      </c>
      <c r="E497" s="188">
        <v>30.27</v>
      </c>
      <c r="F497" s="193">
        <v>11.9</v>
      </c>
    </row>
    <row r="498" spans="1:6" x14ac:dyDescent="0.25">
      <c r="A498" s="186" t="s">
        <v>8</v>
      </c>
      <c r="B498" s="146">
        <v>33.46</v>
      </c>
      <c r="C498" s="146">
        <v>11.9</v>
      </c>
      <c r="D498" s="146">
        <v>45.36</v>
      </c>
      <c r="E498" s="146">
        <v>33.46</v>
      </c>
      <c r="F498" s="194">
        <v>11.9</v>
      </c>
    </row>
    <row r="499" spans="1:6" x14ac:dyDescent="0.25">
      <c r="A499" s="185" t="s">
        <v>3</v>
      </c>
      <c r="B499" s="188">
        <v>27.42</v>
      </c>
      <c r="C499" s="188">
        <v>11.9</v>
      </c>
      <c r="D499" s="188">
        <v>39.32</v>
      </c>
      <c r="E499" s="188">
        <v>27.42</v>
      </c>
      <c r="F499" s="193">
        <v>11.9</v>
      </c>
    </row>
    <row r="500" spans="1:6" x14ac:dyDescent="0.25">
      <c r="A500" s="186" t="s">
        <v>4</v>
      </c>
      <c r="B500" s="146">
        <v>36.31</v>
      </c>
      <c r="C500" s="146">
        <v>11.9</v>
      </c>
      <c r="D500" s="146">
        <v>48.21</v>
      </c>
      <c r="E500" s="146">
        <v>36.31</v>
      </c>
      <c r="F500" s="194">
        <v>11.9</v>
      </c>
    </row>
    <row r="501" spans="1:6" ht="15.75" thickBot="1" x14ac:dyDescent="0.3">
      <c r="A501" s="195" t="s">
        <v>5</v>
      </c>
      <c r="B501" s="138">
        <v>46.120000000000005</v>
      </c>
      <c r="C501" s="138">
        <v>11.9</v>
      </c>
      <c r="D501" s="138">
        <v>58.02</v>
      </c>
      <c r="E501" s="138">
        <v>46.120000000000005</v>
      </c>
      <c r="F501" s="196">
        <v>11.9</v>
      </c>
    </row>
    <row r="502" spans="1:6" ht="16.5" thickTop="1" thickBot="1" x14ac:dyDescent="0.3"/>
    <row r="503" spans="1:6" ht="16.5" thickTop="1" thickBot="1" x14ac:dyDescent="0.3">
      <c r="A503" s="214" t="s">
        <v>167</v>
      </c>
      <c r="B503" s="217" t="s">
        <v>168</v>
      </c>
      <c r="C503" s="217" t="s">
        <v>169</v>
      </c>
      <c r="D503" s="217" t="s">
        <v>205</v>
      </c>
      <c r="E503" s="217" t="s">
        <v>170</v>
      </c>
      <c r="F503" s="219" t="s">
        <v>187</v>
      </c>
    </row>
    <row r="504" spans="1:6" ht="16.5" thickTop="1" thickBot="1" x14ac:dyDescent="0.3">
      <c r="A504" s="215"/>
      <c r="B504" s="218"/>
      <c r="C504" s="218"/>
      <c r="D504" s="218"/>
      <c r="E504" s="218"/>
      <c r="F504" s="220"/>
    </row>
    <row r="505" spans="1:6" ht="15.75" thickTop="1" x14ac:dyDescent="0.25">
      <c r="A505" s="158" t="s">
        <v>180</v>
      </c>
      <c r="B505" s="50">
        <f>$E497</f>
        <v>30.27</v>
      </c>
      <c r="C505" s="50">
        <f t="shared" ref="C505:C512" si="61">10^($B505/10)</f>
        <v>1064.1430182243171</v>
      </c>
      <c r="D505" s="50">
        <f t="shared" ref="D505:D512" si="62">$E$294/2*($C505-1)*$E$295*$E$296*10^12</f>
        <v>3.3777720265653801E-16</v>
      </c>
      <c r="E505" s="50">
        <f t="shared" ref="E505:E512" si="63">D505*$E$297*10^9*2</f>
        <v>5.0666580398480699E-5</v>
      </c>
      <c r="F505" s="60">
        <f>E505</f>
        <v>5.0666580398480699E-5</v>
      </c>
    </row>
    <row r="506" spans="1:6" x14ac:dyDescent="0.25">
      <c r="A506" s="254" t="s">
        <v>181</v>
      </c>
      <c r="B506" s="146">
        <f>$E498</f>
        <v>33.46</v>
      </c>
      <c r="C506" s="146">
        <f t="shared" si="61"/>
        <v>2218.1964198002206</v>
      </c>
      <c r="D506" s="146">
        <f t="shared" si="62"/>
        <v>7.0443805920963318E-16</v>
      </c>
      <c r="E506" s="190">
        <f t="shared" si="63"/>
        <v>1.0566570888144497E-4</v>
      </c>
      <c r="F506" s="252">
        <f>E506</f>
        <v>1.0566570888144497E-4</v>
      </c>
    </row>
    <row r="507" spans="1:6" x14ac:dyDescent="0.25">
      <c r="A507" s="253" t="s">
        <v>224</v>
      </c>
      <c r="B507" s="188">
        <f>$E499</f>
        <v>27.42</v>
      </c>
      <c r="C507" s="188">
        <f t="shared" si="61"/>
        <v>552.07743928075786</v>
      </c>
      <c r="D507" s="188">
        <f t="shared" si="62"/>
        <v>1.7508594111663327E-16</v>
      </c>
      <c r="E507" s="189">
        <f t="shared" si="63"/>
        <v>2.626289116749499E-5</v>
      </c>
      <c r="F507" s="199">
        <f>E507</f>
        <v>2.626289116749499E-5</v>
      </c>
    </row>
    <row r="508" spans="1:6" x14ac:dyDescent="0.25">
      <c r="A508" s="254" t="s">
        <v>186</v>
      </c>
      <c r="B508" s="146">
        <f>($B$500+2*0.4)/2</f>
        <v>18.555</v>
      </c>
      <c r="C508" s="146">
        <f t="shared" si="61"/>
        <v>71.69683755804202</v>
      </c>
      <c r="D508" s="146">
        <f t="shared" si="62"/>
        <v>2.246149353160744E-17</v>
      </c>
      <c r="E508" s="190">
        <f t="shared" si="63"/>
        <v>3.3692240297411158E-6</v>
      </c>
      <c r="F508" s="147">
        <f>SUM(E508:E509)</f>
        <v>6.7384480594822316E-6</v>
      </c>
    </row>
    <row r="509" spans="1:6" x14ac:dyDescent="0.25">
      <c r="A509" s="253" t="s">
        <v>178</v>
      </c>
      <c r="B509" s="188">
        <f>($B$500+2*0.4)/2</f>
        <v>18.555</v>
      </c>
      <c r="C509" s="188">
        <f t="shared" si="61"/>
        <v>71.69683755804202</v>
      </c>
      <c r="D509" s="188">
        <f t="shared" si="62"/>
        <v>2.246149353160744E-17</v>
      </c>
      <c r="E509" s="189">
        <f t="shared" si="63"/>
        <v>3.3692240297411158E-6</v>
      </c>
      <c r="F509" s="199">
        <f>SUM(E508:E509)</f>
        <v>6.7384480594822316E-6</v>
      </c>
    </row>
    <row r="510" spans="1:6" x14ac:dyDescent="0.25">
      <c r="A510" s="254" t="s">
        <v>185</v>
      </c>
      <c r="B510" s="146">
        <f>($B$501+2*0.4)/2</f>
        <v>23.46</v>
      </c>
      <c r="C510" s="146">
        <f t="shared" si="61"/>
        <v>221.819641980022</v>
      </c>
      <c r="D510" s="146">
        <f t="shared" si="62"/>
        <v>7.0157861812616873E-17</v>
      </c>
      <c r="E510" s="190">
        <f t="shared" si="63"/>
        <v>1.0523679271892531E-5</v>
      </c>
      <c r="F510" s="147">
        <f>SUM(E510:E511)</f>
        <v>2.1047358543785062E-5</v>
      </c>
    </row>
    <row r="511" spans="1:6" x14ac:dyDescent="0.25">
      <c r="A511" s="253" t="s">
        <v>179</v>
      </c>
      <c r="B511" s="188">
        <f>($B$501+2*0.4)/2</f>
        <v>23.46</v>
      </c>
      <c r="C511" s="188">
        <f t="shared" si="61"/>
        <v>221.819641980022</v>
      </c>
      <c r="D511" s="188">
        <f t="shared" si="62"/>
        <v>7.0157861812616873E-17</v>
      </c>
      <c r="E511" s="189">
        <f t="shared" si="63"/>
        <v>1.0523679271892531E-5</v>
      </c>
      <c r="F511" s="199">
        <f>SUM(E510:E511)</f>
        <v>2.1047358543785062E-5</v>
      </c>
    </row>
    <row r="512" spans="1:6" ht="15.75" thickBot="1" x14ac:dyDescent="0.3">
      <c r="A512" s="187" t="s">
        <v>177</v>
      </c>
      <c r="B512" s="148">
        <v>11.9</v>
      </c>
      <c r="C512" s="148">
        <f t="shared" si="61"/>
        <v>15.488166189124817</v>
      </c>
      <c r="D512" s="148">
        <f t="shared" si="62"/>
        <v>4.6031175139157595E-18</v>
      </c>
      <c r="E512" s="191">
        <f t="shared" si="63"/>
        <v>6.9046762708736391E-7</v>
      </c>
      <c r="F512" s="149">
        <f>E512</f>
        <v>6.9046762708736391E-7</v>
      </c>
    </row>
    <row r="513" spans="1:6" ht="16.5" thickTop="1" thickBot="1" x14ac:dyDescent="0.3"/>
    <row r="514" spans="1:6" ht="16.5" thickTop="1" thickBot="1" x14ac:dyDescent="0.3">
      <c r="A514" s="197" t="s">
        <v>171</v>
      </c>
      <c r="B514" s="139">
        <f>10*LOG10(SUM(E505:E512))+30</f>
        <v>-6.7557049674530134</v>
      </c>
    </row>
    <row r="515" spans="1:6" ht="16.5" thickTop="1" thickBot="1" x14ac:dyDescent="0.3">
      <c r="A515" s="205" t="s">
        <v>174</v>
      </c>
      <c r="B515" s="149">
        <f>$B$300-B514</f>
        <v>4.7643120506107497</v>
      </c>
    </row>
    <row r="516" spans="1:6" ht="16.5" thickTop="1" thickBot="1" x14ac:dyDescent="0.3"/>
    <row r="517" spans="1:6" ht="20.25" thickTop="1" thickBot="1" x14ac:dyDescent="0.4">
      <c r="A517" s="15" t="s">
        <v>121</v>
      </c>
      <c r="B517" s="150" t="s">
        <v>172</v>
      </c>
      <c r="C517" s="13" t="s">
        <v>206</v>
      </c>
      <c r="D517" s="156" t="s">
        <v>116</v>
      </c>
      <c r="E517" s="204" t="s">
        <v>207</v>
      </c>
      <c r="F517" s="37" t="s">
        <v>173</v>
      </c>
    </row>
    <row r="518" spans="1:6" ht="15.75" thickTop="1" x14ac:dyDescent="0.25">
      <c r="A518" s="185" t="s">
        <v>122</v>
      </c>
      <c r="B518" s="188">
        <f>1/$F$241</f>
        <v>0.14125375446227542</v>
      </c>
      <c r="C518" s="188">
        <f t="shared" ref="C518:C537" si="64">$E$247^2</f>
        <v>40.896024999999995</v>
      </c>
      <c r="D518" s="188">
        <f>$H$247*10^9</f>
        <v>10261721529.770309</v>
      </c>
      <c r="E518" s="189">
        <f t="shared" ref="E518:E537" si="65">$E$297*10^9</f>
        <v>75000000000</v>
      </c>
      <c r="F518" s="199">
        <f t="shared" ref="F518:F537" si="66">10*LOG10($C518*$D518/$E518*((1+$B518)/(1-$B518))^2*(1+SQRT(4*$B518/(1+$B518)^2+((1-$B518)/(1+$B518))^2*$E518/($C518*$D518))))</f>
        <v>12.332802934605487</v>
      </c>
    </row>
    <row r="519" spans="1:6" x14ac:dyDescent="0.25">
      <c r="A519" s="186" t="s">
        <v>123</v>
      </c>
      <c r="B519" s="146">
        <f>1/$F$241</f>
        <v>0.14125375446227542</v>
      </c>
      <c r="C519" s="146">
        <f t="shared" si="64"/>
        <v>40.896024999999995</v>
      </c>
      <c r="D519" s="146">
        <f>$H$248*10^9</f>
        <v>12199688861.556623</v>
      </c>
      <c r="E519" s="190">
        <f t="shared" si="65"/>
        <v>75000000000</v>
      </c>
      <c r="F519" s="147">
        <f t="shared" si="66"/>
        <v>13.056227698331453</v>
      </c>
    </row>
    <row r="520" spans="1:6" x14ac:dyDescent="0.25">
      <c r="A520" s="185" t="s">
        <v>124</v>
      </c>
      <c r="B520" s="188">
        <f>1/$F$241</f>
        <v>0.14125375446227542</v>
      </c>
      <c r="C520" s="188">
        <f t="shared" si="64"/>
        <v>40.896024999999995</v>
      </c>
      <c r="D520" s="188">
        <f>$H$249*10^9</f>
        <v>8133125907.7044163</v>
      </c>
      <c r="E520" s="189">
        <f t="shared" si="65"/>
        <v>75000000000</v>
      </c>
      <c r="F520" s="199">
        <f t="shared" si="66"/>
        <v>11.367805426722764</v>
      </c>
    </row>
    <row r="521" spans="1:6" x14ac:dyDescent="0.25">
      <c r="A521" s="186" t="s">
        <v>125</v>
      </c>
      <c r="B521" s="146">
        <f>1/$F$241</f>
        <v>0.14125375446227542</v>
      </c>
      <c r="C521" s="146">
        <f t="shared" si="64"/>
        <v>40.896024999999995</v>
      </c>
      <c r="D521" s="146">
        <f>$H$250*10^9</f>
        <v>9996486610.8563232</v>
      </c>
      <c r="E521" s="190">
        <f t="shared" si="65"/>
        <v>75000000000</v>
      </c>
      <c r="F521" s="147">
        <f t="shared" si="66"/>
        <v>12.223669824807626</v>
      </c>
    </row>
    <row r="522" spans="1:6" x14ac:dyDescent="0.25">
      <c r="A522" s="185" t="s">
        <v>126</v>
      </c>
      <c r="B522" s="188">
        <f>1/$F$241</f>
        <v>0.14125375446227542</v>
      </c>
      <c r="C522" s="188">
        <f t="shared" si="64"/>
        <v>40.896024999999995</v>
      </c>
      <c r="D522" s="188">
        <f>$H$251*10^9</f>
        <v>6670118994.3507013</v>
      </c>
      <c r="E522" s="189">
        <f t="shared" si="65"/>
        <v>75000000000</v>
      </c>
      <c r="F522" s="199">
        <f t="shared" si="66"/>
        <v>10.552151443358353</v>
      </c>
    </row>
    <row r="523" spans="1:6" x14ac:dyDescent="0.25">
      <c r="A523" s="186" t="s">
        <v>127</v>
      </c>
      <c r="B523" s="146">
        <f>1/$F$242</f>
        <v>0.11220184543019632</v>
      </c>
      <c r="C523" s="146">
        <f t="shared" si="64"/>
        <v>40.896024999999995</v>
      </c>
      <c r="D523" s="146">
        <f>$H$247*10^9</f>
        <v>10261721529.770309</v>
      </c>
      <c r="E523" s="190">
        <f t="shared" si="65"/>
        <v>75000000000</v>
      </c>
      <c r="F523" s="147">
        <f t="shared" si="66"/>
        <v>11.715761507874568</v>
      </c>
    </row>
    <row r="524" spans="1:6" x14ac:dyDescent="0.25">
      <c r="A524" s="185" t="s">
        <v>128</v>
      </c>
      <c r="B524" s="188">
        <f>1/$F$242</f>
        <v>0.11220184543019632</v>
      </c>
      <c r="C524" s="188">
        <f t="shared" si="64"/>
        <v>40.896024999999995</v>
      </c>
      <c r="D524" s="188">
        <f>$H$248*10^9</f>
        <v>12199688861.556623</v>
      </c>
      <c r="E524" s="189">
        <f t="shared" si="65"/>
        <v>75000000000</v>
      </c>
      <c r="F524" s="199">
        <f t="shared" si="66"/>
        <v>12.432932194046204</v>
      </c>
    </row>
    <row r="525" spans="1:6" x14ac:dyDescent="0.25">
      <c r="A525" s="186" t="s">
        <v>141</v>
      </c>
      <c r="B525" s="146">
        <f>1/$F$242</f>
        <v>0.11220184543019632</v>
      </c>
      <c r="C525" s="146">
        <f t="shared" si="64"/>
        <v>40.896024999999995</v>
      </c>
      <c r="D525" s="146">
        <f>$H$249*10^9</f>
        <v>8133125907.7044163</v>
      </c>
      <c r="E525" s="190">
        <f t="shared" si="65"/>
        <v>75000000000</v>
      </c>
      <c r="F525" s="147">
        <f t="shared" si="66"/>
        <v>10.760402163960816</v>
      </c>
    </row>
    <row r="526" spans="1:6" x14ac:dyDescent="0.25">
      <c r="A526" s="185" t="s">
        <v>129</v>
      </c>
      <c r="B526" s="188">
        <f>1/$F$242</f>
        <v>0.11220184543019632</v>
      </c>
      <c r="C526" s="188">
        <f t="shared" si="64"/>
        <v>40.896024999999995</v>
      </c>
      <c r="D526" s="188">
        <f>$H$250*10^9</f>
        <v>9996486610.8563232</v>
      </c>
      <c r="E526" s="189">
        <f t="shared" si="65"/>
        <v>75000000000</v>
      </c>
      <c r="F526" s="199">
        <f t="shared" si="66"/>
        <v>11.607642001058458</v>
      </c>
    </row>
    <row r="527" spans="1:6" x14ac:dyDescent="0.25">
      <c r="A527" s="186" t="s">
        <v>130</v>
      </c>
      <c r="B527" s="146">
        <f>1/$F$242</f>
        <v>0.11220184543019632</v>
      </c>
      <c r="C527" s="146">
        <f t="shared" si="64"/>
        <v>40.896024999999995</v>
      </c>
      <c r="D527" s="146">
        <f>$H$251*10^9</f>
        <v>6670118994.3507013</v>
      </c>
      <c r="E527" s="190">
        <f t="shared" si="65"/>
        <v>75000000000</v>
      </c>
      <c r="F527" s="147">
        <f t="shared" si="66"/>
        <v>9.9541403621797269</v>
      </c>
    </row>
    <row r="528" spans="1:6" x14ac:dyDescent="0.25">
      <c r="A528" s="185" t="s">
        <v>131</v>
      </c>
      <c r="B528" s="188">
        <f>1/$F$243</f>
        <v>8.9125093813374537E-2</v>
      </c>
      <c r="C528" s="188">
        <f t="shared" si="64"/>
        <v>40.896024999999995</v>
      </c>
      <c r="D528" s="188">
        <f>$H$247*10^9</f>
        <v>10261721529.770309</v>
      </c>
      <c r="E528" s="189">
        <f t="shared" si="65"/>
        <v>75000000000</v>
      </c>
      <c r="F528" s="199">
        <f t="shared" si="66"/>
        <v>11.211770155680043</v>
      </c>
    </row>
    <row r="529" spans="1:6" x14ac:dyDescent="0.25">
      <c r="A529" s="186" t="s">
        <v>132</v>
      </c>
      <c r="B529" s="146">
        <f>1/$F$243</f>
        <v>8.9125093813374537E-2</v>
      </c>
      <c r="C529" s="146">
        <f t="shared" si="64"/>
        <v>40.896024999999995</v>
      </c>
      <c r="D529" s="146">
        <f>$H$248*10^9</f>
        <v>12199688861.556623</v>
      </c>
      <c r="E529" s="190">
        <f t="shared" si="65"/>
        <v>75000000000</v>
      </c>
      <c r="F529" s="147">
        <f t="shared" si="66"/>
        <v>11.922383809762609</v>
      </c>
    </row>
    <row r="530" spans="1:6" x14ac:dyDescent="0.25">
      <c r="A530" s="185" t="s">
        <v>133</v>
      </c>
      <c r="B530" s="188">
        <f>1/$F$243</f>
        <v>8.9125093813374537E-2</v>
      </c>
      <c r="C530" s="188">
        <f t="shared" si="64"/>
        <v>40.896024999999995</v>
      </c>
      <c r="D530" s="188">
        <f>$H$249*10^9</f>
        <v>8133125907.7044163</v>
      </c>
      <c r="E530" s="189">
        <f t="shared" si="65"/>
        <v>75000000000</v>
      </c>
      <c r="F530" s="199">
        <f t="shared" si="66"/>
        <v>10.266353870018234</v>
      </c>
    </row>
    <row r="531" spans="1:6" x14ac:dyDescent="0.25">
      <c r="A531" s="186" t="s">
        <v>134</v>
      </c>
      <c r="B531" s="146">
        <f>1/$F$243</f>
        <v>8.9125093813374537E-2</v>
      </c>
      <c r="C531" s="146">
        <f t="shared" si="64"/>
        <v>40.896024999999995</v>
      </c>
      <c r="D531" s="146">
        <f>$H$250*10^9</f>
        <v>9996486610.8563232</v>
      </c>
      <c r="E531" s="190">
        <f t="shared" si="65"/>
        <v>75000000000</v>
      </c>
      <c r="F531" s="147">
        <f t="shared" si="66"/>
        <v>11.104705421547935</v>
      </c>
    </row>
    <row r="532" spans="1:6" x14ac:dyDescent="0.25">
      <c r="A532" s="185" t="s">
        <v>135</v>
      </c>
      <c r="B532" s="188">
        <f>1/$F$243</f>
        <v>8.9125093813374537E-2</v>
      </c>
      <c r="C532" s="188">
        <f t="shared" si="64"/>
        <v>40.896024999999995</v>
      </c>
      <c r="D532" s="188">
        <f>$H$251*10^9</f>
        <v>6670118994.3507013</v>
      </c>
      <c r="E532" s="189">
        <f t="shared" si="65"/>
        <v>75000000000</v>
      </c>
      <c r="F532" s="199">
        <f t="shared" si="66"/>
        <v>9.46960195324165</v>
      </c>
    </row>
    <row r="533" spans="1:6" x14ac:dyDescent="0.25">
      <c r="A533" s="186" t="s">
        <v>136</v>
      </c>
      <c r="B533" s="146">
        <f>1/$F$244</f>
        <v>5.6234132519034884E-2</v>
      </c>
      <c r="C533" s="146">
        <f t="shared" si="64"/>
        <v>40.896024999999995</v>
      </c>
      <c r="D533" s="146">
        <f>$H$247*10^9</f>
        <v>10261721529.770309</v>
      </c>
      <c r="E533" s="190">
        <f t="shared" si="65"/>
        <v>75000000000</v>
      </c>
      <c r="F533" s="147">
        <f t="shared" si="66"/>
        <v>10.461471578512537</v>
      </c>
    </row>
    <row r="534" spans="1:6" x14ac:dyDescent="0.25">
      <c r="A534" s="185" t="s">
        <v>137</v>
      </c>
      <c r="B534" s="188">
        <f>1/$F$244</f>
        <v>5.6234132519034884E-2</v>
      </c>
      <c r="C534" s="188">
        <f t="shared" si="64"/>
        <v>40.896024999999995</v>
      </c>
      <c r="D534" s="188">
        <f>$H$248*10^9</f>
        <v>12199688861.556623</v>
      </c>
      <c r="E534" s="189">
        <f t="shared" si="65"/>
        <v>75000000000</v>
      </c>
      <c r="F534" s="199">
        <f t="shared" si="66"/>
        <v>11.158660751453532</v>
      </c>
    </row>
    <row r="535" spans="1:6" x14ac:dyDescent="0.25">
      <c r="A535" s="186" t="s">
        <v>138</v>
      </c>
      <c r="B535" s="146">
        <f>1/$F$244</f>
        <v>5.6234132519034884E-2</v>
      </c>
      <c r="C535" s="146">
        <f t="shared" si="64"/>
        <v>40.896024999999995</v>
      </c>
      <c r="D535" s="146">
        <f>$H$249*10^9</f>
        <v>8133125907.7044163</v>
      </c>
      <c r="E535" s="190">
        <f t="shared" si="65"/>
        <v>75000000000</v>
      </c>
      <c r="F535" s="147">
        <f t="shared" si="66"/>
        <v>9.5358752820712631</v>
      </c>
    </row>
    <row r="536" spans="1:6" x14ac:dyDescent="0.25">
      <c r="A536" s="185" t="s">
        <v>139</v>
      </c>
      <c r="B536" s="188">
        <f>1/$F$244</f>
        <v>5.6234132519034884E-2</v>
      </c>
      <c r="C536" s="188">
        <f t="shared" si="64"/>
        <v>40.896024999999995</v>
      </c>
      <c r="D536" s="188">
        <f>$H$250*10^9</f>
        <v>9996486610.8563232</v>
      </c>
      <c r="E536" s="189">
        <f t="shared" si="65"/>
        <v>75000000000</v>
      </c>
      <c r="F536" s="199">
        <f t="shared" si="66"/>
        <v>10.356539318237967</v>
      </c>
    </row>
    <row r="537" spans="1:6" ht="15.75" thickBot="1" x14ac:dyDescent="0.3">
      <c r="A537" s="187" t="s">
        <v>140</v>
      </c>
      <c r="B537" s="148">
        <f>1/$F$244</f>
        <v>5.6234132519034884E-2</v>
      </c>
      <c r="C537" s="148">
        <f t="shared" si="64"/>
        <v>40.896024999999995</v>
      </c>
      <c r="D537" s="148">
        <f>$H$251*10^9</f>
        <v>6670118994.3507013</v>
      </c>
      <c r="E537" s="191">
        <f t="shared" si="65"/>
        <v>75000000000</v>
      </c>
      <c r="F537" s="149">
        <f t="shared" si="66"/>
        <v>8.7575213331384241</v>
      </c>
    </row>
    <row r="538" spans="1:6" ht="16.5" thickTop="1" thickBot="1" x14ac:dyDescent="0.3"/>
    <row r="539" spans="1:6" ht="16.5" thickTop="1" thickBot="1" x14ac:dyDescent="0.3">
      <c r="A539" s="197" t="s">
        <v>121</v>
      </c>
      <c r="B539" s="204" t="s">
        <v>174</v>
      </c>
      <c r="C539" s="13" t="s">
        <v>173</v>
      </c>
      <c r="D539" s="150" t="s">
        <v>175</v>
      </c>
      <c r="E539" s="37" t="s">
        <v>146</v>
      </c>
    </row>
    <row r="540" spans="1:6" ht="15.75" thickTop="1" x14ac:dyDescent="0.25">
      <c r="A540" s="185" t="s">
        <v>122</v>
      </c>
      <c r="B540" s="188">
        <f t="shared" ref="B540:B559" si="67">$B$515</f>
        <v>4.7643120506107497</v>
      </c>
      <c r="C540" s="188">
        <f t="shared" ref="C540:C559" si="68">F518</f>
        <v>12.332802934605487</v>
      </c>
      <c r="D540" s="188">
        <v>2</v>
      </c>
      <c r="E540" s="193">
        <f t="shared" ref="E540:E559" si="69">$B540-$C540-$D540</f>
        <v>-9.5684908839947376</v>
      </c>
    </row>
    <row r="541" spans="1:6" x14ac:dyDescent="0.25">
      <c r="A541" s="186" t="s">
        <v>123</v>
      </c>
      <c r="B541" s="146">
        <f t="shared" si="67"/>
        <v>4.7643120506107497</v>
      </c>
      <c r="C541" s="146">
        <f t="shared" si="68"/>
        <v>13.056227698331453</v>
      </c>
      <c r="D541" s="146">
        <v>2</v>
      </c>
      <c r="E541" s="194">
        <f t="shared" si="69"/>
        <v>-10.291915647720703</v>
      </c>
    </row>
    <row r="542" spans="1:6" x14ac:dyDescent="0.25">
      <c r="A542" s="185" t="s">
        <v>124</v>
      </c>
      <c r="B542" s="188">
        <f t="shared" si="67"/>
        <v>4.7643120506107497</v>
      </c>
      <c r="C542" s="188">
        <f t="shared" si="68"/>
        <v>11.367805426722764</v>
      </c>
      <c r="D542" s="188">
        <v>2</v>
      </c>
      <c r="E542" s="193">
        <f t="shared" si="69"/>
        <v>-8.6034933761120147</v>
      </c>
    </row>
    <row r="543" spans="1:6" x14ac:dyDescent="0.25">
      <c r="A543" s="186" t="s">
        <v>125</v>
      </c>
      <c r="B543" s="146">
        <f t="shared" si="67"/>
        <v>4.7643120506107497</v>
      </c>
      <c r="C543" s="146">
        <f t="shared" si="68"/>
        <v>12.223669824807626</v>
      </c>
      <c r="D543" s="146">
        <v>2</v>
      </c>
      <c r="E543" s="194">
        <f t="shared" si="69"/>
        <v>-9.4593577741968762</v>
      </c>
    </row>
    <row r="544" spans="1:6" x14ac:dyDescent="0.25">
      <c r="A544" s="185" t="s">
        <v>126</v>
      </c>
      <c r="B544" s="188">
        <f t="shared" si="67"/>
        <v>4.7643120506107497</v>
      </c>
      <c r="C544" s="188">
        <f t="shared" si="68"/>
        <v>10.552151443358353</v>
      </c>
      <c r="D544" s="188">
        <v>2</v>
      </c>
      <c r="E544" s="193">
        <f t="shared" si="69"/>
        <v>-7.7878393927476033</v>
      </c>
    </row>
    <row r="545" spans="1:5" x14ac:dyDescent="0.25">
      <c r="A545" s="186" t="s">
        <v>127</v>
      </c>
      <c r="B545" s="146">
        <f t="shared" si="67"/>
        <v>4.7643120506107497</v>
      </c>
      <c r="C545" s="146">
        <f t="shared" si="68"/>
        <v>11.715761507874568</v>
      </c>
      <c r="D545" s="146">
        <v>2</v>
      </c>
      <c r="E545" s="194">
        <f t="shared" si="69"/>
        <v>-8.9514494572638181</v>
      </c>
    </row>
    <row r="546" spans="1:5" x14ac:dyDescent="0.25">
      <c r="A546" s="185" t="s">
        <v>128</v>
      </c>
      <c r="B546" s="188">
        <f t="shared" si="67"/>
        <v>4.7643120506107497</v>
      </c>
      <c r="C546" s="188">
        <f t="shared" si="68"/>
        <v>12.432932194046204</v>
      </c>
      <c r="D546" s="188">
        <v>2</v>
      </c>
      <c r="E546" s="193">
        <f t="shared" si="69"/>
        <v>-9.6686201434354544</v>
      </c>
    </row>
    <row r="547" spans="1:5" x14ac:dyDescent="0.25">
      <c r="A547" s="186" t="s">
        <v>141</v>
      </c>
      <c r="B547" s="146">
        <f t="shared" si="67"/>
        <v>4.7643120506107497</v>
      </c>
      <c r="C547" s="146">
        <f t="shared" si="68"/>
        <v>10.760402163960816</v>
      </c>
      <c r="D547" s="146">
        <v>2</v>
      </c>
      <c r="E547" s="194">
        <f t="shared" si="69"/>
        <v>-7.9960901133500659</v>
      </c>
    </row>
    <row r="548" spans="1:5" x14ac:dyDescent="0.25">
      <c r="A548" s="185" t="s">
        <v>129</v>
      </c>
      <c r="B548" s="188">
        <f t="shared" si="67"/>
        <v>4.7643120506107497</v>
      </c>
      <c r="C548" s="188">
        <f t="shared" si="68"/>
        <v>11.607642001058458</v>
      </c>
      <c r="D548" s="188">
        <v>2</v>
      </c>
      <c r="E548" s="193">
        <f t="shared" si="69"/>
        <v>-8.8433299504477088</v>
      </c>
    </row>
    <row r="549" spans="1:5" x14ac:dyDescent="0.25">
      <c r="A549" s="186" t="s">
        <v>130</v>
      </c>
      <c r="B549" s="146">
        <f t="shared" si="67"/>
        <v>4.7643120506107497</v>
      </c>
      <c r="C549" s="146">
        <f t="shared" si="68"/>
        <v>9.9541403621797269</v>
      </c>
      <c r="D549" s="146">
        <v>2</v>
      </c>
      <c r="E549" s="194">
        <f t="shared" si="69"/>
        <v>-7.1898283115689772</v>
      </c>
    </row>
    <row r="550" spans="1:5" x14ac:dyDescent="0.25">
      <c r="A550" s="185" t="s">
        <v>131</v>
      </c>
      <c r="B550" s="188">
        <f t="shared" si="67"/>
        <v>4.7643120506107497</v>
      </c>
      <c r="C550" s="188">
        <f t="shared" si="68"/>
        <v>11.211770155680043</v>
      </c>
      <c r="D550" s="188">
        <v>2</v>
      </c>
      <c r="E550" s="193">
        <f t="shared" si="69"/>
        <v>-8.447458105069293</v>
      </c>
    </row>
    <row r="551" spans="1:5" x14ac:dyDescent="0.25">
      <c r="A551" s="186" t="s">
        <v>132</v>
      </c>
      <c r="B551" s="146">
        <f t="shared" si="67"/>
        <v>4.7643120506107497</v>
      </c>
      <c r="C551" s="146">
        <f t="shared" si="68"/>
        <v>11.922383809762609</v>
      </c>
      <c r="D551" s="146">
        <v>2</v>
      </c>
      <c r="E551" s="194">
        <f t="shared" si="69"/>
        <v>-9.1580717591518592</v>
      </c>
    </row>
    <row r="552" spans="1:5" x14ac:dyDescent="0.25">
      <c r="A552" s="185" t="s">
        <v>133</v>
      </c>
      <c r="B552" s="188">
        <f t="shared" si="67"/>
        <v>4.7643120506107497</v>
      </c>
      <c r="C552" s="188">
        <f t="shared" si="68"/>
        <v>10.266353870018234</v>
      </c>
      <c r="D552" s="188">
        <v>2</v>
      </c>
      <c r="E552" s="193">
        <f t="shared" si="69"/>
        <v>-7.5020418194074843</v>
      </c>
    </row>
    <row r="553" spans="1:5" x14ac:dyDescent="0.25">
      <c r="A553" s="186" t="s">
        <v>134</v>
      </c>
      <c r="B553" s="146">
        <f t="shared" si="67"/>
        <v>4.7643120506107497</v>
      </c>
      <c r="C553" s="146">
        <f t="shared" si="68"/>
        <v>11.104705421547935</v>
      </c>
      <c r="D553" s="146">
        <v>2</v>
      </c>
      <c r="E553" s="194">
        <f t="shared" si="69"/>
        <v>-8.3403933709371856</v>
      </c>
    </row>
    <row r="554" spans="1:5" x14ac:dyDescent="0.25">
      <c r="A554" s="185" t="s">
        <v>135</v>
      </c>
      <c r="B554" s="188">
        <f t="shared" si="67"/>
        <v>4.7643120506107497</v>
      </c>
      <c r="C554" s="188">
        <f t="shared" si="68"/>
        <v>9.46960195324165</v>
      </c>
      <c r="D554" s="188">
        <v>2</v>
      </c>
      <c r="E554" s="193">
        <f t="shared" si="69"/>
        <v>-6.7052899026309003</v>
      </c>
    </row>
    <row r="555" spans="1:5" x14ac:dyDescent="0.25">
      <c r="A555" s="186" t="s">
        <v>136</v>
      </c>
      <c r="B555" s="146">
        <f t="shared" si="67"/>
        <v>4.7643120506107497</v>
      </c>
      <c r="C555" s="146">
        <f t="shared" si="68"/>
        <v>10.461471578512537</v>
      </c>
      <c r="D555" s="146">
        <v>2</v>
      </c>
      <c r="E555" s="194">
        <f t="shared" si="69"/>
        <v>-7.6971595279017873</v>
      </c>
    </row>
    <row r="556" spans="1:5" x14ac:dyDescent="0.25">
      <c r="A556" s="185" t="s">
        <v>137</v>
      </c>
      <c r="B556" s="188">
        <f t="shared" si="67"/>
        <v>4.7643120506107497</v>
      </c>
      <c r="C556" s="188">
        <f t="shared" si="68"/>
        <v>11.158660751453532</v>
      </c>
      <c r="D556" s="188">
        <v>2</v>
      </c>
      <c r="E556" s="193">
        <f t="shared" si="69"/>
        <v>-8.394348700842782</v>
      </c>
    </row>
    <row r="557" spans="1:5" x14ac:dyDescent="0.25">
      <c r="A557" s="186" t="s">
        <v>138</v>
      </c>
      <c r="B557" s="146">
        <f t="shared" si="67"/>
        <v>4.7643120506107497</v>
      </c>
      <c r="C557" s="146">
        <f t="shared" si="68"/>
        <v>9.5358752820712631</v>
      </c>
      <c r="D557" s="146">
        <v>2</v>
      </c>
      <c r="E557" s="194">
        <f t="shared" si="69"/>
        <v>-6.7715632314605134</v>
      </c>
    </row>
    <row r="558" spans="1:5" ht="15" customHeight="1" x14ac:dyDescent="0.25">
      <c r="A558" s="185" t="s">
        <v>139</v>
      </c>
      <c r="B558" s="188">
        <f t="shared" si="67"/>
        <v>4.7643120506107497</v>
      </c>
      <c r="C558" s="188">
        <f t="shared" si="68"/>
        <v>10.356539318237967</v>
      </c>
      <c r="D558" s="188">
        <v>2</v>
      </c>
      <c r="E558" s="193">
        <f t="shared" si="69"/>
        <v>-7.5922272676272176</v>
      </c>
    </row>
    <row r="559" spans="1:5" ht="15.75" thickBot="1" x14ac:dyDescent="0.3">
      <c r="A559" s="187" t="s">
        <v>140</v>
      </c>
      <c r="B559" s="148">
        <f t="shared" si="67"/>
        <v>4.7643120506107497</v>
      </c>
      <c r="C559" s="148">
        <f t="shared" si="68"/>
        <v>8.7575213331384241</v>
      </c>
      <c r="D559" s="148">
        <v>2</v>
      </c>
      <c r="E559" s="206">
        <f t="shared" si="69"/>
        <v>-5.9932092825276744</v>
      </c>
    </row>
    <row r="560" spans="1:5" ht="15.75" thickTop="1" x14ac:dyDescent="0.25"/>
    <row r="562" spans="1:7" x14ac:dyDescent="0.25">
      <c r="A562" s="216" t="s">
        <v>227</v>
      </c>
      <c r="B562" s="216"/>
      <c r="C562" s="216"/>
      <c r="D562" s="216"/>
      <c r="E562" s="216"/>
      <c r="F562" s="216"/>
      <c r="G562" s="216"/>
    </row>
    <row r="563" spans="1:7" ht="15.75" thickBot="1" x14ac:dyDescent="0.3"/>
    <row r="564" spans="1:7" ht="31.5" thickTop="1" thickBot="1" x14ac:dyDescent="0.3">
      <c r="A564" s="180" t="s">
        <v>98</v>
      </c>
      <c r="B564" s="181" t="s">
        <v>152</v>
      </c>
      <c r="C564" s="181" t="s">
        <v>153</v>
      </c>
      <c r="D564" s="182" t="s">
        <v>154</v>
      </c>
      <c r="E564" s="182" t="s">
        <v>155</v>
      </c>
      <c r="F564" s="184" t="s">
        <v>176</v>
      </c>
    </row>
    <row r="565" spans="1:7" ht="15.75" thickTop="1" x14ac:dyDescent="0.25">
      <c r="A565" s="185" t="s">
        <v>7</v>
      </c>
      <c r="B565" s="188">
        <v>30.27</v>
      </c>
      <c r="C565" s="188">
        <v>11.9</v>
      </c>
      <c r="D565" s="188">
        <v>42.17</v>
      </c>
      <c r="E565" s="188">
        <v>30.27</v>
      </c>
      <c r="F565" s="193">
        <v>11.9</v>
      </c>
    </row>
    <row r="566" spans="1:7" x14ac:dyDescent="0.25">
      <c r="A566" s="186" t="s">
        <v>8</v>
      </c>
      <c r="B566" s="146">
        <v>33.46</v>
      </c>
      <c r="C566" s="146">
        <v>11.9</v>
      </c>
      <c r="D566" s="146">
        <v>45.36</v>
      </c>
      <c r="E566" s="146">
        <v>33.46</v>
      </c>
      <c r="F566" s="194">
        <v>11.9</v>
      </c>
    </row>
    <row r="567" spans="1:7" x14ac:dyDescent="0.25">
      <c r="A567" s="185" t="s">
        <v>3</v>
      </c>
      <c r="B567" s="188">
        <v>27.42</v>
      </c>
      <c r="C567" s="188">
        <v>11.9</v>
      </c>
      <c r="D567" s="188">
        <v>39.32</v>
      </c>
      <c r="E567" s="188">
        <v>27.42</v>
      </c>
      <c r="F567" s="193">
        <v>11.9</v>
      </c>
    </row>
    <row r="568" spans="1:7" x14ac:dyDescent="0.25">
      <c r="A568" s="186" t="s">
        <v>4</v>
      </c>
      <c r="B568" s="146">
        <v>36.31</v>
      </c>
      <c r="C568" s="146">
        <v>11.9</v>
      </c>
      <c r="D568" s="146">
        <v>48.21</v>
      </c>
      <c r="E568" s="146">
        <v>36.31</v>
      </c>
      <c r="F568" s="194">
        <v>11.9</v>
      </c>
    </row>
    <row r="569" spans="1:7" ht="15.75" thickBot="1" x14ac:dyDescent="0.3">
      <c r="A569" s="195" t="s">
        <v>5</v>
      </c>
      <c r="B569" s="138">
        <v>46.120000000000005</v>
      </c>
      <c r="C569" s="138">
        <v>11.9</v>
      </c>
      <c r="D569" s="138">
        <v>58.02</v>
      </c>
      <c r="E569" s="138">
        <v>46.120000000000005</v>
      </c>
      <c r="F569" s="196">
        <v>11.9</v>
      </c>
    </row>
    <row r="570" spans="1:7" ht="16.5" thickTop="1" thickBot="1" x14ac:dyDescent="0.3"/>
    <row r="571" spans="1:7" ht="16.5" thickTop="1" thickBot="1" x14ac:dyDescent="0.3">
      <c r="A571" s="214" t="s">
        <v>167</v>
      </c>
      <c r="B571" s="217" t="s">
        <v>168</v>
      </c>
      <c r="C571" s="217" t="s">
        <v>169</v>
      </c>
      <c r="D571" s="217" t="s">
        <v>205</v>
      </c>
      <c r="E571" s="217" t="s">
        <v>170</v>
      </c>
      <c r="F571" s="219" t="s">
        <v>187</v>
      </c>
    </row>
    <row r="572" spans="1:7" ht="16.5" thickTop="1" thickBot="1" x14ac:dyDescent="0.3">
      <c r="A572" s="215"/>
      <c r="B572" s="218"/>
      <c r="C572" s="218"/>
      <c r="D572" s="218"/>
      <c r="E572" s="218"/>
      <c r="F572" s="220"/>
    </row>
    <row r="573" spans="1:7" ht="15.75" thickTop="1" x14ac:dyDescent="0.25">
      <c r="A573" s="158" t="s">
        <v>180</v>
      </c>
      <c r="B573" s="50">
        <f>$E565</f>
        <v>30.27</v>
      </c>
      <c r="C573" s="50">
        <f t="shared" ref="C573:C581" si="70">10^($B573/10)</f>
        <v>1064.1430182243171</v>
      </c>
      <c r="D573" s="50">
        <f t="shared" ref="D573:D581" si="71">$E$294/2*($C573-1)*$E$295*$E$296*10^12</f>
        <v>3.3777720265653801E-16</v>
      </c>
      <c r="E573" s="50">
        <f t="shared" ref="E573:E581" si="72">D573*$E$297*10^9*2</f>
        <v>5.0666580398480699E-5</v>
      </c>
      <c r="F573" s="60">
        <f>E573</f>
        <v>5.0666580398480699E-5</v>
      </c>
    </row>
    <row r="574" spans="1:7" x14ac:dyDescent="0.25">
      <c r="A574" s="254" t="s">
        <v>183</v>
      </c>
      <c r="B574" s="146">
        <f>($E$566+2*0.4)/2</f>
        <v>17.13</v>
      </c>
      <c r="C574" s="146">
        <f t="shared" si="70"/>
        <v>51.641636927207095</v>
      </c>
      <c r="D574" s="146">
        <f t="shared" si="71"/>
        <v>1.6089641907059837E-17</v>
      </c>
      <c r="E574" s="190">
        <f t="shared" si="72"/>
        <v>2.4134462860589755E-6</v>
      </c>
      <c r="F574" s="147">
        <f>SUM(E574:E575)</f>
        <v>4.8268925721179511E-6</v>
      </c>
    </row>
    <row r="575" spans="1:7" x14ac:dyDescent="0.25">
      <c r="A575" s="253" t="s">
        <v>181</v>
      </c>
      <c r="B575" s="188">
        <f>($E$566+2*0.4)/2</f>
        <v>17.13</v>
      </c>
      <c r="C575" s="188">
        <f t="shared" si="70"/>
        <v>51.641636927207095</v>
      </c>
      <c r="D575" s="188">
        <f t="shared" si="71"/>
        <v>1.6089641907059837E-17</v>
      </c>
      <c r="E575" s="189">
        <f t="shared" si="72"/>
        <v>2.4134462860589755E-6</v>
      </c>
      <c r="F575" s="199">
        <f>SUM(E574:E575)</f>
        <v>4.8268925721179511E-6</v>
      </c>
    </row>
    <row r="576" spans="1:7" x14ac:dyDescent="0.25">
      <c r="A576" s="254" t="s">
        <v>224</v>
      </c>
      <c r="B576" s="146">
        <f>$E$567</f>
        <v>27.42</v>
      </c>
      <c r="C576" s="146">
        <f t="shared" si="70"/>
        <v>552.07743928075786</v>
      </c>
      <c r="D576" s="146">
        <f t="shared" si="71"/>
        <v>1.7508594111663327E-16</v>
      </c>
      <c r="E576" s="190">
        <f t="shared" si="72"/>
        <v>2.626289116749499E-5</v>
      </c>
      <c r="F576" s="147">
        <f>E576</f>
        <v>2.626289116749499E-5</v>
      </c>
    </row>
    <row r="577" spans="1:6" x14ac:dyDescent="0.25">
      <c r="A577" s="253" t="s">
        <v>186</v>
      </c>
      <c r="B577" s="188">
        <f>($B$568+2*0.4)/2</f>
        <v>18.555</v>
      </c>
      <c r="C577" s="188">
        <f t="shared" si="70"/>
        <v>71.69683755804202</v>
      </c>
      <c r="D577" s="188">
        <f t="shared" si="71"/>
        <v>2.246149353160744E-17</v>
      </c>
      <c r="E577" s="189">
        <f t="shared" si="72"/>
        <v>3.3692240297411158E-6</v>
      </c>
      <c r="F577" s="199">
        <f>SUM(E577:E578)</f>
        <v>6.7384480594822316E-6</v>
      </c>
    </row>
    <row r="578" spans="1:6" x14ac:dyDescent="0.25">
      <c r="A578" s="254" t="s">
        <v>178</v>
      </c>
      <c r="B578" s="146">
        <f>($B$568+2*0.4)/2</f>
        <v>18.555</v>
      </c>
      <c r="C578" s="146">
        <f t="shared" si="70"/>
        <v>71.69683755804202</v>
      </c>
      <c r="D578" s="146">
        <f t="shared" si="71"/>
        <v>2.246149353160744E-17</v>
      </c>
      <c r="E578" s="190">
        <f t="shared" si="72"/>
        <v>3.3692240297411158E-6</v>
      </c>
      <c r="F578" s="147">
        <f>SUM(E577:E578)</f>
        <v>6.7384480594822316E-6</v>
      </c>
    </row>
    <row r="579" spans="1:6" x14ac:dyDescent="0.25">
      <c r="A579" s="253" t="s">
        <v>185</v>
      </c>
      <c r="B579" s="188">
        <f>($B$569+2*0.4)/2</f>
        <v>23.46</v>
      </c>
      <c r="C579" s="188">
        <f t="shared" si="70"/>
        <v>221.819641980022</v>
      </c>
      <c r="D579" s="188">
        <f t="shared" si="71"/>
        <v>7.0157861812616873E-17</v>
      </c>
      <c r="E579" s="189">
        <f t="shared" si="72"/>
        <v>1.0523679271892531E-5</v>
      </c>
      <c r="F579" s="199">
        <f>SUM(E579:E580)</f>
        <v>2.1047358543785062E-5</v>
      </c>
    </row>
    <row r="580" spans="1:6" x14ac:dyDescent="0.25">
      <c r="A580" s="254" t="s">
        <v>179</v>
      </c>
      <c r="B580" s="146">
        <f>($B$569+2*0.4)/2</f>
        <v>23.46</v>
      </c>
      <c r="C580" s="146">
        <f t="shared" si="70"/>
        <v>221.819641980022</v>
      </c>
      <c r="D580" s="146">
        <f t="shared" si="71"/>
        <v>7.0157861812616873E-17</v>
      </c>
      <c r="E580" s="190">
        <f t="shared" si="72"/>
        <v>1.0523679271892531E-5</v>
      </c>
      <c r="F580" s="147">
        <f>SUM(E579:E580)</f>
        <v>2.1047358543785062E-5</v>
      </c>
    </row>
    <row r="581" spans="1:6" ht="15.75" thickBot="1" x14ac:dyDescent="0.3">
      <c r="A581" s="195" t="s">
        <v>177</v>
      </c>
      <c r="B581" s="138">
        <v>11.9</v>
      </c>
      <c r="C581" s="138">
        <f t="shared" si="70"/>
        <v>15.488166189124817</v>
      </c>
      <c r="D581" s="138">
        <f t="shared" si="71"/>
        <v>4.6031175139157595E-18</v>
      </c>
      <c r="E581" s="207">
        <f t="shared" si="72"/>
        <v>6.9046762708736391E-7</v>
      </c>
      <c r="F581" s="140">
        <f>E581</f>
        <v>6.9046762708736391E-7</v>
      </c>
    </row>
    <row r="582" spans="1:6" ht="16.5" thickTop="1" thickBot="1" x14ac:dyDescent="0.3"/>
    <row r="583" spans="1:6" ht="16.5" thickTop="1" thickBot="1" x14ac:dyDescent="0.3">
      <c r="A583" s="197" t="s">
        <v>171</v>
      </c>
      <c r="B583" s="139">
        <f>10*LOG10(SUM(E573:E581))+30</f>
        <v>-9.5768979781956176</v>
      </c>
    </row>
    <row r="584" spans="1:6" ht="16.5" thickTop="1" thickBot="1" x14ac:dyDescent="0.3">
      <c r="A584" s="205" t="s">
        <v>174</v>
      </c>
      <c r="B584" s="149">
        <f>$B$300-B583</f>
        <v>7.5855050613533539</v>
      </c>
    </row>
    <row r="585" spans="1:6" ht="16.5" thickTop="1" thickBot="1" x14ac:dyDescent="0.3"/>
    <row r="586" spans="1:6" ht="20.25" thickTop="1" thickBot="1" x14ac:dyDescent="0.4">
      <c r="A586" s="15" t="s">
        <v>121</v>
      </c>
      <c r="B586" s="150" t="s">
        <v>172</v>
      </c>
      <c r="C586" s="13" t="s">
        <v>206</v>
      </c>
      <c r="D586" s="156" t="s">
        <v>116</v>
      </c>
      <c r="E586" s="204" t="s">
        <v>207</v>
      </c>
      <c r="F586" s="37" t="s">
        <v>173</v>
      </c>
    </row>
    <row r="587" spans="1:6" ht="15.75" thickTop="1" x14ac:dyDescent="0.25">
      <c r="A587" s="185" t="s">
        <v>122</v>
      </c>
      <c r="B587" s="188">
        <f>1/$F$241</f>
        <v>0.14125375446227542</v>
      </c>
      <c r="C587" s="188">
        <f t="shared" ref="C587:C606" si="73">$E$247^2</f>
        <v>40.896024999999995</v>
      </c>
      <c r="D587" s="188">
        <f>$H$247*10^9</f>
        <v>10261721529.770309</v>
      </c>
      <c r="E587" s="189">
        <f t="shared" ref="E587:E606" si="74">$E$297*10^9</f>
        <v>75000000000</v>
      </c>
      <c r="F587" s="199">
        <f t="shared" ref="F587:F606" si="75">10*LOG10($C587*$D587/$E587*((1+$B587)/(1-$B587))^2*(1+SQRT(4*$B587/(1+$B587)^2+((1-$B587)/(1+$B587))^2*$E587/($C587*$D587))))</f>
        <v>12.332802934605487</v>
      </c>
    </row>
    <row r="588" spans="1:6" x14ac:dyDescent="0.25">
      <c r="A588" s="186" t="s">
        <v>123</v>
      </c>
      <c r="B588" s="146">
        <f>1/$F$241</f>
        <v>0.14125375446227542</v>
      </c>
      <c r="C588" s="146">
        <f t="shared" si="73"/>
        <v>40.896024999999995</v>
      </c>
      <c r="D588" s="146">
        <f>$H$248*10^9</f>
        <v>12199688861.556623</v>
      </c>
      <c r="E588" s="190">
        <f t="shared" si="74"/>
        <v>75000000000</v>
      </c>
      <c r="F588" s="147">
        <f t="shared" si="75"/>
        <v>13.056227698331453</v>
      </c>
    </row>
    <row r="589" spans="1:6" x14ac:dyDescent="0.25">
      <c r="A589" s="185" t="s">
        <v>124</v>
      </c>
      <c r="B589" s="188">
        <f>1/$F$241</f>
        <v>0.14125375446227542</v>
      </c>
      <c r="C589" s="188">
        <f t="shared" si="73"/>
        <v>40.896024999999995</v>
      </c>
      <c r="D589" s="188">
        <f>$H$249*10^9</f>
        <v>8133125907.7044163</v>
      </c>
      <c r="E589" s="189">
        <f t="shared" si="74"/>
        <v>75000000000</v>
      </c>
      <c r="F589" s="199">
        <f t="shared" si="75"/>
        <v>11.367805426722764</v>
      </c>
    </row>
    <row r="590" spans="1:6" x14ac:dyDescent="0.25">
      <c r="A590" s="186" t="s">
        <v>125</v>
      </c>
      <c r="B590" s="146">
        <f>1/$F$241</f>
        <v>0.14125375446227542</v>
      </c>
      <c r="C590" s="146">
        <f t="shared" si="73"/>
        <v>40.896024999999995</v>
      </c>
      <c r="D590" s="146">
        <f>$H$250*10^9</f>
        <v>9996486610.8563232</v>
      </c>
      <c r="E590" s="190">
        <f t="shared" si="74"/>
        <v>75000000000</v>
      </c>
      <c r="F590" s="147">
        <f t="shared" si="75"/>
        <v>12.223669824807626</v>
      </c>
    </row>
    <row r="591" spans="1:6" x14ac:dyDescent="0.25">
      <c r="A591" s="185" t="s">
        <v>126</v>
      </c>
      <c r="B591" s="188">
        <f>1/$F$241</f>
        <v>0.14125375446227542</v>
      </c>
      <c r="C591" s="188">
        <f t="shared" si="73"/>
        <v>40.896024999999995</v>
      </c>
      <c r="D591" s="188">
        <f>$H$251*10^9</f>
        <v>6670118994.3507013</v>
      </c>
      <c r="E591" s="189">
        <f t="shared" si="74"/>
        <v>75000000000</v>
      </c>
      <c r="F591" s="199">
        <f t="shared" si="75"/>
        <v>10.552151443358353</v>
      </c>
    </row>
    <row r="592" spans="1:6" x14ac:dyDescent="0.25">
      <c r="A592" s="186" t="s">
        <v>127</v>
      </c>
      <c r="B592" s="146">
        <f>1/$F$242</f>
        <v>0.11220184543019632</v>
      </c>
      <c r="C592" s="146">
        <f t="shared" si="73"/>
        <v>40.896024999999995</v>
      </c>
      <c r="D592" s="146">
        <f>$H$247*10^9</f>
        <v>10261721529.770309</v>
      </c>
      <c r="E592" s="190">
        <f t="shared" si="74"/>
        <v>75000000000</v>
      </c>
      <c r="F592" s="147">
        <f t="shared" si="75"/>
        <v>11.715761507874568</v>
      </c>
    </row>
    <row r="593" spans="1:6" x14ac:dyDescent="0.25">
      <c r="A593" s="185" t="s">
        <v>128</v>
      </c>
      <c r="B593" s="188">
        <f>1/$F$242</f>
        <v>0.11220184543019632</v>
      </c>
      <c r="C593" s="188">
        <f t="shared" si="73"/>
        <v>40.896024999999995</v>
      </c>
      <c r="D593" s="188">
        <f>$H$248*10^9</f>
        <v>12199688861.556623</v>
      </c>
      <c r="E593" s="189">
        <f t="shared" si="74"/>
        <v>75000000000</v>
      </c>
      <c r="F593" s="199">
        <f t="shared" si="75"/>
        <v>12.432932194046204</v>
      </c>
    </row>
    <row r="594" spans="1:6" x14ac:dyDescent="0.25">
      <c r="A594" s="186" t="s">
        <v>141</v>
      </c>
      <c r="B594" s="146">
        <f>1/$F$242</f>
        <v>0.11220184543019632</v>
      </c>
      <c r="C594" s="146">
        <f t="shared" si="73"/>
        <v>40.896024999999995</v>
      </c>
      <c r="D594" s="146">
        <f>$H$249*10^9</f>
        <v>8133125907.7044163</v>
      </c>
      <c r="E594" s="190">
        <f t="shared" si="74"/>
        <v>75000000000</v>
      </c>
      <c r="F594" s="147">
        <f t="shared" si="75"/>
        <v>10.760402163960816</v>
      </c>
    </row>
    <row r="595" spans="1:6" x14ac:dyDescent="0.25">
      <c r="A595" s="185" t="s">
        <v>129</v>
      </c>
      <c r="B595" s="188">
        <f>1/$F$242</f>
        <v>0.11220184543019632</v>
      </c>
      <c r="C595" s="188">
        <f t="shared" si="73"/>
        <v>40.896024999999995</v>
      </c>
      <c r="D595" s="188">
        <f>$H$250*10^9</f>
        <v>9996486610.8563232</v>
      </c>
      <c r="E595" s="189">
        <f t="shared" si="74"/>
        <v>75000000000</v>
      </c>
      <c r="F595" s="199">
        <f t="shared" si="75"/>
        <v>11.607642001058458</v>
      </c>
    </row>
    <row r="596" spans="1:6" x14ac:dyDescent="0.25">
      <c r="A596" s="186" t="s">
        <v>130</v>
      </c>
      <c r="B596" s="146">
        <f>1/$F$242</f>
        <v>0.11220184543019632</v>
      </c>
      <c r="C596" s="146">
        <f t="shared" si="73"/>
        <v>40.896024999999995</v>
      </c>
      <c r="D596" s="146">
        <f>$H$251*10^9</f>
        <v>6670118994.3507013</v>
      </c>
      <c r="E596" s="190">
        <f t="shared" si="74"/>
        <v>75000000000</v>
      </c>
      <c r="F596" s="147">
        <f t="shared" si="75"/>
        <v>9.9541403621797269</v>
      </c>
    </row>
    <row r="597" spans="1:6" x14ac:dyDescent="0.25">
      <c r="A597" s="185" t="s">
        <v>131</v>
      </c>
      <c r="B597" s="188">
        <f>1/$F$243</f>
        <v>8.9125093813374537E-2</v>
      </c>
      <c r="C597" s="188">
        <f t="shared" si="73"/>
        <v>40.896024999999995</v>
      </c>
      <c r="D597" s="188">
        <f>$H$247*10^9</f>
        <v>10261721529.770309</v>
      </c>
      <c r="E597" s="189">
        <f t="shared" si="74"/>
        <v>75000000000</v>
      </c>
      <c r="F597" s="199">
        <f t="shared" si="75"/>
        <v>11.211770155680043</v>
      </c>
    </row>
    <row r="598" spans="1:6" x14ac:dyDescent="0.25">
      <c r="A598" s="186" t="s">
        <v>132</v>
      </c>
      <c r="B598" s="146">
        <f>1/$F$243</f>
        <v>8.9125093813374537E-2</v>
      </c>
      <c r="C598" s="146">
        <f t="shared" si="73"/>
        <v>40.896024999999995</v>
      </c>
      <c r="D598" s="146">
        <f>$H$248*10^9</f>
        <v>12199688861.556623</v>
      </c>
      <c r="E598" s="190">
        <f t="shared" si="74"/>
        <v>75000000000</v>
      </c>
      <c r="F598" s="147">
        <f t="shared" si="75"/>
        <v>11.922383809762609</v>
      </c>
    </row>
    <row r="599" spans="1:6" x14ac:dyDescent="0.25">
      <c r="A599" s="185" t="s">
        <v>133</v>
      </c>
      <c r="B599" s="188">
        <f>1/$F$243</f>
        <v>8.9125093813374537E-2</v>
      </c>
      <c r="C599" s="188">
        <f t="shared" si="73"/>
        <v>40.896024999999995</v>
      </c>
      <c r="D599" s="188">
        <f>$H$249*10^9</f>
        <v>8133125907.7044163</v>
      </c>
      <c r="E599" s="189">
        <f t="shared" si="74"/>
        <v>75000000000</v>
      </c>
      <c r="F599" s="199">
        <f t="shared" si="75"/>
        <v>10.266353870018234</v>
      </c>
    </row>
    <row r="600" spans="1:6" x14ac:dyDescent="0.25">
      <c r="A600" s="186" t="s">
        <v>134</v>
      </c>
      <c r="B600" s="146">
        <f>1/$F$243</f>
        <v>8.9125093813374537E-2</v>
      </c>
      <c r="C600" s="146">
        <f t="shared" si="73"/>
        <v>40.896024999999995</v>
      </c>
      <c r="D600" s="146">
        <f>$H$250*10^9</f>
        <v>9996486610.8563232</v>
      </c>
      <c r="E600" s="190">
        <f t="shared" si="74"/>
        <v>75000000000</v>
      </c>
      <c r="F600" s="147">
        <f t="shared" si="75"/>
        <v>11.104705421547935</v>
      </c>
    </row>
    <row r="601" spans="1:6" x14ac:dyDescent="0.25">
      <c r="A601" s="185" t="s">
        <v>135</v>
      </c>
      <c r="B601" s="188">
        <f>1/$F$243</f>
        <v>8.9125093813374537E-2</v>
      </c>
      <c r="C601" s="188">
        <f t="shared" si="73"/>
        <v>40.896024999999995</v>
      </c>
      <c r="D601" s="188">
        <f>$H$251*10^9</f>
        <v>6670118994.3507013</v>
      </c>
      <c r="E601" s="189">
        <f t="shared" si="74"/>
        <v>75000000000</v>
      </c>
      <c r="F601" s="199">
        <f t="shared" si="75"/>
        <v>9.46960195324165</v>
      </c>
    </row>
    <row r="602" spans="1:6" x14ac:dyDescent="0.25">
      <c r="A602" s="186" t="s">
        <v>136</v>
      </c>
      <c r="B602" s="146">
        <f>1/$F$244</f>
        <v>5.6234132519034884E-2</v>
      </c>
      <c r="C602" s="146">
        <f t="shared" si="73"/>
        <v>40.896024999999995</v>
      </c>
      <c r="D602" s="146">
        <f>$H$247*10^9</f>
        <v>10261721529.770309</v>
      </c>
      <c r="E602" s="190">
        <f t="shared" si="74"/>
        <v>75000000000</v>
      </c>
      <c r="F602" s="147">
        <f t="shared" si="75"/>
        <v>10.461471578512537</v>
      </c>
    </row>
    <row r="603" spans="1:6" x14ac:dyDescent="0.25">
      <c r="A603" s="185" t="s">
        <v>137</v>
      </c>
      <c r="B603" s="188">
        <f>1/$F$244</f>
        <v>5.6234132519034884E-2</v>
      </c>
      <c r="C603" s="188">
        <f t="shared" si="73"/>
        <v>40.896024999999995</v>
      </c>
      <c r="D603" s="188">
        <f>$H$248*10^9</f>
        <v>12199688861.556623</v>
      </c>
      <c r="E603" s="189">
        <f t="shared" si="74"/>
        <v>75000000000</v>
      </c>
      <c r="F603" s="199">
        <f t="shared" si="75"/>
        <v>11.158660751453532</v>
      </c>
    </row>
    <row r="604" spans="1:6" x14ac:dyDescent="0.25">
      <c r="A604" s="186" t="s">
        <v>138</v>
      </c>
      <c r="B604" s="146">
        <f>1/$F$244</f>
        <v>5.6234132519034884E-2</v>
      </c>
      <c r="C604" s="146">
        <f t="shared" si="73"/>
        <v>40.896024999999995</v>
      </c>
      <c r="D604" s="146">
        <f>$H$249*10^9</f>
        <v>8133125907.7044163</v>
      </c>
      <c r="E604" s="190">
        <f t="shared" si="74"/>
        <v>75000000000</v>
      </c>
      <c r="F604" s="147">
        <f t="shared" si="75"/>
        <v>9.5358752820712631</v>
      </c>
    </row>
    <row r="605" spans="1:6" x14ac:dyDescent="0.25">
      <c r="A605" s="185" t="s">
        <v>139</v>
      </c>
      <c r="B605" s="188">
        <f>1/$F$244</f>
        <v>5.6234132519034884E-2</v>
      </c>
      <c r="C605" s="188">
        <f t="shared" si="73"/>
        <v>40.896024999999995</v>
      </c>
      <c r="D605" s="188">
        <f>$H$250*10^9</f>
        <v>9996486610.8563232</v>
      </c>
      <c r="E605" s="189">
        <f t="shared" si="74"/>
        <v>75000000000</v>
      </c>
      <c r="F605" s="199">
        <f t="shared" si="75"/>
        <v>10.356539318237967</v>
      </c>
    </row>
    <row r="606" spans="1:6" ht="15.75" thickBot="1" x14ac:dyDescent="0.3">
      <c r="A606" s="187" t="s">
        <v>140</v>
      </c>
      <c r="B606" s="148">
        <f>1/$F$244</f>
        <v>5.6234132519034884E-2</v>
      </c>
      <c r="C606" s="148">
        <f t="shared" si="73"/>
        <v>40.896024999999995</v>
      </c>
      <c r="D606" s="148">
        <f>$H$251*10^9</f>
        <v>6670118994.3507013</v>
      </c>
      <c r="E606" s="191">
        <f t="shared" si="74"/>
        <v>75000000000</v>
      </c>
      <c r="F606" s="149">
        <f t="shared" si="75"/>
        <v>8.7575213331384241</v>
      </c>
    </row>
    <row r="607" spans="1:6" ht="16.5" thickTop="1" thickBot="1" x14ac:dyDescent="0.3"/>
    <row r="608" spans="1:6" ht="16.5" thickTop="1" thickBot="1" x14ac:dyDescent="0.3">
      <c r="A608" s="197" t="s">
        <v>121</v>
      </c>
      <c r="B608" s="204" t="s">
        <v>174</v>
      </c>
      <c r="C608" s="13" t="s">
        <v>173</v>
      </c>
      <c r="D608" s="150" t="s">
        <v>175</v>
      </c>
      <c r="E608" s="37" t="s">
        <v>146</v>
      </c>
    </row>
    <row r="609" spans="1:5" ht="15.75" thickTop="1" x14ac:dyDescent="0.25">
      <c r="A609" s="185" t="s">
        <v>122</v>
      </c>
      <c r="B609" s="188">
        <f t="shared" ref="B609:B628" si="76">$B$584</f>
        <v>7.5855050613533539</v>
      </c>
      <c r="C609" s="188">
        <f t="shared" ref="C609:C628" si="77">F587</f>
        <v>12.332802934605487</v>
      </c>
      <c r="D609" s="188">
        <v>2</v>
      </c>
      <c r="E609" s="193">
        <f t="shared" ref="E609:E628" si="78">$B609-$C609-$D609</f>
        <v>-6.7472978732521334</v>
      </c>
    </row>
    <row r="610" spans="1:5" x14ac:dyDescent="0.25">
      <c r="A610" s="186" t="s">
        <v>123</v>
      </c>
      <c r="B610" s="146">
        <f t="shared" si="76"/>
        <v>7.5855050613533539</v>
      </c>
      <c r="C610" s="146">
        <f t="shared" si="77"/>
        <v>13.056227698331453</v>
      </c>
      <c r="D610" s="146">
        <v>2</v>
      </c>
      <c r="E610" s="194">
        <f t="shared" si="78"/>
        <v>-7.470722636978099</v>
      </c>
    </row>
    <row r="611" spans="1:5" x14ac:dyDescent="0.25">
      <c r="A611" s="185" t="s">
        <v>124</v>
      </c>
      <c r="B611" s="188">
        <f t="shared" si="76"/>
        <v>7.5855050613533539</v>
      </c>
      <c r="C611" s="188">
        <f t="shared" si="77"/>
        <v>11.367805426722764</v>
      </c>
      <c r="D611" s="188">
        <v>2</v>
      </c>
      <c r="E611" s="193">
        <f t="shared" si="78"/>
        <v>-5.7823003653694105</v>
      </c>
    </row>
    <row r="612" spans="1:5" x14ac:dyDescent="0.25">
      <c r="A612" s="186" t="s">
        <v>125</v>
      </c>
      <c r="B612" s="146">
        <f t="shared" si="76"/>
        <v>7.5855050613533539</v>
      </c>
      <c r="C612" s="146">
        <f t="shared" si="77"/>
        <v>12.223669824807626</v>
      </c>
      <c r="D612" s="146">
        <v>2</v>
      </c>
      <c r="E612" s="194">
        <f t="shared" si="78"/>
        <v>-6.638164763454272</v>
      </c>
    </row>
    <row r="613" spans="1:5" x14ac:dyDescent="0.25">
      <c r="A613" s="185" t="s">
        <v>126</v>
      </c>
      <c r="B613" s="188">
        <f t="shared" si="76"/>
        <v>7.5855050613533539</v>
      </c>
      <c r="C613" s="188">
        <f t="shared" si="77"/>
        <v>10.552151443358353</v>
      </c>
      <c r="D613" s="188">
        <v>2</v>
      </c>
      <c r="E613" s="193">
        <f t="shared" si="78"/>
        <v>-4.9666463820049991</v>
      </c>
    </row>
    <row r="614" spans="1:5" x14ac:dyDescent="0.25">
      <c r="A614" s="186" t="s">
        <v>127</v>
      </c>
      <c r="B614" s="146">
        <f t="shared" si="76"/>
        <v>7.5855050613533539</v>
      </c>
      <c r="C614" s="146">
        <f t="shared" si="77"/>
        <v>11.715761507874568</v>
      </c>
      <c r="D614" s="146">
        <v>2</v>
      </c>
      <c r="E614" s="194">
        <f t="shared" si="78"/>
        <v>-6.1302564465212139</v>
      </c>
    </row>
    <row r="615" spans="1:5" x14ac:dyDescent="0.25">
      <c r="A615" s="185" t="s">
        <v>128</v>
      </c>
      <c r="B615" s="188">
        <f t="shared" si="76"/>
        <v>7.5855050613533539</v>
      </c>
      <c r="C615" s="188">
        <f t="shared" si="77"/>
        <v>12.432932194046204</v>
      </c>
      <c r="D615" s="188">
        <v>2</v>
      </c>
      <c r="E615" s="193">
        <f t="shared" si="78"/>
        <v>-6.8474271326928502</v>
      </c>
    </row>
    <row r="616" spans="1:5" x14ac:dyDescent="0.25">
      <c r="A616" s="186" t="s">
        <v>141</v>
      </c>
      <c r="B616" s="146">
        <f t="shared" si="76"/>
        <v>7.5855050613533539</v>
      </c>
      <c r="C616" s="146">
        <f t="shared" si="77"/>
        <v>10.760402163960816</v>
      </c>
      <c r="D616" s="146">
        <v>2</v>
      </c>
      <c r="E616" s="194">
        <f t="shared" si="78"/>
        <v>-5.1748971026074617</v>
      </c>
    </row>
    <row r="617" spans="1:5" x14ac:dyDescent="0.25">
      <c r="A617" s="185" t="s">
        <v>129</v>
      </c>
      <c r="B617" s="188">
        <f t="shared" si="76"/>
        <v>7.5855050613533539</v>
      </c>
      <c r="C617" s="188">
        <f t="shared" si="77"/>
        <v>11.607642001058458</v>
      </c>
      <c r="D617" s="188">
        <v>2</v>
      </c>
      <c r="E617" s="193">
        <f t="shared" si="78"/>
        <v>-6.0221369397051046</v>
      </c>
    </row>
    <row r="618" spans="1:5" x14ac:dyDescent="0.25">
      <c r="A618" s="186" t="s">
        <v>130</v>
      </c>
      <c r="B618" s="146">
        <f t="shared" si="76"/>
        <v>7.5855050613533539</v>
      </c>
      <c r="C618" s="146">
        <f t="shared" si="77"/>
        <v>9.9541403621797269</v>
      </c>
      <c r="D618" s="146">
        <v>2</v>
      </c>
      <c r="E618" s="194">
        <f t="shared" si="78"/>
        <v>-4.368635300826373</v>
      </c>
    </row>
    <row r="619" spans="1:5" x14ac:dyDescent="0.25">
      <c r="A619" s="185" t="s">
        <v>131</v>
      </c>
      <c r="B619" s="188">
        <f t="shared" si="76"/>
        <v>7.5855050613533539</v>
      </c>
      <c r="C619" s="188">
        <f t="shared" si="77"/>
        <v>11.211770155680043</v>
      </c>
      <c r="D619" s="188">
        <v>2</v>
      </c>
      <c r="E619" s="193">
        <f t="shared" si="78"/>
        <v>-5.6262650943266888</v>
      </c>
    </row>
    <row r="620" spans="1:5" x14ac:dyDescent="0.25">
      <c r="A620" s="186" t="s">
        <v>132</v>
      </c>
      <c r="B620" s="146">
        <f t="shared" si="76"/>
        <v>7.5855050613533539</v>
      </c>
      <c r="C620" s="146">
        <f t="shared" si="77"/>
        <v>11.922383809762609</v>
      </c>
      <c r="D620" s="146">
        <v>2</v>
      </c>
      <c r="E620" s="194">
        <f t="shared" si="78"/>
        <v>-6.336878748409255</v>
      </c>
    </row>
    <row r="621" spans="1:5" x14ac:dyDescent="0.25">
      <c r="A621" s="185" t="s">
        <v>133</v>
      </c>
      <c r="B621" s="188">
        <f t="shared" si="76"/>
        <v>7.5855050613533539</v>
      </c>
      <c r="C621" s="188">
        <f t="shared" si="77"/>
        <v>10.266353870018234</v>
      </c>
      <c r="D621" s="188">
        <v>2</v>
      </c>
      <c r="E621" s="193">
        <f t="shared" si="78"/>
        <v>-4.6808488086648801</v>
      </c>
    </row>
    <row r="622" spans="1:5" x14ac:dyDescent="0.25">
      <c r="A622" s="186" t="s">
        <v>134</v>
      </c>
      <c r="B622" s="146">
        <f t="shared" si="76"/>
        <v>7.5855050613533539</v>
      </c>
      <c r="C622" s="146">
        <f t="shared" si="77"/>
        <v>11.104705421547935</v>
      </c>
      <c r="D622" s="146">
        <v>2</v>
      </c>
      <c r="E622" s="194">
        <f t="shared" si="78"/>
        <v>-5.5192003601945814</v>
      </c>
    </row>
    <row r="623" spans="1:5" x14ac:dyDescent="0.25">
      <c r="A623" s="185" t="s">
        <v>135</v>
      </c>
      <c r="B623" s="188">
        <f t="shared" si="76"/>
        <v>7.5855050613533539</v>
      </c>
      <c r="C623" s="188">
        <f t="shared" si="77"/>
        <v>9.46960195324165</v>
      </c>
      <c r="D623" s="188">
        <v>2</v>
      </c>
      <c r="E623" s="193">
        <f t="shared" si="78"/>
        <v>-3.8840968918882961</v>
      </c>
    </row>
    <row r="624" spans="1:5" x14ac:dyDescent="0.25">
      <c r="A624" s="186" t="s">
        <v>136</v>
      </c>
      <c r="B624" s="146">
        <f t="shared" si="76"/>
        <v>7.5855050613533539</v>
      </c>
      <c r="C624" s="146">
        <f t="shared" si="77"/>
        <v>10.461471578512537</v>
      </c>
      <c r="D624" s="146">
        <v>2</v>
      </c>
      <c r="E624" s="194">
        <f t="shared" si="78"/>
        <v>-4.8759665171591831</v>
      </c>
    </row>
    <row r="625" spans="1:7" x14ac:dyDescent="0.25">
      <c r="A625" s="185" t="s">
        <v>137</v>
      </c>
      <c r="B625" s="188">
        <f t="shared" si="76"/>
        <v>7.5855050613533539</v>
      </c>
      <c r="C625" s="188">
        <f t="shared" si="77"/>
        <v>11.158660751453532</v>
      </c>
      <c r="D625" s="188">
        <v>2</v>
      </c>
      <c r="E625" s="193">
        <f t="shared" si="78"/>
        <v>-5.5731556901001778</v>
      </c>
    </row>
    <row r="626" spans="1:7" x14ac:dyDescent="0.25">
      <c r="A626" s="186" t="s">
        <v>138</v>
      </c>
      <c r="B626" s="146">
        <f t="shared" si="76"/>
        <v>7.5855050613533539</v>
      </c>
      <c r="C626" s="146">
        <f t="shared" si="77"/>
        <v>9.5358752820712631</v>
      </c>
      <c r="D626" s="146">
        <v>2</v>
      </c>
      <c r="E626" s="194">
        <f t="shared" si="78"/>
        <v>-3.9503702207179092</v>
      </c>
    </row>
    <row r="627" spans="1:7" ht="15" customHeight="1" x14ac:dyDescent="0.25">
      <c r="A627" s="185" t="s">
        <v>139</v>
      </c>
      <c r="B627" s="188">
        <f t="shared" si="76"/>
        <v>7.5855050613533539</v>
      </c>
      <c r="C627" s="188">
        <f t="shared" si="77"/>
        <v>10.356539318237967</v>
      </c>
      <c r="D627" s="188">
        <v>2</v>
      </c>
      <c r="E627" s="193">
        <f t="shared" si="78"/>
        <v>-4.7710342568846134</v>
      </c>
    </row>
    <row r="628" spans="1:7" ht="15.75" thickBot="1" x14ac:dyDescent="0.3">
      <c r="A628" s="187" t="s">
        <v>140</v>
      </c>
      <c r="B628" s="148">
        <f t="shared" si="76"/>
        <v>7.5855050613533539</v>
      </c>
      <c r="C628" s="148">
        <f t="shared" si="77"/>
        <v>8.7575213331384241</v>
      </c>
      <c r="D628" s="148">
        <v>2</v>
      </c>
      <c r="E628" s="206">
        <f t="shared" si="78"/>
        <v>-3.1720162717850702</v>
      </c>
    </row>
    <row r="629" spans="1:7" ht="15.75" thickTop="1" x14ac:dyDescent="0.25"/>
    <row r="631" spans="1:7" x14ac:dyDescent="0.25">
      <c r="A631" s="216" t="s">
        <v>228</v>
      </c>
      <c r="B631" s="216"/>
      <c r="C631" s="216"/>
      <c r="D631" s="216"/>
      <c r="E631" s="216"/>
      <c r="F631" s="216"/>
      <c r="G631" s="216"/>
    </row>
    <row r="632" spans="1:7" ht="15.75" thickBot="1" x14ac:dyDescent="0.3"/>
    <row r="633" spans="1:7" ht="31.5" thickTop="1" thickBot="1" x14ac:dyDescent="0.3">
      <c r="A633" s="180" t="s">
        <v>98</v>
      </c>
      <c r="B633" s="181" t="s">
        <v>152</v>
      </c>
      <c r="C633" s="181" t="s">
        <v>153</v>
      </c>
      <c r="D633" s="182" t="s">
        <v>154</v>
      </c>
      <c r="E633" s="182" t="s">
        <v>155</v>
      </c>
      <c r="F633" s="184" t="s">
        <v>176</v>
      </c>
    </row>
    <row r="634" spans="1:7" ht="15.75" thickTop="1" x14ac:dyDescent="0.25">
      <c r="A634" s="185" t="s">
        <v>7</v>
      </c>
      <c r="B634" s="188">
        <v>30.27</v>
      </c>
      <c r="C634" s="188">
        <v>11.9</v>
      </c>
      <c r="D634" s="188">
        <v>42.17</v>
      </c>
      <c r="E634" s="188">
        <v>30.27</v>
      </c>
      <c r="F634" s="193">
        <v>11.9</v>
      </c>
    </row>
    <row r="635" spans="1:7" x14ac:dyDescent="0.25">
      <c r="A635" s="186" t="s">
        <v>8</v>
      </c>
      <c r="B635" s="146">
        <v>33.46</v>
      </c>
      <c r="C635" s="146">
        <v>11.9</v>
      </c>
      <c r="D635" s="146">
        <v>45.36</v>
      </c>
      <c r="E635" s="146">
        <v>33.46</v>
      </c>
      <c r="F635" s="194">
        <v>11.9</v>
      </c>
    </row>
    <row r="636" spans="1:7" x14ac:dyDescent="0.25">
      <c r="A636" s="185" t="s">
        <v>3</v>
      </c>
      <c r="B636" s="188">
        <v>27.42</v>
      </c>
      <c r="C636" s="188">
        <v>11.9</v>
      </c>
      <c r="D636" s="188">
        <v>39.32</v>
      </c>
      <c r="E636" s="188">
        <v>27.42</v>
      </c>
      <c r="F636" s="193">
        <v>11.9</v>
      </c>
    </row>
    <row r="637" spans="1:7" x14ac:dyDescent="0.25">
      <c r="A637" s="186" t="s">
        <v>4</v>
      </c>
      <c r="B637" s="146">
        <v>36.31</v>
      </c>
      <c r="C637" s="146">
        <v>11.9</v>
      </c>
      <c r="D637" s="146">
        <v>48.21</v>
      </c>
      <c r="E637" s="146">
        <v>36.31</v>
      </c>
      <c r="F637" s="194">
        <v>11.9</v>
      </c>
    </row>
    <row r="638" spans="1:7" ht="15.75" thickBot="1" x14ac:dyDescent="0.3">
      <c r="A638" s="195" t="s">
        <v>5</v>
      </c>
      <c r="B638" s="138">
        <v>46.120000000000005</v>
      </c>
      <c r="C638" s="138">
        <v>11.9</v>
      </c>
      <c r="D638" s="138">
        <v>58.02</v>
      </c>
      <c r="E638" s="138">
        <v>46.120000000000005</v>
      </c>
      <c r="F638" s="196">
        <v>11.9</v>
      </c>
    </row>
    <row r="639" spans="1:7" ht="16.5" thickTop="1" thickBot="1" x14ac:dyDescent="0.3"/>
    <row r="640" spans="1:7" ht="16.5" thickTop="1" thickBot="1" x14ac:dyDescent="0.3">
      <c r="A640" s="214" t="s">
        <v>167</v>
      </c>
      <c r="B640" s="217" t="s">
        <v>168</v>
      </c>
      <c r="C640" s="217" t="s">
        <v>169</v>
      </c>
      <c r="D640" s="217" t="s">
        <v>205</v>
      </c>
      <c r="E640" s="217" t="s">
        <v>170</v>
      </c>
      <c r="F640" s="219" t="s">
        <v>187</v>
      </c>
    </row>
    <row r="641" spans="1:6" ht="16.5" thickTop="1" thickBot="1" x14ac:dyDescent="0.3">
      <c r="A641" s="215"/>
      <c r="B641" s="218"/>
      <c r="C641" s="218"/>
      <c r="D641" s="218"/>
      <c r="E641" s="218"/>
      <c r="F641" s="220"/>
    </row>
    <row r="642" spans="1:6" ht="15.75" thickTop="1" x14ac:dyDescent="0.25">
      <c r="A642" s="158" t="s">
        <v>184</v>
      </c>
      <c r="B642" s="50">
        <f>($E$634+2*0.4)/2</f>
        <v>15.535</v>
      </c>
      <c r="C642" s="50">
        <f t="shared" ref="C642:C651" si="79">10^($B642/10)</f>
        <v>35.768440057647553</v>
      </c>
      <c r="D642" s="50">
        <f t="shared" ref="D642:D651" si="80">$E$294/2*($C642-1)*$E$295*$E$296*10^12</f>
        <v>1.1046478434311456E-17</v>
      </c>
      <c r="E642" s="50">
        <f t="shared" ref="E642:E651" si="81">D642*$E$297*10^9*2</f>
        <v>1.6569717651467185E-6</v>
      </c>
      <c r="F642" s="60">
        <f>SUM(E642:E643)</f>
        <v>3.3139435302934371E-6</v>
      </c>
    </row>
    <row r="643" spans="1:6" x14ac:dyDescent="0.25">
      <c r="A643" s="254" t="s">
        <v>180</v>
      </c>
      <c r="B643" s="146">
        <f>($E$634+2*0.4)/2</f>
        <v>15.535</v>
      </c>
      <c r="C643" s="146">
        <f t="shared" si="79"/>
        <v>35.768440057647553</v>
      </c>
      <c r="D643" s="146">
        <f t="shared" si="80"/>
        <v>1.1046478434311456E-17</v>
      </c>
      <c r="E643" s="190">
        <f t="shared" si="81"/>
        <v>1.6569717651467185E-6</v>
      </c>
      <c r="F643" s="147">
        <f>SUM(E642:E643)</f>
        <v>3.3139435302934371E-6</v>
      </c>
    </row>
    <row r="644" spans="1:6" x14ac:dyDescent="0.25">
      <c r="A644" s="253" t="s">
        <v>183</v>
      </c>
      <c r="B644" s="188">
        <f>($E$635+2*0.4)/2</f>
        <v>17.13</v>
      </c>
      <c r="C644" s="188">
        <f t="shared" si="79"/>
        <v>51.641636927207095</v>
      </c>
      <c r="D644" s="188">
        <f t="shared" si="80"/>
        <v>1.6089641907059837E-17</v>
      </c>
      <c r="E644" s="189">
        <f t="shared" si="81"/>
        <v>2.4134462860589755E-6</v>
      </c>
      <c r="F644" s="199">
        <f>SUM(E644:E645)</f>
        <v>4.8268925721179511E-6</v>
      </c>
    </row>
    <row r="645" spans="1:6" x14ac:dyDescent="0.25">
      <c r="A645" s="254" t="s">
        <v>181</v>
      </c>
      <c r="B645" s="146">
        <f>($E$635+2*0.4)/2</f>
        <v>17.13</v>
      </c>
      <c r="C645" s="146">
        <f t="shared" si="79"/>
        <v>51.641636927207095</v>
      </c>
      <c r="D645" s="146">
        <f t="shared" si="80"/>
        <v>1.6089641907059837E-17</v>
      </c>
      <c r="E645" s="190">
        <f t="shared" si="81"/>
        <v>2.4134462860589755E-6</v>
      </c>
      <c r="F645" s="147">
        <f>SUM(E644:E645)</f>
        <v>4.8268925721179511E-6</v>
      </c>
    </row>
    <row r="646" spans="1:6" x14ac:dyDescent="0.25">
      <c r="A646" s="253" t="s">
        <v>224</v>
      </c>
      <c r="B646" s="188">
        <f>$E$567</f>
        <v>27.42</v>
      </c>
      <c r="C646" s="188">
        <f t="shared" si="79"/>
        <v>552.07743928075786</v>
      </c>
      <c r="D646" s="188">
        <f t="shared" si="80"/>
        <v>1.7508594111663327E-16</v>
      </c>
      <c r="E646" s="189">
        <f t="shared" si="81"/>
        <v>2.626289116749499E-5</v>
      </c>
      <c r="F646" s="199">
        <f>E646</f>
        <v>2.626289116749499E-5</v>
      </c>
    </row>
    <row r="647" spans="1:6" x14ac:dyDescent="0.25">
      <c r="A647" s="254" t="s">
        <v>186</v>
      </c>
      <c r="B647" s="146">
        <f>($B$637+2*0.4)/2</f>
        <v>18.555</v>
      </c>
      <c r="C647" s="146">
        <f t="shared" si="79"/>
        <v>71.69683755804202</v>
      </c>
      <c r="D647" s="146">
        <f t="shared" si="80"/>
        <v>2.246149353160744E-17</v>
      </c>
      <c r="E647" s="190">
        <f t="shared" si="81"/>
        <v>3.3692240297411158E-6</v>
      </c>
      <c r="F647" s="147">
        <f>SUM(E647:E648)</f>
        <v>6.7384480594822316E-6</v>
      </c>
    </row>
    <row r="648" spans="1:6" x14ac:dyDescent="0.25">
      <c r="A648" s="253" t="s">
        <v>178</v>
      </c>
      <c r="B648" s="188">
        <f>($B$637+2*0.4)/2</f>
        <v>18.555</v>
      </c>
      <c r="C648" s="188">
        <f t="shared" si="79"/>
        <v>71.69683755804202</v>
      </c>
      <c r="D648" s="188">
        <f t="shared" si="80"/>
        <v>2.246149353160744E-17</v>
      </c>
      <c r="E648" s="189">
        <f t="shared" si="81"/>
        <v>3.3692240297411158E-6</v>
      </c>
      <c r="F648" s="199">
        <f>SUM(E647:E648)</f>
        <v>6.7384480594822316E-6</v>
      </c>
    </row>
    <row r="649" spans="1:6" x14ac:dyDescent="0.25">
      <c r="A649" s="254" t="s">
        <v>185</v>
      </c>
      <c r="B649" s="146">
        <f>($B$638+2*0.4)/2</f>
        <v>23.46</v>
      </c>
      <c r="C649" s="146">
        <f t="shared" si="79"/>
        <v>221.819641980022</v>
      </c>
      <c r="D649" s="146">
        <f t="shared" si="80"/>
        <v>7.0157861812616873E-17</v>
      </c>
      <c r="E649" s="190">
        <f t="shared" si="81"/>
        <v>1.0523679271892531E-5</v>
      </c>
      <c r="F649" s="147">
        <f>SUM(E649:E650)</f>
        <v>2.1047358543785062E-5</v>
      </c>
    </row>
    <row r="650" spans="1:6" x14ac:dyDescent="0.25">
      <c r="A650" s="253" t="s">
        <v>179</v>
      </c>
      <c r="B650" s="188">
        <f>($B$638+2*0.4)/2</f>
        <v>23.46</v>
      </c>
      <c r="C650" s="188">
        <f t="shared" si="79"/>
        <v>221.819641980022</v>
      </c>
      <c r="D650" s="188">
        <f t="shared" si="80"/>
        <v>7.0157861812616873E-17</v>
      </c>
      <c r="E650" s="189">
        <f t="shared" si="81"/>
        <v>1.0523679271892531E-5</v>
      </c>
      <c r="F650" s="199">
        <f>SUM(E649:E650)</f>
        <v>2.1047358543785062E-5</v>
      </c>
    </row>
    <row r="651" spans="1:6" ht="15.75" thickBot="1" x14ac:dyDescent="0.3">
      <c r="A651" s="187" t="s">
        <v>177</v>
      </c>
      <c r="B651" s="148">
        <v>11.9</v>
      </c>
      <c r="C651" s="148">
        <f t="shared" si="79"/>
        <v>15.488166189124817</v>
      </c>
      <c r="D651" s="148">
        <f t="shared" si="80"/>
        <v>4.6031175139157595E-18</v>
      </c>
      <c r="E651" s="191">
        <f t="shared" si="81"/>
        <v>6.9046762708736391E-7</v>
      </c>
      <c r="F651" s="149">
        <f>E651</f>
        <v>6.9046762708736391E-7</v>
      </c>
    </row>
    <row r="652" spans="1:6" ht="16.5" thickTop="1" thickBot="1" x14ac:dyDescent="0.3"/>
    <row r="653" spans="1:6" ht="16.5" thickTop="1" thickBot="1" x14ac:dyDescent="0.3">
      <c r="A653" s="197" t="s">
        <v>171</v>
      </c>
      <c r="B653" s="139">
        <f>10*LOG10(SUM(E642:E651))+30</f>
        <v>-12.014874566067675</v>
      </c>
    </row>
    <row r="654" spans="1:6" ht="16.5" thickTop="1" thickBot="1" x14ac:dyDescent="0.3">
      <c r="A654" s="205" t="s">
        <v>174</v>
      </c>
      <c r="B654" s="149">
        <f>$B$300-B653</f>
        <v>10.023481649225412</v>
      </c>
    </row>
    <row r="655" spans="1:6" ht="16.5" thickTop="1" thickBot="1" x14ac:dyDescent="0.3"/>
    <row r="656" spans="1:6" ht="20.25" thickTop="1" thickBot="1" x14ac:dyDescent="0.4">
      <c r="A656" s="15" t="s">
        <v>121</v>
      </c>
      <c r="B656" s="150" t="s">
        <v>172</v>
      </c>
      <c r="C656" s="13" t="s">
        <v>206</v>
      </c>
      <c r="D656" s="156" t="s">
        <v>116</v>
      </c>
      <c r="E656" s="204" t="s">
        <v>207</v>
      </c>
      <c r="F656" s="37" t="s">
        <v>173</v>
      </c>
    </row>
    <row r="657" spans="1:6" ht="15.75" thickTop="1" x14ac:dyDescent="0.25">
      <c r="A657" s="185" t="s">
        <v>122</v>
      </c>
      <c r="B657" s="188">
        <f>1/$F$241</f>
        <v>0.14125375446227542</v>
      </c>
      <c r="C657" s="188">
        <f t="shared" ref="C657:C676" si="82">$E$247^2</f>
        <v>40.896024999999995</v>
      </c>
      <c r="D657" s="188">
        <f>$H$247*10^9</f>
        <v>10261721529.770309</v>
      </c>
      <c r="E657" s="189">
        <f t="shared" ref="E657:E676" si="83">$E$297*10^9</f>
        <v>75000000000</v>
      </c>
      <c r="F657" s="199">
        <f t="shared" ref="F657:F676" si="84">10*LOG10($C657*$D657/$E657*((1+$B657)/(1-$B657))^2*(1+SQRT(4*$B657/(1+$B657)^2+((1-$B657)/(1+$B657))^2*$E657/($C657*$D657))))</f>
        <v>12.332802934605487</v>
      </c>
    </row>
    <row r="658" spans="1:6" x14ac:dyDescent="0.25">
      <c r="A658" s="186" t="s">
        <v>123</v>
      </c>
      <c r="B658" s="146">
        <f>1/$F$241</f>
        <v>0.14125375446227542</v>
      </c>
      <c r="C658" s="146">
        <f t="shared" si="82"/>
        <v>40.896024999999995</v>
      </c>
      <c r="D658" s="146">
        <f>$H$248*10^9</f>
        <v>12199688861.556623</v>
      </c>
      <c r="E658" s="190">
        <f t="shared" si="83"/>
        <v>75000000000</v>
      </c>
      <c r="F658" s="147">
        <f t="shared" si="84"/>
        <v>13.056227698331453</v>
      </c>
    </row>
    <row r="659" spans="1:6" x14ac:dyDescent="0.25">
      <c r="A659" s="185" t="s">
        <v>124</v>
      </c>
      <c r="B659" s="188">
        <f>1/$F$241</f>
        <v>0.14125375446227542</v>
      </c>
      <c r="C659" s="188">
        <f t="shared" si="82"/>
        <v>40.896024999999995</v>
      </c>
      <c r="D659" s="188">
        <f>$H$249*10^9</f>
        <v>8133125907.7044163</v>
      </c>
      <c r="E659" s="189">
        <f t="shared" si="83"/>
        <v>75000000000</v>
      </c>
      <c r="F659" s="199">
        <f t="shared" si="84"/>
        <v>11.367805426722764</v>
      </c>
    </row>
    <row r="660" spans="1:6" x14ac:dyDescent="0.25">
      <c r="A660" s="186" t="s">
        <v>125</v>
      </c>
      <c r="B660" s="146">
        <f>1/$F$241</f>
        <v>0.14125375446227542</v>
      </c>
      <c r="C660" s="146">
        <f t="shared" si="82"/>
        <v>40.896024999999995</v>
      </c>
      <c r="D660" s="146">
        <f>$H$250*10^9</f>
        <v>9996486610.8563232</v>
      </c>
      <c r="E660" s="190">
        <f t="shared" si="83"/>
        <v>75000000000</v>
      </c>
      <c r="F660" s="147">
        <f t="shared" si="84"/>
        <v>12.223669824807626</v>
      </c>
    </row>
    <row r="661" spans="1:6" x14ac:dyDescent="0.25">
      <c r="A661" s="185" t="s">
        <v>126</v>
      </c>
      <c r="B661" s="188">
        <f>1/$F$241</f>
        <v>0.14125375446227542</v>
      </c>
      <c r="C661" s="188">
        <f t="shared" si="82"/>
        <v>40.896024999999995</v>
      </c>
      <c r="D661" s="188">
        <f>$H$251*10^9</f>
        <v>6670118994.3507013</v>
      </c>
      <c r="E661" s="189">
        <f t="shared" si="83"/>
        <v>75000000000</v>
      </c>
      <c r="F661" s="199">
        <f t="shared" si="84"/>
        <v>10.552151443358353</v>
      </c>
    </row>
    <row r="662" spans="1:6" x14ac:dyDescent="0.25">
      <c r="A662" s="186" t="s">
        <v>127</v>
      </c>
      <c r="B662" s="146">
        <f>1/$F$242</f>
        <v>0.11220184543019632</v>
      </c>
      <c r="C662" s="146">
        <f t="shared" si="82"/>
        <v>40.896024999999995</v>
      </c>
      <c r="D662" s="146">
        <f>$H$247*10^9</f>
        <v>10261721529.770309</v>
      </c>
      <c r="E662" s="190">
        <f t="shared" si="83"/>
        <v>75000000000</v>
      </c>
      <c r="F662" s="147">
        <f t="shared" si="84"/>
        <v>11.715761507874568</v>
      </c>
    </row>
    <row r="663" spans="1:6" x14ac:dyDescent="0.25">
      <c r="A663" s="185" t="s">
        <v>128</v>
      </c>
      <c r="B663" s="188">
        <f>1/$F$242</f>
        <v>0.11220184543019632</v>
      </c>
      <c r="C663" s="188">
        <f t="shared" si="82"/>
        <v>40.896024999999995</v>
      </c>
      <c r="D663" s="188">
        <f>$H$248*10^9</f>
        <v>12199688861.556623</v>
      </c>
      <c r="E663" s="189">
        <f t="shared" si="83"/>
        <v>75000000000</v>
      </c>
      <c r="F663" s="199">
        <f t="shared" si="84"/>
        <v>12.432932194046204</v>
      </c>
    </row>
    <row r="664" spans="1:6" x14ac:dyDescent="0.25">
      <c r="A664" s="186" t="s">
        <v>141</v>
      </c>
      <c r="B664" s="146">
        <f>1/$F$242</f>
        <v>0.11220184543019632</v>
      </c>
      <c r="C664" s="146">
        <f t="shared" si="82"/>
        <v>40.896024999999995</v>
      </c>
      <c r="D664" s="146">
        <f>$H$249*10^9</f>
        <v>8133125907.7044163</v>
      </c>
      <c r="E664" s="190">
        <f t="shared" si="83"/>
        <v>75000000000</v>
      </c>
      <c r="F664" s="147">
        <f t="shared" si="84"/>
        <v>10.760402163960816</v>
      </c>
    </row>
    <row r="665" spans="1:6" x14ac:dyDescent="0.25">
      <c r="A665" s="185" t="s">
        <v>129</v>
      </c>
      <c r="B665" s="188">
        <f>1/$F$242</f>
        <v>0.11220184543019632</v>
      </c>
      <c r="C665" s="188">
        <f t="shared" si="82"/>
        <v>40.896024999999995</v>
      </c>
      <c r="D665" s="188">
        <f>$H$250*10^9</f>
        <v>9996486610.8563232</v>
      </c>
      <c r="E665" s="189">
        <f t="shared" si="83"/>
        <v>75000000000</v>
      </c>
      <c r="F665" s="199">
        <f t="shared" si="84"/>
        <v>11.607642001058458</v>
      </c>
    </row>
    <row r="666" spans="1:6" x14ac:dyDescent="0.25">
      <c r="A666" s="186" t="s">
        <v>130</v>
      </c>
      <c r="B666" s="146">
        <f>1/$F$242</f>
        <v>0.11220184543019632</v>
      </c>
      <c r="C666" s="146">
        <f t="shared" si="82"/>
        <v>40.896024999999995</v>
      </c>
      <c r="D666" s="146">
        <f>$H$251*10^9</f>
        <v>6670118994.3507013</v>
      </c>
      <c r="E666" s="190">
        <f t="shared" si="83"/>
        <v>75000000000</v>
      </c>
      <c r="F666" s="147">
        <f t="shared" si="84"/>
        <v>9.9541403621797269</v>
      </c>
    </row>
    <row r="667" spans="1:6" x14ac:dyDescent="0.25">
      <c r="A667" s="185" t="s">
        <v>131</v>
      </c>
      <c r="B667" s="188">
        <f>1/$F$243</f>
        <v>8.9125093813374537E-2</v>
      </c>
      <c r="C667" s="188">
        <f t="shared" si="82"/>
        <v>40.896024999999995</v>
      </c>
      <c r="D667" s="188">
        <f>$H$247*10^9</f>
        <v>10261721529.770309</v>
      </c>
      <c r="E667" s="189">
        <f t="shared" si="83"/>
        <v>75000000000</v>
      </c>
      <c r="F667" s="199">
        <f t="shared" si="84"/>
        <v>11.211770155680043</v>
      </c>
    </row>
    <row r="668" spans="1:6" x14ac:dyDescent="0.25">
      <c r="A668" s="186" t="s">
        <v>132</v>
      </c>
      <c r="B668" s="146">
        <f>1/$F$243</f>
        <v>8.9125093813374537E-2</v>
      </c>
      <c r="C668" s="146">
        <f t="shared" si="82"/>
        <v>40.896024999999995</v>
      </c>
      <c r="D668" s="146">
        <f>$H$248*10^9</f>
        <v>12199688861.556623</v>
      </c>
      <c r="E668" s="190">
        <f t="shared" si="83"/>
        <v>75000000000</v>
      </c>
      <c r="F668" s="147">
        <f t="shared" si="84"/>
        <v>11.922383809762609</v>
      </c>
    </row>
    <row r="669" spans="1:6" x14ac:dyDescent="0.25">
      <c r="A669" s="185" t="s">
        <v>133</v>
      </c>
      <c r="B669" s="188">
        <f>1/$F$243</f>
        <v>8.9125093813374537E-2</v>
      </c>
      <c r="C669" s="188">
        <f t="shared" si="82"/>
        <v>40.896024999999995</v>
      </c>
      <c r="D669" s="188">
        <f>$H$249*10^9</f>
        <v>8133125907.7044163</v>
      </c>
      <c r="E669" s="189">
        <f t="shared" si="83"/>
        <v>75000000000</v>
      </c>
      <c r="F669" s="199">
        <f t="shared" si="84"/>
        <v>10.266353870018234</v>
      </c>
    </row>
    <row r="670" spans="1:6" x14ac:dyDescent="0.25">
      <c r="A670" s="186" t="s">
        <v>134</v>
      </c>
      <c r="B670" s="146">
        <f>1/$F$243</f>
        <v>8.9125093813374537E-2</v>
      </c>
      <c r="C670" s="146">
        <f t="shared" si="82"/>
        <v>40.896024999999995</v>
      </c>
      <c r="D670" s="146">
        <f>$H$250*10^9</f>
        <v>9996486610.8563232</v>
      </c>
      <c r="E670" s="190">
        <f t="shared" si="83"/>
        <v>75000000000</v>
      </c>
      <c r="F670" s="147">
        <f t="shared" si="84"/>
        <v>11.104705421547935</v>
      </c>
    </row>
    <row r="671" spans="1:6" x14ac:dyDescent="0.25">
      <c r="A671" s="185" t="s">
        <v>135</v>
      </c>
      <c r="B671" s="188">
        <f>1/$F$243</f>
        <v>8.9125093813374537E-2</v>
      </c>
      <c r="C671" s="188">
        <f t="shared" si="82"/>
        <v>40.896024999999995</v>
      </c>
      <c r="D671" s="188">
        <f>$H$251*10^9</f>
        <v>6670118994.3507013</v>
      </c>
      <c r="E671" s="189">
        <f t="shared" si="83"/>
        <v>75000000000</v>
      </c>
      <c r="F671" s="199">
        <f t="shared" si="84"/>
        <v>9.46960195324165</v>
      </c>
    </row>
    <row r="672" spans="1:6" x14ac:dyDescent="0.25">
      <c r="A672" s="186" t="s">
        <v>136</v>
      </c>
      <c r="B672" s="146">
        <f>1/$F$244</f>
        <v>5.6234132519034884E-2</v>
      </c>
      <c r="C672" s="146">
        <f t="shared" si="82"/>
        <v>40.896024999999995</v>
      </c>
      <c r="D672" s="146">
        <f>$H$247*10^9</f>
        <v>10261721529.770309</v>
      </c>
      <c r="E672" s="190">
        <f t="shared" si="83"/>
        <v>75000000000</v>
      </c>
      <c r="F672" s="147">
        <f t="shared" si="84"/>
        <v>10.461471578512537</v>
      </c>
    </row>
    <row r="673" spans="1:6" x14ac:dyDescent="0.25">
      <c r="A673" s="185" t="s">
        <v>137</v>
      </c>
      <c r="B673" s="188">
        <f>1/$F$244</f>
        <v>5.6234132519034884E-2</v>
      </c>
      <c r="C673" s="188">
        <f t="shared" si="82"/>
        <v>40.896024999999995</v>
      </c>
      <c r="D673" s="188">
        <f>$H$248*10^9</f>
        <v>12199688861.556623</v>
      </c>
      <c r="E673" s="189">
        <f t="shared" si="83"/>
        <v>75000000000</v>
      </c>
      <c r="F673" s="199">
        <f t="shared" si="84"/>
        <v>11.158660751453532</v>
      </c>
    </row>
    <row r="674" spans="1:6" x14ac:dyDescent="0.25">
      <c r="A674" s="186" t="s">
        <v>138</v>
      </c>
      <c r="B674" s="146">
        <f>1/$F$244</f>
        <v>5.6234132519034884E-2</v>
      </c>
      <c r="C674" s="146">
        <f t="shared" si="82"/>
        <v>40.896024999999995</v>
      </c>
      <c r="D674" s="146">
        <f>$H$249*10^9</f>
        <v>8133125907.7044163</v>
      </c>
      <c r="E674" s="190">
        <f t="shared" si="83"/>
        <v>75000000000</v>
      </c>
      <c r="F674" s="147">
        <f t="shared" si="84"/>
        <v>9.5358752820712631</v>
      </c>
    </row>
    <row r="675" spans="1:6" x14ac:dyDescent="0.25">
      <c r="A675" s="185" t="s">
        <v>139</v>
      </c>
      <c r="B675" s="188">
        <f>1/$F$244</f>
        <v>5.6234132519034884E-2</v>
      </c>
      <c r="C675" s="188">
        <f t="shared" si="82"/>
        <v>40.896024999999995</v>
      </c>
      <c r="D675" s="188">
        <f>$H$250*10^9</f>
        <v>9996486610.8563232</v>
      </c>
      <c r="E675" s="189">
        <f t="shared" si="83"/>
        <v>75000000000</v>
      </c>
      <c r="F675" s="199">
        <f t="shared" si="84"/>
        <v>10.356539318237967</v>
      </c>
    </row>
    <row r="676" spans="1:6" ht="15.75" thickBot="1" x14ac:dyDescent="0.3">
      <c r="A676" s="187" t="s">
        <v>140</v>
      </c>
      <c r="B676" s="148">
        <f>1/$F$244</f>
        <v>5.6234132519034884E-2</v>
      </c>
      <c r="C676" s="148">
        <f t="shared" si="82"/>
        <v>40.896024999999995</v>
      </c>
      <c r="D676" s="148">
        <f>$H$251*10^9</f>
        <v>6670118994.3507013</v>
      </c>
      <c r="E676" s="191">
        <f t="shared" si="83"/>
        <v>75000000000</v>
      </c>
      <c r="F676" s="149">
        <f t="shared" si="84"/>
        <v>8.7575213331384241</v>
      </c>
    </row>
    <row r="677" spans="1:6" ht="16.5" thickTop="1" thickBot="1" x14ac:dyDescent="0.3"/>
    <row r="678" spans="1:6" ht="16.5" thickTop="1" thickBot="1" x14ac:dyDescent="0.3">
      <c r="A678" s="197" t="s">
        <v>121</v>
      </c>
      <c r="B678" s="204" t="s">
        <v>174</v>
      </c>
      <c r="C678" s="13" t="s">
        <v>173</v>
      </c>
      <c r="D678" s="150" t="s">
        <v>175</v>
      </c>
      <c r="E678" s="37" t="s">
        <v>146</v>
      </c>
    </row>
    <row r="679" spans="1:6" ht="15.75" thickTop="1" x14ac:dyDescent="0.25">
      <c r="A679" s="185" t="s">
        <v>122</v>
      </c>
      <c r="B679" s="188">
        <f t="shared" ref="B679:B698" si="85">$B$654</f>
        <v>10.023481649225412</v>
      </c>
      <c r="C679" s="188">
        <f t="shared" ref="C679:C698" si="86">F657</f>
        <v>12.332802934605487</v>
      </c>
      <c r="D679" s="188">
        <v>2</v>
      </c>
      <c r="E679" s="193">
        <f t="shared" ref="E679:E698" si="87">$B679-$C679-$D679</f>
        <v>-4.3093212853800758</v>
      </c>
    </row>
    <row r="680" spans="1:6" x14ac:dyDescent="0.25">
      <c r="A680" s="186" t="s">
        <v>123</v>
      </c>
      <c r="B680" s="146">
        <f t="shared" si="85"/>
        <v>10.023481649225412</v>
      </c>
      <c r="C680" s="146">
        <f t="shared" si="86"/>
        <v>13.056227698331453</v>
      </c>
      <c r="D680" s="146">
        <v>2</v>
      </c>
      <c r="E680" s="194">
        <f t="shared" si="87"/>
        <v>-5.0327460491060414</v>
      </c>
    </row>
    <row r="681" spans="1:6" x14ac:dyDescent="0.25">
      <c r="A681" s="185" t="s">
        <v>124</v>
      </c>
      <c r="B681" s="188">
        <f t="shared" si="85"/>
        <v>10.023481649225412</v>
      </c>
      <c r="C681" s="188">
        <f t="shared" si="86"/>
        <v>11.367805426722764</v>
      </c>
      <c r="D681" s="188">
        <v>2</v>
      </c>
      <c r="E681" s="193">
        <f t="shared" si="87"/>
        <v>-3.3443237774973529</v>
      </c>
    </row>
    <row r="682" spans="1:6" x14ac:dyDescent="0.25">
      <c r="A682" s="186" t="s">
        <v>125</v>
      </c>
      <c r="B682" s="146">
        <f t="shared" si="85"/>
        <v>10.023481649225412</v>
      </c>
      <c r="C682" s="146">
        <f t="shared" si="86"/>
        <v>12.223669824807626</v>
      </c>
      <c r="D682" s="146">
        <v>2</v>
      </c>
      <c r="E682" s="194">
        <f t="shared" si="87"/>
        <v>-4.2001881755822144</v>
      </c>
    </row>
    <row r="683" spans="1:6" x14ac:dyDescent="0.25">
      <c r="A683" s="185" t="s">
        <v>126</v>
      </c>
      <c r="B683" s="188">
        <f t="shared" si="85"/>
        <v>10.023481649225412</v>
      </c>
      <c r="C683" s="188">
        <f t="shared" si="86"/>
        <v>10.552151443358353</v>
      </c>
      <c r="D683" s="188">
        <v>2</v>
      </c>
      <c r="E683" s="193">
        <f t="shared" si="87"/>
        <v>-2.5286697941329415</v>
      </c>
    </row>
    <row r="684" spans="1:6" x14ac:dyDescent="0.25">
      <c r="A684" s="186" t="s">
        <v>127</v>
      </c>
      <c r="B684" s="146">
        <f t="shared" si="85"/>
        <v>10.023481649225412</v>
      </c>
      <c r="C684" s="146">
        <f t="shared" si="86"/>
        <v>11.715761507874568</v>
      </c>
      <c r="D684" s="146">
        <v>2</v>
      </c>
      <c r="E684" s="194">
        <f t="shared" si="87"/>
        <v>-3.6922798586491563</v>
      </c>
    </row>
    <row r="685" spans="1:6" x14ac:dyDescent="0.25">
      <c r="A685" s="185" t="s">
        <v>128</v>
      </c>
      <c r="B685" s="188">
        <f t="shared" si="85"/>
        <v>10.023481649225412</v>
      </c>
      <c r="C685" s="188">
        <f t="shared" si="86"/>
        <v>12.432932194046204</v>
      </c>
      <c r="D685" s="188">
        <v>2</v>
      </c>
      <c r="E685" s="193">
        <f t="shared" si="87"/>
        <v>-4.4094505448207926</v>
      </c>
    </row>
    <row r="686" spans="1:6" x14ac:dyDescent="0.25">
      <c r="A686" s="186" t="s">
        <v>141</v>
      </c>
      <c r="B686" s="146">
        <f t="shared" si="85"/>
        <v>10.023481649225412</v>
      </c>
      <c r="C686" s="146">
        <f t="shared" si="86"/>
        <v>10.760402163960816</v>
      </c>
      <c r="D686" s="146">
        <v>2</v>
      </c>
      <c r="E686" s="194">
        <f t="shared" si="87"/>
        <v>-2.7369205147354041</v>
      </c>
    </row>
    <row r="687" spans="1:6" x14ac:dyDescent="0.25">
      <c r="A687" s="185" t="s">
        <v>129</v>
      </c>
      <c r="B687" s="188">
        <f t="shared" si="85"/>
        <v>10.023481649225412</v>
      </c>
      <c r="C687" s="188">
        <f t="shared" si="86"/>
        <v>11.607642001058458</v>
      </c>
      <c r="D687" s="188">
        <v>2</v>
      </c>
      <c r="E687" s="193">
        <f t="shared" si="87"/>
        <v>-3.5841603518330469</v>
      </c>
    </row>
    <row r="688" spans="1:6" x14ac:dyDescent="0.25">
      <c r="A688" s="186" t="s">
        <v>130</v>
      </c>
      <c r="B688" s="146">
        <f t="shared" si="85"/>
        <v>10.023481649225412</v>
      </c>
      <c r="C688" s="146">
        <f t="shared" si="86"/>
        <v>9.9541403621797269</v>
      </c>
      <c r="D688" s="146">
        <v>2</v>
      </c>
      <c r="E688" s="194">
        <f t="shared" si="87"/>
        <v>-1.9306587129543153</v>
      </c>
    </row>
    <row r="689" spans="1:7" x14ac:dyDescent="0.25">
      <c r="A689" s="185" t="s">
        <v>131</v>
      </c>
      <c r="B689" s="188">
        <f t="shared" si="85"/>
        <v>10.023481649225412</v>
      </c>
      <c r="C689" s="188">
        <f t="shared" si="86"/>
        <v>11.211770155680043</v>
      </c>
      <c r="D689" s="188">
        <v>2</v>
      </c>
      <c r="E689" s="193">
        <f t="shared" si="87"/>
        <v>-3.1882885064546311</v>
      </c>
    </row>
    <row r="690" spans="1:7" x14ac:dyDescent="0.25">
      <c r="A690" s="186" t="s">
        <v>132</v>
      </c>
      <c r="B690" s="146">
        <f t="shared" si="85"/>
        <v>10.023481649225412</v>
      </c>
      <c r="C690" s="146">
        <f t="shared" si="86"/>
        <v>11.922383809762609</v>
      </c>
      <c r="D690" s="146">
        <v>2</v>
      </c>
      <c r="E690" s="194">
        <f t="shared" si="87"/>
        <v>-3.8989021605371974</v>
      </c>
    </row>
    <row r="691" spans="1:7" x14ac:dyDescent="0.25">
      <c r="A691" s="185" t="s">
        <v>133</v>
      </c>
      <c r="B691" s="188">
        <f t="shared" si="85"/>
        <v>10.023481649225412</v>
      </c>
      <c r="C691" s="188">
        <f t="shared" si="86"/>
        <v>10.266353870018234</v>
      </c>
      <c r="D691" s="188">
        <v>2</v>
      </c>
      <c r="E691" s="193">
        <f t="shared" si="87"/>
        <v>-2.2428722207928224</v>
      </c>
    </row>
    <row r="692" spans="1:7" x14ac:dyDescent="0.25">
      <c r="A692" s="186" t="s">
        <v>134</v>
      </c>
      <c r="B692" s="146">
        <f t="shared" si="85"/>
        <v>10.023481649225412</v>
      </c>
      <c r="C692" s="146">
        <f t="shared" si="86"/>
        <v>11.104705421547935</v>
      </c>
      <c r="D692" s="146">
        <v>2</v>
      </c>
      <c r="E692" s="194">
        <f t="shared" si="87"/>
        <v>-3.0812237723225238</v>
      </c>
    </row>
    <row r="693" spans="1:7" x14ac:dyDescent="0.25">
      <c r="A693" s="185" t="s">
        <v>135</v>
      </c>
      <c r="B693" s="188">
        <f t="shared" si="85"/>
        <v>10.023481649225412</v>
      </c>
      <c r="C693" s="188">
        <f t="shared" si="86"/>
        <v>9.46960195324165</v>
      </c>
      <c r="D693" s="188">
        <v>2</v>
      </c>
      <c r="E693" s="193">
        <f t="shared" si="87"/>
        <v>-1.4461203040162385</v>
      </c>
    </row>
    <row r="694" spans="1:7" x14ac:dyDescent="0.25">
      <c r="A694" s="186" t="s">
        <v>136</v>
      </c>
      <c r="B694" s="146">
        <f t="shared" si="85"/>
        <v>10.023481649225412</v>
      </c>
      <c r="C694" s="146">
        <f t="shared" si="86"/>
        <v>10.461471578512537</v>
      </c>
      <c r="D694" s="146">
        <v>2</v>
      </c>
      <c r="E694" s="194">
        <f t="shared" si="87"/>
        <v>-2.4379899292871254</v>
      </c>
    </row>
    <row r="695" spans="1:7" x14ac:dyDescent="0.25">
      <c r="A695" s="185" t="s">
        <v>137</v>
      </c>
      <c r="B695" s="188">
        <f t="shared" si="85"/>
        <v>10.023481649225412</v>
      </c>
      <c r="C695" s="188">
        <f t="shared" si="86"/>
        <v>11.158660751453532</v>
      </c>
      <c r="D695" s="188">
        <v>2</v>
      </c>
      <c r="E695" s="193">
        <f t="shared" si="87"/>
        <v>-3.1351791022281201</v>
      </c>
    </row>
    <row r="696" spans="1:7" ht="15" customHeight="1" x14ac:dyDescent="0.25">
      <c r="A696" s="186" t="s">
        <v>138</v>
      </c>
      <c r="B696" s="146">
        <f t="shared" si="85"/>
        <v>10.023481649225412</v>
      </c>
      <c r="C696" s="146">
        <f t="shared" si="86"/>
        <v>9.5358752820712631</v>
      </c>
      <c r="D696" s="146">
        <v>2</v>
      </c>
      <c r="E696" s="194">
        <f t="shared" si="87"/>
        <v>-1.5123936328458516</v>
      </c>
    </row>
    <row r="697" spans="1:7" x14ac:dyDescent="0.25">
      <c r="A697" s="185" t="s">
        <v>139</v>
      </c>
      <c r="B697" s="188">
        <f t="shared" si="85"/>
        <v>10.023481649225412</v>
      </c>
      <c r="C697" s="188">
        <f t="shared" si="86"/>
        <v>10.356539318237967</v>
      </c>
      <c r="D697" s="188">
        <v>2</v>
      </c>
      <c r="E697" s="193">
        <f t="shared" si="87"/>
        <v>-2.3330576690125557</v>
      </c>
    </row>
    <row r="698" spans="1:7" ht="15.75" thickBot="1" x14ac:dyDescent="0.3">
      <c r="A698" s="187" t="s">
        <v>140</v>
      </c>
      <c r="B698" s="148">
        <f t="shared" si="85"/>
        <v>10.023481649225412</v>
      </c>
      <c r="C698" s="148">
        <f t="shared" si="86"/>
        <v>8.7575213331384241</v>
      </c>
      <c r="D698" s="148">
        <v>2</v>
      </c>
      <c r="E698" s="206">
        <f t="shared" si="87"/>
        <v>-0.73403968391301255</v>
      </c>
    </row>
    <row r="699" spans="1:7" ht="15.75" thickTop="1" x14ac:dyDescent="0.25"/>
    <row r="700" spans="1:7" x14ac:dyDescent="0.25">
      <c r="A700" s="216" t="s">
        <v>230</v>
      </c>
      <c r="B700" s="216"/>
      <c r="C700" s="216"/>
      <c r="D700" s="216"/>
      <c r="E700" s="216"/>
      <c r="F700" s="216"/>
      <c r="G700" s="216"/>
    </row>
    <row r="701" spans="1:7" ht="15.75" thickBot="1" x14ac:dyDescent="0.3"/>
    <row r="702" spans="1:7" ht="31.5" thickTop="1" thickBot="1" x14ac:dyDescent="0.3">
      <c r="A702" s="180" t="s">
        <v>98</v>
      </c>
      <c r="B702" s="181" t="s">
        <v>152</v>
      </c>
      <c r="C702" s="181" t="s">
        <v>153</v>
      </c>
      <c r="D702" s="182" t="s">
        <v>154</v>
      </c>
      <c r="E702" s="182" t="s">
        <v>155</v>
      </c>
      <c r="F702" s="184" t="s">
        <v>176</v>
      </c>
    </row>
    <row r="703" spans="1:7" ht="15.75" thickTop="1" x14ac:dyDescent="0.25">
      <c r="A703" s="185" t="s">
        <v>7</v>
      </c>
      <c r="B703" s="188">
        <v>30.27</v>
      </c>
      <c r="C703" s="188">
        <v>11.9</v>
      </c>
      <c r="D703" s="188">
        <v>42.17</v>
      </c>
      <c r="E703" s="188">
        <v>30.27</v>
      </c>
      <c r="F703" s="193">
        <v>11.9</v>
      </c>
    </row>
    <row r="704" spans="1:7" x14ac:dyDescent="0.25">
      <c r="A704" s="186" t="s">
        <v>8</v>
      </c>
      <c r="B704" s="146">
        <v>33.46</v>
      </c>
      <c r="C704" s="146">
        <v>11.9</v>
      </c>
      <c r="D704" s="146">
        <v>45.36</v>
      </c>
      <c r="E704" s="146">
        <v>33.46</v>
      </c>
      <c r="F704" s="194">
        <v>11.9</v>
      </c>
    </row>
    <row r="705" spans="1:6" x14ac:dyDescent="0.25">
      <c r="A705" s="185" t="s">
        <v>3</v>
      </c>
      <c r="B705" s="188">
        <v>27.42</v>
      </c>
      <c r="C705" s="188">
        <v>11.9</v>
      </c>
      <c r="D705" s="188">
        <v>39.32</v>
      </c>
      <c r="E705" s="188">
        <v>27.42</v>
      </c>
      <c r="F705" s="193">
        <v>11.9</v>
      </c>
    </row>
    <row r="706" spans="1:6" x14ac:dyDescent="0.25">
      <c r="A706" s="186" t="s">
        <v>4</v>
      </c>
      <c r="B706" s="146">
        <v>36.31</v>
      </c>
      <c r="C706" s="146">
        <v>11.9</v>
      </c>
      <c r="D706" s="146">
        <v>48.21</v>
      </c>
      <c r="E706" s="146">
        <v>36.31</v>
      </c>
      <c r="F706" s="194">
        <v>11.9</v>
      </c>
    </row>
    <row r="707" spans="1:6" ht="15.75" thickBot="1" x14ac:dyDescent="0.3">
      <c r="A707" s="195" t="s">
        <v>5</v>
      </c>
      <c r="B707" s="138">
        <v>46.120000000000005</v>
      </c>
      <c r="C707" s="138">
        <v>11.9</v>
      </c>
      <c r="D707" s="138">
        <v>58.02</v>
      </c>
      <c r="E707" s="138">
        <v>46.120000000000005</v>
      </c>
      <c r="F707" s="196">
        <v>11.9</v>
      </c>
    </row>
    <row r="708" spans="1:6" ht="16.5" thickTop="1" thickBot="1" x14ac:dyDescent="0.3"/>
    <row r="709" spans="1:6" ht="16.5" thickTop="1" thickBot="1" x14ac:dyDescent="0.3">
      <c r="A709" s="214" t="s">
        <v>167</v>
      </c>
      <c r="B709" s="217" t="s">
        <v>168</v>
      </c>
      <c r="C709" s="217" t="s">
        <v>169</v>
      </c>
      <c r="D709" s="217" t="s">
        <v>205</v>
      </c>
      <c r="E709" s="217" t="s">
        <v>170</v>
      </c>
      <c r="F709" s="219" t="s">
        <v>187</v>
      </c>
    </row>
    <row r="710" spans="1:6" ht="16.5" thickTop="1" thickBot="1" x14ac:dyDescent="0.3">
      <c r="A710" s="215"/>
      <c r="B710" s="218"/>
      <c r="C710" s="218"/>
      <c r="D710" s="218"/>
      <c r="E710" s="218"/>
      <c r="F710" s="220"/>
    </row>
    <row r="711" spans="1:6" ht="15.75" thickTop="1" x14ac:dyDescent="0.25">
      <c r="A711" s="158" t="s">
        <v>184</v>
      </c>
      <c r="B711" s="50">
        <f>($E$634+2*0.4)/2</f>
        <v>15.535</v>
      </c>
      <c r="C711" s="50">
        <f t="shared" ref="C711:C714" si="88">10^($B711/10)</f>
        <v>35.768440057647553</v>
      </c>
      <c r="D711" s="50">
        <f t="shared" ref="D711:D714" si="89">$E$294/2*($C711-1)*$E$295*$E$296*10^12</f>
        <v>1.1046478434311456E-17</v>
      </c>
      <c r="E711" s="50">
        <f t="shared" ref="E711:E714" si="90">D711*$E$297*10^9*2</f>
        <v>1.6569717651467185E-6</v>
      </c>
      <c r="F711" s="60">
        <f>SUM(E711:E712)</f>
        <v>3.3139435302934371E-6</v>
      </c>
    </row>
    <row r="712" spans="1:6" x14ac:dyDescent="0.25">
      <c r="A712" s="254" t="s">
        <v>180</v>
      </c>
      <c r="B712" s="146">
        <f>($E$634+2*0.4)/2</f>
        <v>15.535</v>
      </c>
      <c r="C712" s="146">
        <f t="shared" si="88"/>
        <v>35.768440057647553</v>
      </c>
      <c r="D712" s="146">
        <f t="shared" si="89"/>
        <v>1.1046478434311456E-17</v>
      </c>
      <c r="E712" s="190">
        <f t="shared" si="90"/>
        <v>1.6569717651467185E-6</v>
      </c>
      <c r="F712" s="147">
        <f>SUM(E711:E712)</f>
        <v>3.3139435302934371E-6</v>
      </c>
    </row>
    <row r="713" spans="1:6" x14ac:dyDescent="0.25">
      <c r="A713" s="253" t="s">
        <v>183</v>
      </c>
      <c r="B713" s="188">
        <f>($E$635+2*0.4)/2</f>
        <v>17.13</v>
      </c>
      <c r="C713" s="188">
        <f t="shared" si="88"/>
        <v>51.641636927207095</v>
      </c>
      <c r="D713" s="188">
        <f t="shared" si="89"/>
        <v>1.6089641907059837E-17</v>
      </c>
      <c r="E713" s="189">
        <f t="shared" si="90"/>
        <v>2.4134462860589755E-6</v>
      </c>
      <c r="F713" s="199">
        <f>SUM(E713:E714)</f>
        <v>4.8268925721179511E-6</v>
      </c>
    </row>
    <row r="714" spans="1:6" x14ac:dyDescent="0.25">
      <c r="A714" s="254" t="s">
        <v>181</v>
      </c>
      <c r="B714" s="146">
        <f>($E$635+2*0.4)/2</f>
        <v>17.13</v>
      </c>
      <c r="C714" s="146">
        <f t="shared" si="88"/>
        <v>51.641636927207095</v>
      </c>
      <c r="D714" s="146">
        <f t="shared" si="89"/>
        <v>1.6089641907059837E-17</v>
      </c>
      <c r="E714" s="190">
        <f t="shared" si="90"/>
        <v>2.4134462860589755E-6</v>
      </c>
      <c r="F714" s="147">
        <f>SUM(E713:E714)</f>
        <v>4.8268925721179511E-6</v>
      </c>
    </row>
    <row r="715" spans="1:6" x14ac:dyDescent="0.25">
      <c r="A715" s="253" t="s">
        <v>229</v>
      </c>
      <c r="B715" s="188">
        <f>($B$705+2*0.4)/2</f>
        <v>14.110000000000001</v>
      </c>
      <c r="C715" s="188">
        <f t="shared" ref="C711:C721" si="91">10^($B715/10)</f>
        <v>25.763211570025767</v>
      </c>
      <c r="D715" s="188">
        <f t="shared" ref="D711:D721" si="92">$E$294/2*($C715-1)*$E$295*$E$296*10^12</f>
        <v>7.8676605024277828E-18</v>
      </c>
      <c r="E715" s="189">
        <f t="shared" ref="E711:E721" si="93">D715*$E$297*10^9*2</f>
        <v>1.1801490753641674E-6</v>
      </c>
      <c r="F715" s="199">
        <f>SUM(E715:E716)</f>
        <v>2.3602981507283348E-6</v>
      </c>
    </row>
    <row r="716" spans="1:6" x14ac:dyDescent="0.25">
      <c r="A716" s="254" t="s">
        <v>224</v>
      </c>
      <c r="B716" s="146">
        <f>($B$705+2*0.4)/2</f>
        <v>14.110000000000001</v>
      </c>
      <c r="C716" s="146">
        <f t="shared" si="91"/>
        <v>25.763211570025767</v>
      </c>
      <c r="D716" s="146">
        <f t="shared" si="92"/>
        <v>7.8676605024277828E-18</v>
      </c>
      <c r="E716" s="190">
        <f t="shared" si="93"/>
        <v>1.1801490753641674E-6</v>
      </c>
      <c r="F716" s="147">
        <f>SUM(E715:E716)</f>
        <v>2.3602981507283348E-6</v>
      </c>
    </row>
    <row r="717" spans="1:6" x14ac:dyDescent="0.25">
      <c r="A717" s="253" t="s">
        <v>186</v>
      </c>
      <c r="B717" s="188">
        <f>($B$637+2*0.4)/2</f>
        <v>18.555</v>
      </c>
      <c r="C717" s="188">
        <f t="shared" si="91"/>
        <v>71.69683755804202</v>
      </c>
      <c r="D717" s="188">
        <f t="shared" si="92"/>
        <v>2.246149353160744E-17</v>
      </c>
      <c r="E717" s="189">
        <f t="shared" si="93"/>
        <v>3.3692240297411158E-6</v>
      </c>
      <c r="F717" s="199">
        <f>SUM(E717:E718)</f>
        <v>6.7384480594822316E-6</v>
      </c>
    </row>
    <row r="718" spans="1:6" x14ac:dyDescent="0.25">
      <c r="A718" s="254" t="s">
        <v>178</v>
      </c>
      <c r="B718" s="146">
        <f>($B$637+2*0.4)/2</f>
        <v>18.555</v>
      </c>
      <c r="C718" s="146">
        <f t="shared" si="91"/>
        <v>71.69683755804202</v>
      </c>
      <c r="D718" s="146">
        <f t="shared" si="92"/>
        <v>2.246149353160744E-17</v>
      </c>
      <c r="E718" s="190">
        <f t="shared" si="93"/>
        <v>3.3692240297411158E-6</v>
      </c>
      <c r="F718" s="147">
        <f>SUM(E717:E718)</f>
        <v>6.7384480594822316E-6</v>
      </c>
    </row>
    <row r="719" spans="1:6" x14ac:dyDescent="0.25">
      <c r="A719" s="253" t="s">
        <v>185</v>
      </c>
      <c r="B719" s="188">
        <f>($B$638+2*0.4)/2</f>
        <v>23.46</v>
      </c>
      <c r="C719" s="188">
        <f t="shared" si="91"/>
        <v>221.819641980022</v>
      </c>
      <c r="D719" s="188">
        <f t="shared" si="92"/>
        <v>7.0157861812616873E-17</v>
      </c>
      <c r="E719" s="189">
        <f t="shared" si="93"/>
        <v>1.0523679271892531E-5</v>
      </c>
      <c r="F719" s="199">
        <f>SUM(E719:E720)</f>
        <v>2.1047358543785062E-5</v>
      </c>
    </row>
    <row r="720" spans="1:6" x14ac:dyDescent="0.25">
      <c r="A720" s="254" t="s">
        <v>179</v>
      </c>
      <c r="B720" s="146">
        <f>($B$638+2*0.4)/2</f>
        <v>23.46</v>
      </c>
      <c r="C720" s="146">
        <f t="shared" si="91"/>
        <v>221.819641980022</v>
      </c>
      <c r="D720" s="146">
        <f t="shared" si="92"/>
        <v>7.0157861812616873E-17</v>
      </c>
      <c r="E720" s="190">
        <f t="shared" si="93"/>
        <v>1.0523679271892531E-5</v>
      </c>
      <c r="F720" s="147">
        <f>SUM(E719:E720)</f>
        <v>2.1047358543785062E-5</v>
      </c>
    </row>
    <row r="721" spans="1:6" ht="15.75" thickBot="1" x14ac:dyDescent="0.3">
      <c r="A721" s="195" t="s">
        <v>177</v>
      </c>
      <c r="B721" s="138">
        <v>11.9</v>
      </c>
      <c r="C721" s="138">
        <f t="shared" si="91"/>
        <v>15.488166189124817</v>
      </c>
      <c r="D721" s="138">
        <f t="shared" si="92"/>
        <v>4.6031175139157595E-18</v>
      </c>
      <c r="E721" s="207">
        <f t="shared" si="93"/>
        <v>6.9046762708736391E-7</v>
      </c>
      <c r="F721" s="140">
        <f>E721</f>
        <v>6.9046762708736391E-7</v>
      </c>
    </row>
    <row r="722" spans="1:6" ht="16.5" thickTop="1" thickBot="1" x14ac:dyDescent="0.3"/>
    <row r="723" spans="1:6" ht="16.5" thickTop="1" thickBot="1" x14ac:dyDescent="0.3">
      <c r="A723" s="197" t="s">
        <v>171</v>
      </c>
      <c r="B723" s="139">
        <f>10*LOG10(SUM(E711:E721))+30</f>
        <v>-14.091870394803941</v>
      </c>
    </row>
    <row r="724" spans="1:6" ht="16.5" thickTop="1" thickBot="1" x14ac:dyDescent="0.3">
      <c r="A724" s="205" t="s">
        <v>174</v>
      </c>
      <c r="B724" s="149">
        <f>$B$300-B723</f>
        <v>12.100477477961677</v>
      </c>
    </row>
    <row r="725" spans="1:6" ht="16.5" thickTop="1" thickBot="1" x14ac:dyDescent="0.3"/>
    <row r="726" spans="1:6" ht="20.25" thickTop="1" thickBot="1" x14ac:dyDescent="0.4">
      <c r="A726" s="15" t="s">
        <v>121</v>
      </c>
      <c r="B726" s="150" t="s">
        <v>172</v>
      </c>
      <c r="C726" s="13" t="s">
        <v>206</v>
      </c>
      <c r="D726" s="156" t="s">
        <v>116</v>
      </c>
      <c r="E726" s="204" t="s">
        <v>207</v>
      </c>
      <c r="F726" s="37" t="s">
        <v>173</v>
      </c>
    </row>
    <row r="727" spans="1:6" ht="15.75" thickTop="1" x14ac:dyDescent="0.25">
      <c r="A727" s="185" t="s">
        <v>122</v>
      </c>
      <c r="B727" s="188">
        <f>1/$F$241</f>
        <v>0.14125375446227542</v>
      </c>
      <c r="C727" s="188">
        <f t="shared" ref="C727:C746" si="94">$E$247^2</f>
        <v>40.896024999999995</v>
      </c>
      <c r="D727" s="188">
        <f>$H$247*10^9</f>
        <v>10261721529.770309</v>
      </c>
      <c r="E727" s="189">
        <f t="shared" ref="E727:E746" si="95">$E$297*10^9</f>
        <v>75000000000</v>
      </c>
      <c r="F727" s="199">
        <f t="shared" ref="F727:F746" si="96">10*LOG10($C727*$D727/$E727*((1+$B727)/(1-$B727))^2*(1+SQRT(4*$B727/(1+$B727)^2+((1-$B727)/(1+$B727))^2*$E727/($C727*$D727))))</f>
        <v>12.332802934605487</v>
      </c>
    </row>
    <row r="728" spans="1:6" x14ac:dyDescent="0.25">
      <c r="A728" s="186" t="s">
        <v>123</v>
      </c>
      <c r="B728" s="146">
        <f>1/$F$241</f>
        <v>0.14125375446227542</v>
      </c>
      <c r="C728" s="146">
        <f t="shared" si="94"/>
        <v>40.896024999999995</v>
      </c>
      <c r="D728" s="146">
        <f>$H$248*10^9</f>
        <v>12199688861.556623</v>
      </c>
      <c r="E728" s="190">
        <f t="shared" si="95"/>
        <v>75000000000</v>
      </c>
      <c r="F728" s="147">
        <f t="shared" si="96"/>
        <v>13.056227698331453</v>
      </c>
    </row>
    <row r="729" spans="1:6" x14ac:dyDescent="0.25">
      <c r="A729" s="185" t="s">
        <v>124</v>
      </c>
      <c r="B729" s="188">
        <f>1/$F$241</f>
        <v>0.14125375446227542</v>
      </c>
      <c r="C729" s="188">
        <f t="shared" si="94"/>
        <v>40.896024999999995</v>
      </c>
      <c r="D729" s="188">
        <f>$H$249*10^9</f>
        <v>8133125907.7044163</v>
      </c>
      <c r="E729" s="189">
        <f t="shared" si="95"/>
        <v>75000000000</v>
      </c>
      <c r="F729" s="199">
        <f t="shared" si="96"/>
        <v>11.367805426722764</v>
      </c>
    </row>
    <row r="730" spans="1:6" x14ac:dyDescent="0.25">
      <c r="A730" s="186" t="s">
        <v>125</v>
      </c>
      <c r="B730" s="146">
        <f>1/$F$241</f>
        <v>0.14125375446227542</v>
      </c>
      <c r="C730" s="146">
        <f t="shared" si="94"/>
        <v>40.896024999999995</v>
      </c>
      <c r="D730" s="146">
        <f>$H$250*10^9</f>
        <v>9996486610.8563232</v>
      </c>
      <c r="E730" s="190">
        <f t="shared" si="95"/>
        <v>75000000000</v>
      </c>
      <c r="F730" s="147">
        <f t="shared" si="96"/>
        <v>12.223669824807626</v>
      </c>
    </row>
    <row r="731" spans="1:6" x14ac:dyDescent="0.25">
      <c r="A731" s="185" t="s">
        <v>126</v>
      </c>
      <c r="B731" s="188">
        <f>1/$F$241</f>
        <v>0.14125375446227542</v>
      </c>
      <c r="C731" s="188">
        <f t="shared" si="94"/>
        <v>40.896024999999995</v>
      </c>
      <c r="D731" s="188">
        <f>$H$251*10^9</f>
        <v>6670118994.3507013</v>
      </c>
      <c r="E731" s="189">
        <f t="shared" si="95"/>
        <v>75000000000</v>
      </c>
      <c r="F731" s="199">
        <f t="shared" si="96"/>
        <v>10.552151443358353</v>
      </c>
    </row>
    <row r="732" spans="1:6" x14ac:dyDescent="0.25">
      <c r="A732" s="186" t="s">
        <v>127</v>
      </c>
      <c r="B732" s="146">
        <f>1/$F$242</f>
        <v>0.11220184543019632</v>
      </c>
      <c r="C732" s="146">
        <f t="shared" si="94"/>
        <v>40.896024999999995</v>
      </c>
      <c r="D732" s="146">
        <f>$H$247*10^9</f>
        <v>10261721529.770309</v>
      </c>
      <c r="E732" s="190">
        <f t="shared" si="95"/>
        <v>75000000000</v>
      </c>
      <c r="F732" s="147">
        <f t="shared" si="96"/>
        <v>11.715761507874568</v>
      </c>
    </row>
    <row r="733" spans="1:6" x14ac:dyDescent="0.25">
      <c r="A733" s="185" t="s">
        <v>128</v>
      </c>
      <c r="B733" s="188">
        <f>1/$F$242</f>
        <v>0.11220184543019632</v>
      </c>
      <c r="C733" s="188">
        <f t="shared" si="94"/>
        <v>40.896024999999995</v>
      </c>
      <c r="D733" s="188">
        <f>$H$248*10^9</f>
        <v>12199688861.556623</v>
      </c>
      <c r="E733" s="189">
        <f t="shared" si="95"/>
        <v>75000000000</v>
      </c>
      <c r="F733" s="199">
        <f t="shared" si="96"/>
        <v>12.432932194046204</v>
      </c>
    </row>
    <row r="734" spans="1:6" x14ac:dyDescent="0.25">
      <c r="A734" s="186" t="s">
        <v>141</v>
      </c>
      <c r="B734" s="146">
        <f>1/$F$242</f>
        <v>0.11220184543019632</v>
      </c>
      <c r="C734" s="146">
        <f t="shared" si="94"/>
        <v>40.896024999999995</v>
      </c>
      <c r="D734" s="146">
        <f>$H$249*10^9</f>
        <v>8133125907.7044163</v>
      </c>
      <c r="E734" s="190">
        <f t="shared" si="95"/>
        <v>75000000000</v>
      </c>
      <c r="F734" s="147">
        <f t="shared" si="96"/>
        <v>10.760402163960816</v>
      </c>
    </row>
    <row r="735" spans="1:6" x14ac:dyDescent="0.25">
      <c r="A735" s="185" t="s">
        <v>129</v>
      </c>
      <c r="B735" s="188">
        <f>1/$F$242</f>
        <v>0.11220184543019632</v>
      </c>
      <c r="C735" s="188">
        <f t="shared" si="94"/>
        <v>40.896024999999995</v>
      </c>
      <c r="D735" s="188">
        <f>$H$250*10^9</f>
        <v>9996486610.8563232</v>
      </c>
      <c r="E735" s="189">
        <f t="shared" si="95"/>
        <v>75000000000</v>
      </c>
      <c r="F735" s="199">
        <f t="shared" si="96"/>
        <v>11.607642001058458</v>
      </c>
    </row>
    <row r="736" spans="1:6" x14ac:dyDescent="0.25">
      <c r="A736" s="186" t="s">
        <v>130</v>
      </c>
      <c r="B736" s="146">
        <f>1/$F$242</f>
        <v>0.11220184543019632</v>
      </c>
      <c r="C736" s="146">
        <f t="shared" si="94"/>
        <v>40.896024999999995</v>
      </c>
      <c r="D736" s="146">
        <f>$H$251*10^9</f>
        <v>6670118994.3507013</v>
      </c>
      <c r="E736" s="190">
        <f t="shared" si="95"/>
        <v>75000000000</v>
      </c>
      <c r="F736" s="147">
        <f t="shared" si="96"/>
        <v>9.9541403621797269</v>
      </c>
    </row>
    <row r="737" spans="1:6" x14ac:dyDescent="0.25">
      <c r="A737" s="185" t="s">
        <v>131</v>
      </c>
      <c r="B737" s="188">
        <f>1/$F$243</f>
        <v>8.9125093813374537E-2</v>
      </c>
      <c r="C737" s="188">
        <f t="shared" si="94"/>
        <v>40.896024999999995</v>
      </c>
      <c r="D737" s="188">
        <f>$H$247*10^9</f>
        <v>10261721529.770309</v>
      </c>
      <c r="E737" s="189">
        <f t="shared" si="95"/>
        <v>75000000000</v>
      </c>
      <c r="F737" s="199">
        <f t="shared" si="96"/>
        <v>11.211770155680043</v>
      </c>
    </row>
    <row r="738" spans="1:6" x14ac:dyDescent="0.25">
      <c r="A738" s="186" t="s">
        <v>132</v>
      </c>
      <c r="B738" s="146">
        <f>1/$F$243</f>
        <v>8.9125093813374537E-2</v>
      </c>
      <c r="C738" s="146">
        <f t="shared" si="94"/>
        <v>40.896024999999995</v>
      </c>
      <c r="D738" s="146">
        <f>$H$248*10^9</f>
        <v>12199688861.556623</v>
      </c>
      <c r="E738" s="190">
        <f t="shared" si="95"/>
        <v>75000000000</v>
      </c>
      <c r="F738" s="147">
        <f t="shared" si="96"/>
        <v>11.922383809762609</v>
      </c>
    </row>
    <row r="739" spans="1:6" x14ac:dyDescent="0.25">
      <c r="A739" s="185" t="s">
        <v>133</v>
      </c>
      <c r="B739" s="188">
        <f>1/$F$243</f>
        <v>8.9125093813374537E-2</v>
      </c>
      <c r="C739" s="188">
        <f t="shared" si="94"/>
        <v>40.896024999999995</v>
      </c>
      <c r="D739" s="188">
        <f>$H$249*10^9</f>
        <v>8133125907.7044163</v>
      </c>
      <c r="E739" s="189">
        <f t="shared" si="95"/>
        <v>75000000000</v>
      </c>
      <c r="F739" s="199">
        <f t="shared" si="96"/>
        <v>10.266353870018234</v>
      </c>
    </row>
    <row r="740" spans="1:6" x14ac:dyDescent="0.25">
      <c r="A740" s="186" t="s">
        <v>134</v>
      </c>
      <c r="B740" s="146">
        <f>1/$F$243</f>
        <v>8.9125093813374537E-2</v>
      </c>
      <c r="C740" s="146">
        <f t="shared" si="94"/>
        <v>40.896024999999995</v>
      </c>
      <c r="D740" s="146">
        <f>$H$250*10^9</f>
        <v>9996486610.8563232</v>
      </c>
      <c r="E740" s="190">
        <f t="shared" si="95"/>
        <v>75000000000</v>
      </c>
      <c r="F740" s="147">
        <f t="shared" si="96"/>
        <v>11.104705421547935</v>
      </c>
    </row>
    <row r="741" spans="1:6" x14ac:dyDescent="0.25">
      <c r="A741" s="185" t="s">
        <v>135</v>
      </c>
      <c r="B741" s="188">
        <f>1/$F$243</f>
        <v>8.9125093813374537E-2</v>
      </c>
      <c r="C741" s="188">
        <f t="shared" si="94"/>
        <v>40.896024999999995</v>
      </c>
      <c r="D741" s="188">
        <f>$H$251*10^9</f>
        <v>6670118994.3507013</v>
      </c>
      <c r="E741" s="189">
        <f t="shared" si="95"/>
        <v>75000000000</v>
      </c>
      <c r="F741" s="199">
        <f t="shared" si="96"/>
        <v>9.46960195324165</v>
      </c>
    </row>
    <row r="742" spans="1:6" x14ac:dyDescent="0.25">
      <c r="A742" s="186" t="s">
        <v>136</v>
      </c>
      <c r="B742" s="146">
        <f>1/$F$244</f>
        <v>5.6234132519034884E-2</v>
      </c>
      <c r="C742" s="146">
        <f t="shared" si="94"/>
        <v>40.896024999999995</v>
      </c>
      <c r="D742" s="146">
        <f>$H$247*10^9</f>
        <v>10261721529.770309</v>
      </c>
      <c r="E742" s="190">
        <f t="shared" si="95"/>
        <v>75000000000</v>
      </c>
      <c r="F742" s="147">
        <f t="shared" si="96"/>
        <v>10.461471578512537</v>
      </c>
    </row>
    <row r="743" spans="1:6" x14ac:dyDescent="0.25">
      <c r="A743" s="185" t="s">
        <v>137</v>
      </c>
      <c r="B743" s="188">
        <f>1/$F$244</f>
        <v>5.6234132519034884E-2</v>
      </c>
      <c r="C743" s="188">
        <f t="shared" si="94"/>
        <v>40.896024999999995</v>
      </c>
      <c r="D743" s="188">
        <f>$H$248*10^9</f>
        <v>12199688861.556623</v>
      </c>
      <c r="E743" s="189">
        <f t="shared" si="95"/>
        <v>75000000000</v>
      </c>
      <c r="F743" s="199">
        <f t="shared" si="96"/>
        <v>11.158660751453532</v>
      </c>
    </row>
    <row r="744" spans="1:6" x14ac:dyDescent="0.25">
      <c r="A744" s="186" t="s">
        <v>138</v>
      </c>
      <c r="B744" s="146">
        <f>1/$F$244</f>
        <v>5.6234132519034884E-2</v>
      </c>
      <c r="C744" s="146">
        <f t="shared" si="94"/>
        <v>40.896024999999995</v>
      </c>
      <c r="D744" s="146">
        <f>$H$249*10^9</f>
        <v>8133125907.7044163</v>
      </c>
      <c r="E744" s="190">
        <f t="shared" si="95"/>
        <v>75000000000</v>
      </c>
      <c r="F744" s="147">
        <f t="shared" si="96"/>
        <v>9.5358752820712631</v>
      </c>
    </row>
    <row r="745" spans="1:6" x14ac:dyDescent="0.25">
      <c r="A745" s="185" t="s">
        <v>139</v>
      </c>
      <c r="B745" s="188">
        <f>1/$F$244</f>
        <v>5.6234132519034884E-2</v>
      </c>
      <c r="C745" s="188">
        <f t="shared" si="94"/>
        <v>40.896024999999995</v>
      </c>
      <c r="D745" s="188">
        <f>$H$250*10^9</f>
        <v>9996486610.8563232</v>
      </c>
      <c r="E745" s="189">
        <f t="shared" si="95"/>
        <v>75000000000</v>
      </c>
      <c r="F745" s="199">
        <f t="shared" si="96"/>
        <v>10.356539318237967</v>
      </c>
    </row>
    <row r="746" spans="1:6" ht="15.75" thickBot="1" x14ac:dyDescent="0.3">
      <c r="A746" s="187" t="s">
        <v>140</v>
      </c>
      <c r="B746" s="148">
        <f>1/$F$244</f>
        <v>5.6234132519034884E-2</v>
      </c>
      <c r="C746" s="148">
        <f t="shared" si="94"/>
        <v>40.896024999999995</v>
      </c>
      <c r="D746" s="148">
        <f>$H$251*10^9</f>
        <v>6670118994.3507013</v>
      </c>
      <c r="E746" s="191">
        <f t="shared" si="95"/>
        <v>75000000000</v>
      </c>
      <c r="F746" s="149">
        <f t="shared" si="96"/>
        <v>8.7575213331384241</v>
      </c>
    </row>
    <row r="747" spans="1:6" ht="16.5" thickTop="1" thickBot="1" x14ac:dyDescent="0.3"/>
    <row r="748" spans="1:6" ht="16.5" thickTop="1" thickBot="1" x14ac:dyDescent="0.3">
      <c r="A748" s="197" t="s">
        <v>121</v>
      </c>
      <c r="B748" s="204" t="s">
        <v>174</v>
      </c>
      <c r="C748" s="13" t="s">
        <v>173</v>
      </c>
      <c r="D748" s="150" t="s">
        <v>175</v>
      </c>
      <c r="E748" s="37" t="s">
        <v>146</v>
      </c>
    </row>
    <row r="749" spans="1:6" ht="15.75" thickTop="1" x14ac:dyDescent="0.25">
      <c r="A749" s="185" t="s">
        <v>122</v>
      </c>
      <c r="B749" s="188">
        <f t="shared" ref="B749:B768" si="97">$B$724</f>
        <v>12.100477477961677</v>
      </c>
      <c r="C749" s="188">
        <f t="shared" ref="C749:C768" si="98">F727</f>
        <v>12.332802934605487</v>
      </c>
      <c r="D749" s="188">
        <v>2</v>
      </c>
      <c r="E749" s="193">
        <f t="shared" ref="E749:E768" si="99">$B749-$C749-$D749</f>
        <v>-2.2323254566438102</v>
      </c>
    </row>
    <row r="750" spans="1:6" x14ac:dyDescent="0.25">
      <c r="A750" s="186" t="s">
        <v>123</v>
      </c>
      <c r="B750" s="146">
        <f t="shared" si="97"/>
        <v>12.100477477961677</v>
      </c>
      <c r="C750" s="146">
        <f t="shared" si="98"/>
        <v>13.056227698331453</v>
      </c>
      <c r="D750" s="146">
        <v>2</v>
      </c>
      <c r="E750" s="194">
        <f t="shared" si="99"/>
        <v>-2.9557502203697759</v>
      </c>
    </row>
    <row r="751" spans="1:6" x14ac:dyDescent="0.25">
      <c r="A751" s="185" t="s">
        <v>124</v>
      </c>
      <c r="B751" s="188">
        <f t="shared" si="97"/>
        <v>12.100477477961677</v>
      </c>
      <c r="C751" s="188">
        <f t="shared" si="98"/>
        <v>11.367805426722764</v>
      </c>
      <c r="D751" s="188">
        <v>2</v>
      </c>
      <c r="E751" s="193">
        <f t="shared" si="99"/>
        <v>-1.2673279487610873</v>
      </c>
    </row>
    <row r="752" spans="1:6" x14ac:dyDescent="0.25">
      <c r="A752" s="186" t="s">
        <v>125</v>
      </c>
      <c r="B752" s="146">
        <f t="shared" si="97"/>
        <v>12.100477477961677</v>
      </c>
      <c r="C752" s="146">
        <f t="shared" si="98"/>
        <v>12.223669824807626</v>
      </c>
      <c r="D752" s="146">
        <v>2</v>
      </c>
      <c r="E752" s="194">
        <f t="shared" si="99"/>
        <v>-2.1231923468459488</v>
      </c>
    </row>
    <row r="753" spans="1:5" x14ac:dyDescent="0.25">
      <c r="A753" s="185" t="s">
        <v>126</v>
      </c>
      <c r="B753" s="188">
        <f t="shared" si="97"/>
        <v>12.100477477961677</v>
      </c>
      <c r="C753" s="188">
        <f t="shared" si="98"/>
        <v>10.552151443358353</v>
      </c>
      <c r="D753" s="188">
        <v>2</v>
      </c>
      <c r="E753" s="193">
        <f t="shared" si="99"/>
        <v>-0.45167396539667592</v>
      </c>
    </row>
    <row r="754" spans="1:5" x14ac:dyDescent="0.25">
      <c r="A754" s="186" t="s">
        <v>127</v>
      </c>
      <c r="B754" s="146">
        <f t="shared" si="97"/>
        <v>12.100477477961677</v>
      </c>
      <c r="C754" s="146">
        <f t="shared" si="98"/>
        <v>11.715761507874568</v>
      </c>
      <c r="D754" s="146">
        <v>2</v>
      </c>
      <c r="E754" s="194">
        <f t="shared" si="99"/>
        <v>-1.6152840299128908</v>
      </c>
    </row>
    <row r="755" spans="1:5" x14ac:dyDescent="0.25">
      <c r="A755" s="185" t="s">
        <v>128</v>
      </c>
      <c r="B755" s="188">
        <f t="shared" si="97"/>
        <v>12.100477477961677</v>
      </c>
      <c r="C755" s="188">
        <f t="shared" si="98"/>
        <v>12.432932194046204</v>
      </c>
      <c r="D755" s="188">
        <v>2</v>
      </c>
      <c r="E755" s="193">
        <f t="shared" si="99"/>
        <v>-2.332454716084527</v>
      </c>
    </row>
    <row r="756" spans="1:5" x14ac:dyDescent="0.25">
      <c r="A756" s="186" t="s">
        <v>141</v>
      </c>
      <c r="B756" s="146">
        <f t="shared" si="97"/>
        <v>12.100477477961677</v>
      </c>
      <c r="C756" s="146">
        <f t="shared" si="98"/>
        <v>10.760402163960816</v>
      </c>
      <c r="D756" s="146">
        <v>2</v>
      </c>
      <c r="E756" s="194">
        <f t="shared" si="99"/>
        <v>-0.65992468599913856</v>
      </c>
    </row>
    <row r="757" spans="1:5" x14ac:dyDescent="0.25">
      <c r="A757" s="185" t="s">
        <v>129</v>
      </c>
      <c r="B757" s="188">
        <f t="shared" si="97"/>
        <v>12.100477477961677</v>
      </c>
      <c r="C757" s="188">
        <f t="shared" si="98"/>
        <v>11.607642001058458</v>
      </c>
      <c r="D757" s="188">
        <v>2</v>
      </c>
      <c r="E757" s="193">
        <f t="shared" si="99"/>
        <v>-1.5071645230967814</v>
      </c>
    </row>
    <row r="758" spans="1:5" x14ac:dyDescent="0.25">
      <c r="A758" s="186" t="s">
        <v>130</v>
      </c>
      <c r="B758" s="146">
        <f t="shared" si="97"/>
        <v>12.100477477961677</v>
      </c>
      <c r="C758" s="146">
        <f t="shared" si="98"/>
        <v>9.9541403621797269</v>
      </c>
      <c r="D758" s="146">
        <v>2</v>
      </c>
      <c r="E758" s="194">
        <f t="shared" si="99"/>
        <v>0.14633711578195019</v>
      </c>
    </row>
    <row r="759" spans="1:5" x14ac:dyDescent="0.25">
      <c r="A759" s="185" t="s">
        <v>131</v>
      </c>
      <c r="B759" s="188">
        <f t="shared" si="97"/>
        <v>12.100477477961677</v>
      </c>
      <c r="C759" s="188">
        <f t="shared" si="98"/>
        <v>11.211770155680043</v>
      </c>
      <c r="D759" s="188">
        <v>2</v>
      </c>
      <c r="E759" s="193">
        <f t="shared" si="99"/>
        <v>-1.1112926777183656</v>
      </c>
    </row>
    <row r="760" spans="1:5" x14ac:dyDescent="0.25">
      <c r="A760" s="186" t="s">
        <v>132</v>
      </c>
      <c r="B760" s="146">
        <f t="shared" si="97"/>
        <v>12.100477477961677</v>
      </c>
      <c r="C760" s="146">
        <f t="shared" si="98"/>
        <v>11.922383809762609</v>
      </c>
      <c r="D760" s="146">
        <v>2</v>
      </c>
      <c r="E760" s="194">
        <f t="shared" si="99"/>
        <v>-1.8219063318009319</v>
      </c>
    </row>
    <row r="761" spans="1:5" x14ac:dyDescent="0.25">
      <c r="A761" s="185" t="s">
        <v>133</v>
      </c>
      <c r="B761" s="188">
        <f t="shared" si="97"/>
        <v>12.100477477961677</v>
      </c>
      <c r="C761" s="188">
        <f t="shared" si="98"/>
        <v>10.266353870018234</v>
      </c>
      <c r="D761" s="188">
        <v>2</v>
      </c>
      <c r="E761" s="193">
        <f t="shared" si="99"/>
        <v>-0.16587639205655691</v>
      </c>
    </row>
    <row r="762" spans="1:5" x14ac:dyDescent="0.25">
      <c r="A762" s="186" t="s">
        <v>134</v>
      </c>
      <c r="B762" s="146">
        <f t="shared" si="97"/>
        <v>12.100477477961677</v>
      </c>
      <c r="C762" s="146">
        <f t="shared" si="98"/>
        <v>11.104705421547935</v>
      </c>
      <c r="D762" s="146">
        <v>2</v>
      </c>
      <c r="E762" s="194">
        <f t="shared" si="99"/>
        <v>-1.0042279435862582</v>
      </c>
    </row>
    <row r="763" spans="1:5" x14ac:dyDescent="0.25">
      <c r="A763" s="185" t="s">
        <v>135</v>
      </c>
      <c r="B763" s="188">
        <f t="shared" si="97"/>
        <v>12.100477477961677</v>
      </c>
      <c r="C763" s="188">
        <f t="shared" si="98"/>
        <v>9.46960195324165</v>
      </c>
      <c r="D763" s="188">
        <v>2</v>
      </c>
      <c r="E763" s="193">
        <f t="shared" si="99"/>
        <v>0.63087552472002706</v>
      </c>
    </row>
    <row r="764" spans="1:5" x14ac:dyDescent="0.25">
      <c r="A764" s="186" t="s">
        <v>136</v>
      </c>
      <c r="B764" s="146">
        <f t="shared" si="97"/>
        <v>12.100477477961677</v>
      </c>
      <c r="C764" s="146">
        <f t="shared" si="98"/>
        <v>10.461471578512537</v>
      </c>
      <c r="D764" s="146">
        <v>2</v>
      </c>
      <c r="E764" s="194">
        <f t="shared" si="99"/>
        <v>-0.3609941005508599</v>
      </c>
    </row>
    <row r="765" spans="1:5" x14ac:dyDescent="0.25">
      <c r="A765" s="185" t="s">
        <v>137</v>
      </c>
      <c r="B765" s="188">
        <f t="shared" si="97"/>
        <v>12.100477477961677</v>
      </c>
      <c r="C765" s="188">
        <f t="shared" si="98"/>
        <v>11.158660751453532</v>
      </c>
      <c r="D765" s="188">
        <v>2</v>
      </c>
      <c r="E765" s="193">
        <f t="shared" si="99"/>
        <v>-1.0581832734918546</v>
      </c>
    </row>
    <row r="766" spans="1:5" x14ac:dyDescent="0.25">
      <c r="A766" s="186" t="s">
        <v>138</v>
      </c>
      <c r="B766" s="146">
        <f t="shared" si="97"/>
        <v>12.100477477961677</v>
      </c>
      <c r="C766" s="146">
        <f t="shared" si="98"/>
        <v>9.5358752820712631</v>
      </c>
      <c r="D766" s="146">
        <v>2</v>
      </c>
      <c r="E766" s="194">
        <f t="shared" si="99"/>
        <v>0.56460219589041394</v>
      </c>
    </row>
    <row r="767" spans="1:5" ht="15" customHeight="1" x14ac:dyDescent="0.25">
      <c r="A767" s="185" t="s">
        <v>139</v>
      </c>
      <c r="B767" s="188">
        <f t="shared" si="97"/>
        <v>12.100477477961677</v>
      </c>
      <c r="C767" s="188">
        <f t="shared" si="98"/>
        <v>10.356539318237967</v>
      </c>
      <c r="D767" s="188">
        <v>2</v>
      </c>
      <c r="E767" s="193">
        <f t="shared" si="99"/>
        <v>-0.2560618402762902</v>
      </c>
    </row>
    <row r="768" spans="1:5" ht="15.75" thickBot="1" x14ac:dyDescent="0.3">
      <c r="A768" s="187" t="s">
        <v>140</v>
      </c>
      <c r="B768" s="148">
        <f t="shared" si="97"/>
        <v>12.100477477961677</v>
      </c>
      <c r="C768" s="148">
        <f t="shared" si="98"/>
        <v>8.7575213331384241</v>
      </c>
      <c r="D768" s="148">
        <v>2</v>
      </c>
      <c r="E768" s="206">
        <f t="shared" si="99"/>
        <v>1.342956144823253</v>
      </c>
    </row>
    <row r="769" spans="1:7" ht="15.75" thickTop="1" x14ac:dyDescent="0.25"/>
    <row r="771" spans="1:7" x14ac:dyDescent="0.25">
      <c r="A771" s="216" t="s">
        <v>231</v>
      </c>
      <c r="B771" s="216"/>
      <c r="C771" s="216"/>
      <c r="D771" s="216"/>
      <c r="E771" s="216"/>
      <c r="F771" s="216"/>
      <c r="G771" s="216"/>
    </row>
    <row r="772" spans="1:7" ht="15.75" thickBot="1" x14ac:dyDescent="0.3"/>
    <row r="773" spans="1:7" ht="31.5" thickTop="1" thickBot="1" x14ac:dyDescent="0.3">
      <c r="A773" s="180" t="s">
        <v>98</v>
      </c>
      <c r="B773" s="181" t="s">
        <v>152</v>
      </c>
      <c r="C773" s="181" t="s">
        <v>153</v>
      </c>
      <c r="D773" s="182" t="s">
        <v>154</v>
      </c>
      <c r="E773" s="182" t="s">
        <v>155</v>
      </c>
      <c r="F773" s="184" t="s">
        <v>176</v>
      </c>
    </row>
    <row r="774" spans="1:7" ht="15.75" thickTop="1" x14ac:dyDescent="0.25">
      <c r="A774" s="185" t="s">
        <v>7</v>
      </c>
      <c r="B774" s="188">
        <v>30.27</v>
      </c>
      <c r="C774" s="188">
        <v>11.9</v>
      </c>
      <c r="D774" s="188">
        <v>42.17</v>
      </c>
      <c r="E774" s="188">
        <v>30.27</v>
      </c>
      <c r="F774" s="193">
        <v>11.9</v>
      </c>
    </row>
    <row r="775" spans="1:7" x14ac:dyDescent="0.25">
      <c r="A775" s="186" t="s">
        <v>8</v>
      </c>
      <c r="B775" s="146">
        <v>33.46</v>
      </c>
      <c r="C775" s="146">
        <v>11.9</v>
      </c>
      <c r="D775" s="146">
        <v>45.36</v>
      </c>
      <c r="E775" s="146">
        <v>33.46</v>
      </c>
      <c r="F775" s="194">
        <v>11.9</v>
      </c>
    </row>
    <row r="776" spans="1:7" x14ac:dyDescent="0.25">
      <c r="A776" s="185" t="s">
        <v>3</v>
      </c>
      <c r="B776" s="188">
        <v>27.42</v>
      </c>
      <c r="C776" s="188">
        <v>11.9</v>
      </c>
      <c r="D776" s="188">
        <v>39.32</v>
      </c>
      <c r="E776" s="188">
        <v>27.42</v>
      </c>
      <c r="F776" s="193">
        <v>11.9</v>
      </c>
    </row>
    <row r="777" spans="1:7" x14ac:dyDescent="0.25">
      <c r="A777" s="186" t="s">
        <v>4</v>
      </c>
      <c r="B777" s="146">
        <v>36.31</v>
      </c>
      <c r="C777" s="146">
        <v>11.9</v>
      </c>
      <c r="D777" s="146">
        <v>48.21</v>
      </c>
      <c r="E777" s="146">
        <v>36.31</v>
      </c>
      <c r="F777" s="194">
        <v>11.9</v>
      </c>
    </row>
    <row r="778" spans="1:7" ht="15.75" thickBot="1" x14ac:dyDescent="0.3">
      <c r="A778" s="195" t="s">
        <v>5</v>
      </c>
      <c r="B778" s="138">
        <v>46.120000000000005</v>
      </c>
      <c r="C778" s="138">
        <v>11.9</v>
      </c>
      <c r="D778" s="138">
        <v>58.02</v>
      </c>
      <c r="E778" s="138">
        <v>46.120000000000005</v>
      </c>
      <c r="F778" s="196">
        <v>11.9</v>
      </c>
    </row>
    <row r="779" spans="1:7" ht="16.5" thickTop="1" thickBot="1" x14ac:dyDescent="0.3"/>
    <row r="780" spans="1:7" ht="16.5" thickTop="1" thickBot="1" x14ac:dyDescent="0.3">
      <c r="A780" s="214" t="s">
        <v>167</v>
      </c>
      <c r="B780" s="217" t="s">
        <v>168</v>
      </c>
      <c r="C780" s="217" t="s">
        <v>169</v>
      </c>
      <c r="D780" s="217" t="s">
        <v>205</v>
      </c>
      <c r="E780" s="217" t="s">
        <v>170</v>
      </c>
      <c r="F780" s="219" t="s">
        <v>187</v>
      </c>
    </row>
    <row r="781" spans="1:7" ht="16.5" thickTop="1" thickBot="1" x14ac:dyDescent="0.3">
      <c r="A781" s="215"/>
      <c r="B781" s="218"/>
      <c r="C781" s="218"/>
      <c r="D781" s="218"/>
      <c r="E781" s="218"/>
      <c r="F781" s="220"/>
    </row>
    <row r="782" spans="1:7" ht="15.75" thickTop="1" x14ac:dyDescent="0.25">
      <c r="A782" s="158" t="s">
        <v>184</v>
      </c>
      <c r="B782" s="50">
        <f>($E$634+2*0.4)/2</f>
        <v>15.535</v>
      </c>
      <c r="C782" s="50">
        <f t="shared" ref="C782:C791" si="100">10^($B782/10)</f>
        <v>35.768440057647553</v>
      </c>
      <c r="D782" s="50">
        <f t="shared" ref="D782:D791" si="101">$E$294/2*($C782-1)*$E$295*$E$296*10^12</f>
        <v>1.1046478434311456E-17</v>
      </c>
      <c r="E782" s="50">
        <f t="shared" ref="E782:E791" si="102">D782*$E$297*10^9*2</f>
        <v>1.6569717651467185E-6</v>
      </c>
      <c r="F782" s="60">
        <f>SUM(E782:E783)</f>
        <v>3.3139435302934371E-6</v>
      </c>
    </row>
    <row r="783" spans="1:7" x14ac:dyDescent="0.25">
      <c r="A783" s="254" t="s">
        <v>180</v>
      </c>
      <c r="B783" s="146">
        <f>($E$634+2*0.4)/2</f>
        <v>15.535</v>
      </c>
      <c r="C783" s="146">
        <f t="shared" si="100"/>
        <v>35.768440057647553</v>
      </c>
      <c r="D783" s="146">
        <f t="shared" si="101"/>
        <v>1.1046478434311456E-17</v>
      </c>
      <c r="E783" s="190">
        <f t="shared" si="102"/>
        <v>1.6569717651467185E-6</v>
      </c>
      <c r="F783" s="147">
        <f>SUM(E782:E783)</f>
        <v>3.3139435302934371E-6</v>
      </c>
    </row>
    <row r="784" spans="1:7" x14ac:dyDescent="0.25">
      <c r="A784" s="253" t="s">
        <v>183</v>
      </c>
      <c r="B784" s="188">
        <f>($E$635+2*0.4)/2</f>
        <v>17.13</v>
      </c>
      <c r="C784" s="188">
        <f t="shared" si="100"/>
        <v>51.641636927207095</v>
      </c>
      <c r="D784" s="188">
        <f t="shared" si="101"/>
        <v>1.6089641907059837E-17</v>
      </c>
      <c r="E784" s="189">
        <f t="shared" si="102"/>
        <v>2.4134462860589755E-6</v>
      </c>
      <c r="F784" s="199">
        <f>SUM(E784:E785)</f>
        <v>4.8268925721179511E-6</v>
      </c>
    </row>
    <row r="785" spans="1:6" x14ac:dyDescent="0.25">
      <c r="A785" s="254" t="s">
        <v>181</v>
      </c>
      <c r="B785" s="146">
        <f>($E$635+2*0.4)/2</f>
        <v>17.13</v>
      </c>
      <c r="C785" s="146">
        <f t="shared" si="100"/>
        <v>51.641636927207095</v>
      </c>
      <c r="D785" s="146">
        <f t="shared" si="101"/>
        <v>1.6089641907059837E-17</v>
      </c>
      <c r="E785" s="190">
        <f t="shared" si="102"/>
        <v>2.4134462860589755E-6</v>
      </c>
      <c r="F785" s="147">
        <f>SUM(E784:E785)</f>
        <v>4.8268925721179511E-6</v>
      </c>
    </row>
    <row r="786" spans="1:6" x14ac:dyDescent="0.25">
      <c r="A786" s="253" t="s">
        <v>229</v>
      </c>
      <c r="B786" s="188">
        <f>($B$705+2*0.4)/2</f>
        <v>14.110000000000001</v>
      </c>
      <c r="C786" s="188">
        <f t="shared" si="100"/>
        <v>25.763211570025767</v>
      </c>
      <c r="D786" s="188">
        <f t="shared" si="101"/>
        <v>7.8676605024277828E-18</v>
      </c>
      <c r="E786" s="189">
        <f t="shared" si="102"/>
        <v>1.1801490753641674E-6</v>
      </c>
      <c r="F786" s="199">
        <f>SUM(E786:E787)</f>
        <v>2.3602981507283348E-6</v>
      </c>
    </row>
    <row r="787" spans="1:6" x14ac:dyDescent="0.25">
      <c r="A787" s="254" t="s">
        <v>224</v>
      </c>
      <c r="B787" s="146">
        <f>($B$705+2*0.4)/2</f>
        <v>14.110000000000001</v>
      </c>
      <c r="C787" s="146">
        <f t="shared" si="100"/>
        <v>25.763211570025767</v>
      </c>
      <c r="D787" s="146">
        <f t="shared" si="101"/>
        <v>7.8676605024277828E-18</v>
      </c>
      <c r="E787" s="190">
        <f t="shared" si="102"/>
        <v>1.1801490753641674E-6</v>
      </c>
      <c r="F787" s="147">
        <f>SUM(E786:E787)</f>
        <v>2.3602981507283348E-6</v>
      </c>
    </row>
    <row r="788" spans="1:6" x14ac:dyDescent="0.25">
      <c r="A788" s="253" t="s">
        <v>186</v>
      </c>
      <c r="B788" s="188">
        <f>($B$637+2*0.4)/2</f>
        <v>18.555</v>
      </c>
      <c r="C788" s="188">
        <f t="shared" si="100"/>
        <v>71.69683755804202</v>
      </c>
      <c r="D788" s="188">
        <f t="shared" si="101"/>
        <v>2.246149353160744E-17</v>
      </c>
      <c r="E788" s="189">
        <f t="shared" si="102"/>
        <v>3.3692240297411158E-6</v>
      </c>
      <c r="F788" s="199">
        <f>SUM(E788:E789)</f>
        <v>6.7384480594822316E-6</v>
      </c>
    </row>
    <row r="789" spans="1:6" x14ac:dyDescent="0.25">
      <c r="A789" s="254" t="s">
        <v>178</v>
      </c>
      <c r="B789" s="146">
        <f>($B$637+2*0.4)/2</f>
        <v>18.555</v>
      </c>
      <c r="C789" s="146">
        <f t="shared" si="100"/>
        <v>71.69683755804202</v>
      </c>
      <c r="D789" s="146">
        <f t="shared" si="101"/>
        <v>2.246149353160744E-17</v>
      </c>
      <c r="E789" s="190">
        <f t="shared" si="102"/>
        <v>3.3692240297411158E-6</v>
      </c>
      <c r="F789" s="147">
        <f>SUM(E788:E789)</f>
        <v>6.7384480594822316E-6</v>
      </c>
    </row>
    <row r="790" spans="1:6" x14ac:dyDescent="0.25">
      <c r="A790" s="253" t="s">
        <v>185</v>
      </c>
      <c r="B790" s="188">
        <f>($B$638+4*0.4)/3</f>
        <v>15.906666666666668</v>
      </c>
      <c r="C790" s="188">
        <f t="shared" si="100"/>
        <v>38.96428099693172</v>
      </c>
      <c r="D790" s="188">
        <f t="shared" si="101"/>
        <v>1.2061847198534376E-17</v>
      </c>
      <c r="E790" s="189">
        <f t="shared" si="102"/>
        <v>1.8092770797801565E-6</v>
      </c>
      <c r="F790" s="199">
        <f>SUM(E790:E791)</f>
        <v>3.6185541595603129E-6</v>
      </c>
    </row>
    <row r="791" spans="1:6" x14ac:dyDescent="0.25">
      <c r="A791" s="254" t="s">
        <v>185</v>
      </c>
      <c r="B791" s="146">
        <f>($B$638+4*0.4)/3</f>
        <v>15.906666666666668</v>
      </c>
      <c r="C791" s="146">
        <f t="shared" si="100"/>
        <v>38.96428099693172</v>
      </c>
      <c r="D791" s="146">
        <f t="shared" si="101"/>
        <v>1.2061847198534376E-17</v>
      </c>
      <c r="E791" s="190">
        <f t="shared" si="102"/>
        <v>1.8092770797801565E-6</v>
      </c>
      <c r="F791" s="147">
        <f>SUM(E790:E791)</f>
        <v>3.6185541595603129E-6</v>
      </c>
    </row>
    <row r="792" spans="1:6" x14ac:dyDescent="0.25">
      <c r="A792" s="253" t="s">
        <v>179</v>
      </c>
      <c r="B792" s="188">
        <f>($B$638+4*0.4)/3</f>
        <v>15.906666666666668</v>
      </c>
      <c r="C792" s="188">
        <f t="shared" ref="C782:C793" si="103">10^($B792/10)</f>
        <v>38.96428099693172</v>
      </c>
      <c r="D792" s="188">
        <f t="shared" ref="D782:D793" si="104">$E$294/2*($C792-1)*$E$295*$E$296*10^12</f>
        <v>1.2061847198534376E-17</v>
      </c>
      <c r="E792" s="189">
        <f t="shared" ref="E782:E793" si="105">D792*$E$297*10^9*2</f>
        <v>1.8092770797801565E-6</v>
      </c>
      <c r="F792" s="199">
        <f>SUM(E790:E792)</f>
        <v>5.4278312393404694E-6</v>
      </c>
    </row>
    <row r="793" spans="1:6" ht="15.75" thickBot="1" x14ac:dyDescent="0.3">
      <c r="A793" s="187" t="s">
        <v>177</v>
      </c>
      <c r="B793" s="148">
        <v>11.9</v>
      </c>
      <c r="C793" s="148">
        <f t="shared" si="103"/>
        <v>15.488166189124817</v>
      </c>
      <c r="D793" s="148">
        <f t="shared" si="104"/>
        <v>4.6031175139157595E-18</v>
      </c>
      <c r="E793" s="191">
        <f t="shared" si="105"/>
        <v>6.9046762708736391E-7</v>
      </c>
      <c r="F793" s="149">
        <f>E793</f>
        <v>6.9046762708736391E-7</v>
      </c>
    </row>
    <row r="794" spans="1:6" ht="16.5" thickTop="1" thickBot="1" x14ac:dyDescent="0.3"/>
    <row r="795" spans="1:6" ht="16.5" thickTop="1" thickBot="1" x14ac:dyDescent="0.3">
      <c r="A795" s="197" t="s">
        <v>171</v>
      </c>
      <c r="B795" s="139">
        <f>10*LOG10(SUM(E782:E793))+30</f>
        <v>-16.3156655513761</v>
      </c>
    </row>
    <row r="796" spans="1:6" ht="16.5" thickTop="1" thickBot="1" x14ac:dyDescent="0.3">
      <c r="A796" s="205" t="s">
        <v>174</v>
      </c>
      <c r="B796" s="149">
        <f>$B$300-B795</f>
        <v>14.324272634533836</v>
      </c>
    </row>
    <row r="797" spans="1:6" ht="16.5" thickTop="1" thickBot="1" x14ac:dyDescent="0.3"/>
    <row r="798" spans="1:6" ht="20.25" thickTop="1" thickBot="1" x14ac:dyDescent="0.4">
      <c r="A798" s="15" t="s">
        <v>121</v>
      </c>
      <c r="B798" s="150" t="s">
        <v>172</v>
      </c>
      <c r="C798" s="13" t="s">
        <v>206</v>
      </c>
      <c r="D798" s="156" t="s">
        <v>116</v>
      </c>
      <c r="E798" s="204" t="s">
        <v>207</v>
      </c>
      <c r="F798" s="37" t="s">
        <v>173</v>
      </c>
    </row>
    <row r="799" spans="1:6" ht="15.75" thickTop="1" x14ac:dyDescent="0.25">
      <c r="A799" s="185" t="s">
        <v>122</v>
      </c>
      <c r="B799" s="188">
        <f>1/$F$241</f>
        <v>0.14125375446227542</v>
      </c>
      <c r="C799" s="188">
        <f t="shared" ref="C799:C818" si="106">$E$247^2</f>
        <v>40.896024999999995</v>
      </c>
      <c r="D799" s="188">
        <f>$H$247*10^9</f>
        <v>10261721529.770309</v>
      </c>
      <c r="E799" s="189">
        <f t="shared" ref="E799:E818" si="107">$E$297*10^9</f>
        <v>75000000000</v>
      </c>
      <c r="F799" s="199">
        <f t="shared" ref="F799:F818" si="108">10*LOG10($C799*$D799/$E799*((1+$B799)/(1-$B799))^2*(1+SQRT(4*$B799/(1+$B799)^2+((1-$B799)/(1+$B799))^2*$E799/($C799*$D799))))</f>
        <v>12.332802934605487</v>
      </c>
    </row>
    <row r="800" spans="1:6" x14ac:dyDescent="0.25">
      <c r="A800" s="186" t="s">
        <v>123</v>
      </c>
      <c r="B800" s="146">
        <f>1/$F$241</f>
        <v>0.14125375446227542</v>
      </c>
      <c r="C800" s="146">
        <f t="shared" si="106"/>
        <v>40.896024999999995</v>
      </c>
      <c r="D800" s="146">
        <f>$H$248*10^9</f>
        <v>12199688861.556623</v>
      </c>
      <c r="E800" s="190">
        <f t="shared" si="107"/>
        <v>75000000000</v>
      </c>
      <c r="F800" s="147">
        <f t="shared" si="108"/>
        <v>13.056227698331453</v>
      </c>
    </row>
    <row r="801" spans="1:6" x14ac:dyDescent="0.25">
      <c r="A801" s="185" t="s">
        <v>124</v>
      </c>
      <c r="B801" s="188">
        <f>1/$F$241</f>
        <v>0.14125375446227542</v>
      </c>
      <c r="C801" s="188">
        <f t="shared" si="106"/>
        <v>40.896024999999995</v>
      </c>
      <c r="D801" s="188">
        <f>$H$249*10^9</f>
        <v>8133125907.7044163</v>
      </c>
      <c r="E801" s="189">
        <f t="shared" si="107"/>
        <v>75000000000</v>
      </c>
      <c r="F801" s="199">
        <f t="shared" si="108"/>
        <v>11.367805426722764</v>
      </c>
    </row>
    <row r="802" spans="1:6" x14ac:dyDescent="0.25">
      <c r="A802" s="186" t="s">
        <v>125</v>
      </c>
      <c r="B802" s="146">
        <f>1/$F$241</f>
        <v>0.14125375446227542</v>
      </c>
      <c r="C802" s="146">
        <f t="shared" si="106"/>
        <v>40.896024999999995</v>
      </c>
      <c r="D802" s="146">
        <f>$H$250*10^9</f>
        <v>9996486610.8563232</v>
      </c>
      <c r="E802" s="190">
        <f t="shared" si="107"/>
        <v>75000000000</v>
      </c>
      <c r="F802" s="147">
        <f t="shared" si="108"/>
        <v>12.223669824807626</v>
      </c>
    </row>
    <row r="803" spans="1:6" x14ac:dyDescent="0.25">
      <c r="A803" s="185" t="s">
        <v>126</v>
      </c>
      <c r="B803" s="188">
        <f>1/$F$241</f>
        <v>0.14125375446227542</v>
      </c>
      <c r="C803" s="188">
        <f t="shared" si="106"/>
        <v>40.896024999999995</v>
      </c>
      <c r="D803" s="188">
        <f>$H$251*10^9</f>
        <v>6670118994.3507013</v>
      </c>
      <c r="E803" s="189">
        <f t="shared" si="107"/>
        <v>75000000000</v>
      </c>
      <c r="F803" s="199">
        <f t="shared" si="108"/>
        <v>10.552151443358353</v>
      </c>
    </row>
    <row r="804" spans="1:6" x14ac:dyDescent="0.25">
      <c r="A804" s="186" t="s">
        <v>127</v>
      </c>
      <c r="B804" s="146">
        <f>1/$F$242</f>
        <v>0.11220184543019632</v>
      </c>
      <c r="C804" s="146">
        <f t="shared" si="106"/>
        <v>40.896024999999995</v>
      </c>
      <c r="D804" s="146">
        <f>$H$247*10^9</f>
        <v>10261721529.770309</v>
      </c>
      <c r="E804" s="190">
        <f t="shared" si="107"/>
        <v>75000000000</v>
      </c>
      <c r="F804" s="147">
        <f t="shared" si="108"/>
        <v>11.715761507874568</v>
      </c>
    </row>
    <row r="805" spans="1:6" x14ac:dyDescent="0.25">
      <c r="A805" s="185" t="s">
        <v>128</v>
      </c>
      <c r="B805" s="188">
        <f>1/$F$242</f>
        <v>0.11220184543019632</v>
      </c>
      <c r="C805" s="188">
        <f t="shared" si="106"/>
        <v>40.896024999999995</v>
      </c>
      <c r="D805" s="188">
        <f>$H$248*10^9</f>
        <v>12199688861.556623</v>
      </c>
      <c r="E805" s="189">
        <f t="shared" si="107"/>
        <v>75000000000</v>
      </c>
      <c r="F805" s="199">
        <f t="shared" si="108"/>
        <v>12.432932194046204</v>
      </c>
    </row>
    <row r="806" spans="1:6" x14ac:dyDescent="0.25">
      <c r="A806" s="186" t="s">
        <v>141</v>
      </c>
      <c r="B806" s="146">
        <f>1/$F$242</f>
        <v>0.11220184543019632</v>
      </c>
      <c r="C806" s="146">
        <f t="shared" si="106"/>
        <v>40.896024999999995</v>
      </c>
      <c r="D806" s="146">
        <f>$H$249*10^9</f>
        <v>8133125907.7044163</v>
      </c>
      <c r="E806" s="190">
        <f t="shared" si="107"/>
        <v>75000000000</v>
      </c>
      <c r="F806" s="147">
        <f t="shared" si="108"/>
        <v>10.760402163960816</v>
      </c>
    </row>
    <row r="807" spans="1:6" x14ac:dyDescent="0.25">
      <c r="A807" s="185" t="s">
        <v>129</v>
      </c>
      <c r="B807" s="188">
        <f>1/$F$242</f>
        <v>0.11220184543019632</v>
      </c>
      <c r="C807" s="188">
        <f t="shared" si="106"/>
        <v>40.896024999999995</v>
      </c>
      <c r="D807" s="188">
        <f>$H$250*10^9</f>
        <v>9996486610.8563232</v>
      </c>
      <c r="E807" s="189">
        <f t="shared" si="107"/>
        <v>75000000000</v>
      </c>
      <c r="F807" s="199">
        <f t="shared" si="108"/>
        <v>11.607642001058458</v>
      </c>
    </row>
    <row r="808" spans="1:6" x14ac:dyDescent="0.25">
      <c r="A808" s="186" t="s">
        <v>130</v>
      </c>
      <c r="B808" s="146">
        <f>1/$F$242</f>
        <v>0.11220184543019632</v>
      </c>
      <c r="C808" s="146">
        <f t="shared" si="106"/>
        <v>40.896024999999995</v>
      </c>
      <c r="D808" s="146">
        <f>$H$251*10^9</f>
        <v>6670118994.3507013</v>
      </c>
      <c r="E808" s="190">
        <f t="shared" si="107"/>
        <v>75000000000</v>
      </c>
      <c r="F808" s="147">
        <f t="shared" si="108"/>
        <v>9.9541403621797269</v>
      </c>
    </row>
    <row r="809" spans="1:6" x14ac:dyDescent="0.25">
      <c r="A809" s="185" t="s">
        <v>131</v>
      </c>
      <c r="B809" s="188">
        <f>1/$F$243</f>
        <v>8.9125093813374537E-2</v>
      </c>
      <c r="C809" s="188">
        <f t="shared" si="106"/>
        <v>40.896024999999995</v>
      </c>
      <c r="D809" s="188">
        <f>$H$247*10^9</f>
        <v>10261721529.770309</v>
      </c>
      <c r="E809" s="189">
        <f t="shared" si="107"/>
        <v>75000000000</v>
      </c>
      <c r="F809" s="199">
        <f t="shared" si="108"/>
        <v>11.211770155680043</v>
      </c>
    </row>
    <row r="810" spans="1:6" x14ac:dyDescent="0.25">
      <c r="A810" s="186" t="s">
        <v>132</v>
      </c>
      <c r="B810" s="146">
        <f>1/$F$243</f>
        <v>8.9125093813374537E-2</v>
      </c>
      <c r="C810" s="146">
        <f t="shared" si="106"/>
        <v>40.896024999999995</v>
      </c>
      <c r="D810" s="146">
        <f>$H$248*10^9</f>
        <v>12199688861.556623</v>
      </c>
      <c r="E810" s="190">
        <f t="shared" si="107"/>
        <v>75000000000</v>
      </c>
      <c r="F810" s="147">
        <f t="shared" si="108"/>
        <v>11.922383809762609</v>
      </c>
    </row>
    <row r="811" spans="1:6" x14ac:dyDescent="0.25">
      <c r="A811" s="185" t="s">
        <v>133</v>
      </c>
      <c r="B811" s="188">
        <f>1/$F$243</f>
        <v>8.9125093813374537E-2</v>
      </c>
      <c r="C811" s="188">
        <f t="shared" si="106"/>
        <v>40.896024999999995</v>
      </c>
      <c r="D811" s="188">
        <f>$H$249*10^9</f>
        <v>8133125907.7044163</v>
      </c>
      <c r="E811" s="189">
        <f t="shared" si="107"/>
        <v>75000000000</v>
      </c>
      <c r="F811" s="199">
        <f t="shared" si="108"/>
        <v>10.266353870018234</v>
      </c>
    </row>
    <row r="812" spans="1:6" x14ac:dyDescent="0.25">
      <c r="A812" s="186" t="s">
        <v>134</v>
      </c>
      <c r="B812" s="146">
        <f>1/$F$243</f>
        <v>8.9125093813374537E-2</v>
      </c>
      <c r="C812" s="146">
        <f t="shared" si="106"/>
        <v>40.896024999999995</v>
      </c>
      <c r="D812" s="146">
        <f>$H$250*10^9</f>
        <v>9996486610.8563232</v>
      </c>
      <c r="E812" s="190">
        <f t="shared" si="107"/>
        <v>75000000000</v>
      </c>
      <c r="F812" s="147">
        <f t="shared" si="108"/>
        <v>11.104705421547935</v>
      </c>
    </row>
    <row r="813" spans="1:6" x14ac:dyDescent="0.25">
      <c r="A813" s="185" t="s">
        <v>135</v>
      </c>
      <c r="B813" s="188">
        <f>1/$F$243</f>
        <v>8.9125093813374537E-2</v>
      </c>
      <c r="C813" s="188">
        <f t="shared" si="106"/>
        <v>40.896024999999995</v>
      </c>
      <c r="D813" s="188">
        <f>$H$251*10^9</f>
        <v>6670118994.3507013</v>
      </c>
      <c r="E813" s="189">
        <f t="shared" si="107"/>
        <v>75000000000</v>
      </c>
      <c r="F813" s="199">
        <f t="shared" si="108"/>
        <v>9.46960195324165</v>
      </c>
    </row>
    <row r="814" spans="1:6" x14ac:dyDescent="0.25">
      <c r="A814" s="186" t="s">
        <v>136</v>
      </c>
      <c r="B814" s="146">
        <f>1/$F$244</f>
        <v>5.6234132519034884E-2</v>
      </c>
      <c r="C814" s="146">
        <f t="shared" si="106"/>
        <v>40.896024999999995</v>
      </c>
      <c r="D814" s="146">
        <f>$H$247*10^9</f>
        <v>10261721529.770309</v>
      </c>
      <c r="E814" s="190">
        <f t="shared" si="107"/>
        <v>75000000000</v>
      </c>
      <c r="F814" s="147">
        <f t="shared" si="108"/>
        <v>10.461471578512537</v>
      </c>
    </row>
    <row r="815" spans="1:6" x14ac:dyDescent="0.25">
      <c r="A815" s="185" t="s">
        <v>137</v>
      </c>
      <c r="B815" s="188">
        <f>1/$F$244</f>
        <v>5.6234132519034884E-2</v>
      </c>
      <c r="C815" s="188">
        <f t="shared" si="106"/>
        <v>40.896024999999995</v>
      </c>
      <c r="D815" s="188">
        <f>$H$248*10^9</f>
        <v>12199688861.556623</v>
      </c>
      <c r="E815" s="189">
        <f t="shared" si="107"/>
        <v>75000000000</v>
      </c>
      <c r="F815" s="199">
        <f t="shared" si="108"/>
        <v>11.158660751453532</v>
      </c>
    </row>
    <row r="816" spans="1:6" x14ac:dyDescent="0.25">
      <c r="A816" s="186" t="s">
        <v>138</v>
      </c>
      <c r="B816" s="146">
        <f>1/$F$244</f>
        <v>5.6234132519034884E-2</v>
      </c>
      <c r="C816" s="146">
        <f t="shared" si="106"/>
        <v>40.896024999999995</v>
      </c>
      <c r="D816" s="146">
        <f>$H$249*10^9</f>
        <v>8133125907.7044163</v>
      </c>
      <c r="E816" s="190">
        <f t="shared" si="107"/>
        <v>75000000000</v>
      </c>
      <c r="F816" s="147">
        <f t="shared" si="108"/>
        <v>9.5358752820712631</v>
      </c>
    </row>
    <row r="817" spans="1:9" x14ac:dyDescent="0.25">
      <c r="A817" s="185" t="s">
        <v>139</v>
      </c>
      <c r="B817" s="188">
        <f>1/$F$244</f>
        <v>5.6234132519034884E-2</v>
      </c>
      <c r="C817" s="188">
        <f t="shared" si="106"/>
        <v>40.896024999999995</v>
      </c>
      <c r="D817" s="188">
        <f>$H$250*10^9</f>
        <v>9996486610.8563232</v>
      </c>
      <c r="E817" s="189">
        <f t="shared" si="107"/>
        <v>75000000000</v>
      </c>
      <c r="F817" s="199">
        <f t="shared" si="108"/>
        <v>10.356539318237967</v>
      </c>
    </row>
    <row r="818" spans="1:9" ht="15.75" thickBot="1" x14ac:dyDescent="0.3">
      <c r="A818" s="187" t="s">
        <v>140</v>
      </c>
      <c r="B818" s="148">
        <f>1/$F$244</f>
        <v>5.6234132519034884E-2</v>
      </c>
      <c r="C818" s="148">
        <f t="shared" si="106"/>
        <v>40.896024999999995</v>
      </c>
      <c r="D818" s="148">
        <f>$H$251*10^9</f>
        <v>6670118994.3507013</v>
      </c>
      <c r="E818" s="191">
        <f t="shared" si="107"/>
        <v>75000000000</v>
      </c>
      <c r="F818" s="149">
        <f t="shared" si="108"/>
        <v>8.7575213331384241</v>
      </c>
    </row>
    <row r="819" spans="1:9" ht="16.5" thickTop="1" thickBot="1" x14ac:dyDescent="0.3"/>
    <row r="820" spans="1:9" ht="16.5" thickTop="1" thickBot="1" x14ac:dyDescent="0.3">
      <c r="A820" s="197" t="s">
        <v>121</v>
      </c>
      <c r="B820" s="204" t="s">
        <v>174</v>
      </c>
      <c r="C820" s="13" t="s">
        <v>173</v>
      </c>
      <c r="D820" s="150" t="s">
        <v>175</v>
      </c>
      <c r="E820" s="37" t="s">
        <v>146</v>
      </c>
      <c r="G820" s="249" t="s">
        <v>213</v>
      </c>
      <c r="H820" s="250" t="s">
        <v>214</v>
      </c>
      <c r="I820" s="251" t="s">
        <v>215</v>
      </c>
    </row>
    <row r="821" spans="1:9" ht="15.75" thickTop="1" x14ac:dyDescent="0.25">
      <c r="A821" s="185" t="s">
        <v>122</v>
      </c>
      <c r="B821" s="188">
        <f t="shared" ref="B821:B840" si="109">$B$796</f>
        <v>14.324272634533836</v>
      </c>
      <c r="C821" s="188">
        <f t="shared" ref="C821:C840" si="110">F799</f>
        <v>12.332802934605487</v>
      </c>
      <c r="D821" s="188">
        <v>2</v>
      </c>
      <c r="E821" s="193">
        <f t="shared" ref="E821:E840" si="111">$B821-$C821-$D821</f>
        <v>-8.5303000716514532E-3</v>
      </c>
      <c r="G821" s="253" t="s">
        <v>220</v>
      </c>
      <c r="H821" s="188">
        <f>(B782-(2*0.4)+0.07)/((0.07/1.5)+0.22)</f>
        <v>55.518749999999997</v>
      </c>
      <c r="I821" s="200">
        <f>((1-EXP(-$D$284*$H821*10^(3)))/($D$284))*10^(-3)</f>
        <v>18.555028402784806</v>
      </c>
    </row>
    <row r="822" spans="1:9" x14ac:dyDescent="0.25">
      <c r="A822" s="186" t="s">
        <v>123</v>
      </c>
      <c r="B822" s="146">
        <f t="shared" si="109"/>
        <v>14.324272634533836</v>
      </c>
      <c r="C822" s="146">
        <f t="shared" si="110"/>
        <v>13.056227698331453</v>
      </c>
      <c r="D822" s="146">
        <v>2</v>
      </c>
      <c r="E822" s="194">
        <f t="shared" si="111"/>
        <v>-0.7319550637976171</v>
      </c>
      <c r="G822" s="254" t="s">
        <v>221</v>
      </c>
      <c r="H822" s="168">
        <f>C25-H821</f>
        <v>20.481250000000003</v>
      </c>
      <c r="I822" s="169">
        <f t="shared" ref="I822:I831" si="112">((1-EXP(-$D$284*$H822*10^(3)))/($D$284))*10^(-3)</f>
        <v>12.745877126781334</v>
      </c>
    </row>
    <row r="823" spans="1:9" x14ac:dyDescent="0.25">
      <c r="A823" s="185" t="s">
        <v>124</v>
      </c>
      <c r="B823" s="188">
        <f t="shared" si="109"/>
        <v>14.324272634533836</v>
      </c>
      <c r="C823" s="188">
        <f t="shared" si="110"/>
        <v>11.367805426722764</v>
      </c>
      <c r="D823" s="188">
        <v>2</v>
      </c>
      <c r="E823" s="193">
        <f t="shared" si="111"/>
        <v>0.95646720781107142</v>
      </c>
      <c r="G823" s="253" t="s">
        <v>222</v>
      </c>
      <c r="H823" s="188">
        <f>(B784-(2*0.4)+0.07)/((0.07/1.5)+0.22)</f>
        <v>61.499999999999993</v>
      </c>
      <c r="I823" s="200">
        <f t="shared" si="112"/>
        <v>18.864945603856874</v>
      </c>
    </row>
    <row r="824" spans="1:9" x14ac:dyDescent="0.25">
      <c r="A824" s="186" t="s">
        <v>125</v>
      </c>
      <c r="B824" s="146">
        <f t="shared" si="109"/>
        <v>14.324272634533836</v>
      </c>
      <c r="C824" s="146">
        <f t="shared" si="110"/>
        <v>12.223669824807626</v>
      </c>
      <c r="D824" s="146">
        <v>2</v>
      </c>
      <c r="E824" s="194">
        <f t="shared" si="111"/>
        <v>0.10060280972620994</v>
      </c>
      <c r="G824" s="254" t="s">
        <v>223</v>
      </c>
      <c r="H824" s="168">
        <f>C26-H823</f>
        <v>25.500000000000007</v>
      </c>
      <c r="I824" s="169">
        <f t="shared" si="112"/>
        <v>14.316134324936082</v>
      </c>
    </row>
    <row r="825" spans="1:9" x14ac:dyDescent="0.25">
      <c r="A825" s="185" t="s">
        <v>126</v>
      </c>
      <c r="B825" s="188">
        <f t="shared" si="109"/>
        <v>14.324272634533836</v>
      </c>
      <c r="C825" s="188">
        <f t="shared" si="110"/>
        <v>10.552151443358353</v>
      </c>
      <c r="D825" s="188">
        <v>2</v>
      </c>
      <c r="E825" s="193">
        <f t="shared" si="111"/>
        <v>1.7721211911754828</v>
      </c>
      <c r="G825" s="253" t="s">
        <v>232</v>
      </c>
      <c r="H825" s="188">
        <f>(B786-(2*0.4)+0.07)/((0.07/1.5)+0.22)</f>
        <v>50.175000000000004</v>
      </c>
      <c r="I825" s="200">
        <f t="shared" si="112"/>
        <v>18.186441355928409</v>
      </c>
    </row>
    <row r="826" spans="1:9" x14ac:dyDescent="0.25">
      <c r="A826" s="186" t="s">
        <v>127</v>
      </c>
      <c r="B826" s="146">
        <f t="shared" si="109"/>
        <v>14.324272634533836</v>
      </c>
      <c r="C826" s="146">
        <f t="shared" si="110"/>
        <v>11.715761507874568</v>
      </c>
      <c r="D826" s="146">
        <v>2</v>
      </c>
      <c r="E826" s="194">
        <f t="shared" si="111"/>
        <v>0.60851112665926799</v>
      </c>
      <c r="G826" s="254" t="s">
        <v>233</v>
      </c>
      <c r="H826" s="168">
        <f>C21-H825</f>
        <v>20.824999999999996</v>
      </c>
      <c r="I826" s="169">
        <f t="shared" si="112"/>
        <v>12.866624987138772</v>
      </c>
    </row>
    <row r="827" spans="1:9" x14ac:dyDescent="0.25">
      <c r="A827" s="185" t="s">
        <v>128</v>
      </c>
      <c r="B827" s="188">
        <f t="shared" si="109"/>
        <v>14.324272634533836</v>
      </c>
      <c r="C827" s="188">
        <f t="shared" si="110"/>
        <v>12.432932194046204</v>
      </c>
      <c r="D827" s="188">
        <v>2</v>
      </c>
      <c r="E827" s="193">
        <f t="shared" si="111"/>
        <v>-0.10865955951236828</v>
      </c>
      <c r="G827" s="253" t="s">
        <v>216</v>
      </c>
      <c r="H827" s="188">
        <f>(B788-(2*0.4)+0.07)/((0.07/1.5)+0.22)</f>
        <v>66.84375</v>
      </c>
      <c r="I827" s="200">
        <f t="shared" si="112"/>
        <v>19.07262340115615</v>
      </c>
    </row>
    <row r="828" spans="1:9" x14ac:dyDescent="0.25">
      <c r="A828" s="186" t="s">
        <v>141</v>
      </c>
      <c r="B828" s="146">
        <f t="shared" si="109"/>
        <v>14.324272634533836</v>
      </c>
      <c r="C828" s="146">
        <f t="shared" si="110"/>
        <v>10.760402163960816</v>
      </c>
      <c r="D828" s="146">
        <v>2</v>
      </c>
      <c r="E828" s="194">
        <f t="shared" si="111"/>
        <v>1.5638704705730202</v>
      </c>
      <c r="G828" s="254" t="s">
        <v>217</v>
      </c>
      <c r="H828" s="168">
        <f>C22-H827</f>
        <v>25.15625</v>
      </c>
      <c r="I828" s="169">
        <f t="shared" si="112"/>
        <v>14.220848248650313</v>
      </c>
    </row>
    <row r="829" spans="1:9" x14ac:dyDescent="0.25">
      <c r="A829" s="185" t="s">
        <v>129</v>
      </c>
      <c r="B829" s="188">
        <f t="shared" si="109"/>
        <v>14.324272634533836</v>
      </c>
      <c r="C829" s="188">
        <f t="shared" si="110"/>
        <v>11.607642001058458</v>
      </c>
      <c r="D829" s="188">
        <v>2</v>
      </c>
      <c r="E829" s="193">
        <f t="shared" si="111"/>
        <v>0.71663063347537737</v>
      </c>
      <c r="G829" s="253" t="s">
        <v>218</v>
      </c>
      <c r="H829" s="188">
        <f>(B790-(4*0.4)+0.07)/((0.07/1.5)+0.22)</f>
        <v>53.912500000000009</v>
      </c>
      <c r="I829" s="200">
        <f t="shared" si="112"/>
        <v>18.45452305068298</v>
      </c>
    </row>
    <row r="830" spans="1:9" x14ac:dyDescent="0.25">
      <c r="A830" s="186" t="s">
        <v>130</v>
      </c>
      <c r="B830" s="146">
        <f t="shared" si="109"/>
        <v>14.324272634533836</v>
      </c>
      <c r="C830" s="146">
        <f t="shared" si="110"/>
        <v>9.9541403621797269</v>
      </c>
      <c r="D830" s="146">
        <v>2</v>
      </c>
      <c r="E830" s="194">
        <f t="shared" si="111"/>
        <v>2.3701322723541089</v>
      </c>
      <c r="G830" s="254" t="s">
        <v>219</v>
      </c>
      <c r="H830" s="168">
        <f>(B790-(4*0.4)+0.07)/((0.07/1.5)+0.22)</f>
        <v>53.912500000000009</v>
      </c>
      <c r="I830" s="169">
        <f t="shared" si="112"/>
        <v>18.45452305068298</v>
      </c>
    </row>
    <row r="831" spans="1:9" ht="15.75" thickBot="1" x14ac:dyDescent="0.3">
      <c r="A831" s="185" t="s">
        <v>131</v>
      </c>
      <c r="B831" s="188">
        <f t="shared" si="109"/>
        <v>14.324272634533836</v>
      </c>
      <c r="C831" s="188">
        <f t="shared" si="110"/>
        <v>11.211770155680043</v>
      </c>
      <c r="D831" s="188">
        <v>2</v>
      </c>
      <c r="E831" s="193">
        <f t="shared" si="111"/>
        <v>1.1125024788537932</v>
      </c>
      <c r="G831" s="265" t="s">
        <v>234</v>
      </c>
      <c r="H831" s="170">
        <f>C23-SUM(H829:H830)</f>
        <v>13.174999999999983</v>
      </c>
      <c r="I831" s="171">
        <f t="shared" si="112"/>
        <v>9.6129395618275133</v>
      </c>
    </row>
    <row r="832" spans="1:9" ht="15.75" thickTop="1" x14ac:dyDescent="0.25">
      <c r="A832" s="186" t="s">
        <v>132</v>
      </c>
      <c r="B832" s="146">
        <f t="shared" si="109"/>
        <v>14.324272634533836</v>
      </c>
      <c r="C832" s="146">
        <f t="shared" si="110"/>
        <v>11.922383809762609</v>
      </c>
      <c r="D832" s="146">
        <v>2</v>
      </c>
      <c r="E832" s="194">
        <f t="shared" si="111"/>
        <v>0.40188882477122689</v>
      </c>
    </row>
    <row r="833" spans="1:6" x14ac:dyDescent="0.25">
      <c r="A833" s="185" t="s">
        <v>133</v>
      </c>
      <c r="B833" s="188">
        <f t="shared" si="109"/>
        <v>14.324272634533836</v>
      </c>
      <c r="C833" s="188">
        <f t="shared" si="110"/>
        <v>10.266353870018234</v>
      </c>
      <c r="D833" s="188">
        <v>2</v>
      </c>
      <c r="E833" s="193">
        <f t="shared" si="111"/>
        <v>2.0579187645156019</v>
      </c>
    </row>
    <row r="834" spans="1:6" x14ac:dyDescent="0.25">
      <c r="A834" s="186" t="s">
        <v>134</v>
      </c>
      <c r="B834" s="146">
        <f t="shared" si="109"/>
        <v>14.324272634533836</v>
      </c>
      <c r="C834" s="146">
        <f t="shared" si="110"/>
        <v>11.104705421547935</v>
      </c>
      <c r="D834" s="146">
        <v>2</v>
      </c>
      <c r="E834" s="194">
        <f t="shared" si="111"/>
        <v>1.2195672129859005</v>
      </c>
    </row>
    <row r="835" spans="1:6" x14ac:dyDescent="0.25">
      <c r="A835" s="185" t="s">
        <v>135</v>
      </c>
      <c r="B835" s="188">
        <f t="shared" si="109"/>
        <v>14.324272634533836</v>
      </c>
      <c r="C835" s="188">
        <f t="shared" si="110"/>
        <v>9.46960195324165</v>
      </c>
      <c r="D835" s="188">
        <v>2</v>
      </c>
      <c r="E835" s="193">
        <f t="shared" si="111"/>
        <v>2.8546706812921858</v>
      </c>
    </row>
    <row r="836" spans="1:6" x14ac:dyDescent="0.25">
      <c r="A836" s="186" t="s">
        <v>136</v>
      </c>
      <c r="B836" s="146">
        <f t="shared" si="109"/>
        <v>14.324272634533836</v>
      </c>
      <c r="C836" s="146">
        <f t="shared" si="110"/>
        <v>10.461471578512537</v>
      </c>
      <c r="D836" s="146">
        <v>2</v>
      </c>
      <c r="E836" s="194">
        <f t="shared" si="111"/>
        <v>1.8628010560212989</v>
      </c>
    </row>
    <row r="837" spans="1:6" x14ac:dyDescent="0.25">
      <c r="A837" s="185" t="s">
        <v>137</v>
      </c>
      <c r="B837" s="188">
        <f t="shared" si="109"/>
        <v>14.324272634533836</v>
      </c>
      <c r="C837" s="188">
        <f t="shared" si="110"/>
        <v>11.158660751453532</v>
      </c>
      <c r="D837" s="188">
        <v>2</v>
      </c>
      <c r="E837" s="193">
        <f t="shared" si="111"/>
        <v>1.1656118830803042</v>
      </c>
    </row>
    <row r="838" spans="1:6" x14ac:dyDescent="0.25">
      <c r="A838" s="186" t="s">
        <v>138</v>
      </c>
      <c r="B838" s="146">
        <f t="shared" si="109"/>
        <v>14.324272634533836</v>
      </c>
      <c r="C838" s="146">
        <f t="shared" si="110"/>
        <v>9.5358752820712631</v>
      </c>
      <c r="D838" s="146">
        <v>2</v>
      </c>
      <c r="E838" s="194">
        <f t="shared" si="111"/>
        <v>2.7883973524625727</v>
      </c>
    </row>
    <row r="839" spans="1:6" ht="15" customHeight="1" x14ac:dyDescent="0.25">
      <c r="A839" s="185" t="s">
        <v>139</v>
      </c>
      <c r="B839" s="188">
        <f t="shared" si="109"/>
        <v>14.324272634533836</v>
      </c>
      <c r="C839" s="188">
        <f t="shared" si="110"/>
        <v>10.356539318237967</v>
      </c>
      <c r="D839" s="188">
        <v>2</v>
      </c>
      <c r="E839" s="193">
        <f t="shared" si="111"/>
        <v>1.9677333162958686</v>
      </c>
    </row>
    <row r="840" spans="1:6" ht="15.75" thickBot="1" x14ac:dyDescent="0.3">
      <c r="A840" s="187" t="s">
        <v>140</v>
      </c>
      <c r="B840" s="148">
        <f t="shared" si="109"/>
        <v>14.324272634533836</v>
      </c>
      <c r="C840" s="148">
        <f t="shared" si="110"/>
        <v>8.7575213331384241</v>
      </c>
      <c r="D840" s="148">
        <v>2</v>
      </c>
      <c r="E840" s="206">
        <f t="shared" si="111"/>
        <v>3.5667513013954117</v>
      </c>
    </row>
    <row r="841" spans="1:6" ht="15.75" thickTop="1" x14ac:dyDescent="0.25"/>
    <row r="843" spans="1:6" x14ac:dyDescent="0.25">
      <c r="A843" s="216" t="s">
        <v>188</v>
      </c>
      <c r="B843" s="216"/>
      <c r="C843" s="216"/>
      <c r="D843" s="216"/>
      <c r="E843" s="216"/>
      <c r="F843" s="216"/>
    </row>
    <row r="844" spans="1:6" ht="15.75" thickBot="1" x14ac:dyDescent="0.3"/>
    <row r="845" spans="1:6" ht="19.5" thickTop="1" thickBot="1" x14ac:dyDescent="0.4">
      <c r="A845" s="39" t="s">
        <v>208</v>
      </c>
      <c r="B845" s="208">
        <f>B300</f>
        <v>-1.9913929168422642</v>
      </c>
    </row>
    <row r="846" spans="1:6" ht="19.5" thickTop="1" thickBot="1" x14ac:dyDescent="0.4">
      <c r="A846" s="24" t="s">
        <v>209</v>
      </c>
      <c r="B846" s="194">
        <v>0.6</v>
      </c>
    </row>
    <row r="847" spans="1:6" ht="19.5" thickTop="1" thickBot="1" x14ac:dyDescent="0.4">
      <c r="A847" s="24" t="s">
        <v>210</v>
      </c>
      <c r="B847" s="193">
        <v>5</v>
      </c>
    </row>
    <row r="848" spans="1:6" ht="19.5" thickTop="1" thickBot="1" x14ac:dyDescent="0.4">
      <c r="A848" s="24" t="s">
        <v>211</v>
      </c>
      <c r="B848" s="194">
        <v>0.7</v>
      </c>
    </row>
    <row r="849" spans="1:6" ht="19.5" thickTop="1" thickBot="1" x14ac:dyDescent="0.4">
      <c r="A849" s="36" t="s">
        <v>212</v>
      </c>
      <c r="B849" s="196">
        <f>B845-B846-B847-B848</f>
        <v>-8.2913929168422644</v>
      </c>
    </row>
    <row r="850" spans="1:6" ht="16.5" thickTop="1" thickBot="1" x14ac:dyDescent="0.3"/>
    <row r="851" spans="1:6" ht="16.5" thickTop="1" thickBot="1" x14ac:dyDescent="0.3">
      <c r="A851" s="39"/>
      <c r="B851" s="212" t="s">
        <v>192</v>
      </c>
      <c r="C851" s="212"/>
      <c r="D851" s="212"/>
      <c r="E851" s="212"/>
      <c r="F851" s="213"/>
    </row>
    <row r="852" spans="1:6" ht="16.5" thickTop="1" thickBot="1" x14ac:dyDescent="0.3">
      <c r="A852" s="35"/>
      <c r="B852" s="210" t="s">
        <v>3</v>
      </c>
      <c r="C852" s="209" t="s">
        <v>4</v>
      </c>
      <c r="D852" s="209" t="s">
        <v>5</v>
      </c>
      <c r="E852" s="209" t="s">
        <v>6</v>
      </c>
      <c r="F852" s="211" t="s">
        <v>75</v>
      </c>
    </row>
    <row r="853" spans="1:6" ht="16.5" thickTop="1" thickBot="1" x14ac:dyDescent="0.3">
      <c r="A853" s="24" t="s">
        <v>189</v>
      </c>
      <c r="B853" s="189">
        <v>-4</v>
      </c>
      <c r="C853" s="188">
        <v>-5</v>
      </c>
      <c r="D853" s="188">
        <v>-6</v>
      </c>
      <c r="E853" s="188">
        <v>1</v>
      </c>
      <c r="F853" s="193">
        <v>-3</v>
      </c>
    </row>
    <row r="854" spans="1:6" ht="16.5" thickTop="1" thickBot="1" x14ac:dyDescent="0.3">
      <c r="A854" s="24" t="s">
        <v>190</v>
      </c>
      <c r="B854" s="190">
        <f>B853-$B$849</f>
        <v>4.2913929168422644</v>
      </c>
      <c r="C854" s="146">
        <f>C853-$B$849</f>
        <v>3.2913929168422644</v>
      </c>
      <c r="D854" s="146">
        <f>D853-$B$849</f>
        <v>2.2913929168422644</v>
      </c>
      <c r="E854" s="146">
        <f>E853-$B$849</f>
        <v>9.2913929168422644</v>
      </c>
      <c r="F854" s="194">
        <f>F853-$B$849</f>
        <v>5.2913929168422644</v>
      </c>
    </row>
    <row r="855" spans="1:6" ht="16.5" thickTop="1" thickBot="1" x14ac:dyDescent="0.3">
      <c r="A855" s="36" t="s">
        <v>191</v>
      </c>
      <c r="B855" s="207" t="b">
        <f>B854&gt;2</f>
        <v>1</v>
      </c>
      <c r="C855" s="138" t="b">
        <f>C854&gt;2</f>
        <v>1</v>
      </c>
      <c r="D855" s="138" t="b">
        <f>D854&gt;2</f>
        <v>1</v>
      </c>
      <c r="E855" s="138" t="b">
        <f>E854&gt;2</f>
        <v>1</v>
      </c>
      <c r="F855" s="196" t="b">
        <f>F854&gt;2</f>
        <v>1</v>
      </c>
    </row>
    <row r="856" spans="1:6" ht="15.75" thickTop="1" x14ac:dyDescent="0.25"/>
    <row r="911" ht="15" customHeight="1" x14ac:dyDescent="0.25"/>
    <row r="915" spans="1:7" x14ac:dyDescent="0.25">
      <c r="A915" s="248"/>
      <c r="B915" s="248"/>
      <c r="C915" s="248"/>
      <c r="D915" s="248"/>
      <c r="E915" s="248"/>
      <c r="F915" s="248"/>
      <c r="G915" s="248"/>
    </row>
    <row r="924" spans="1:7" x14ac:dyDescent="0.25">
      <c r="A924" s="248"/>
      <c r="B924" s="248"/>
      <c r="C924" s="248"/>
      <c r="D924" s="248"/>
      <c r="E924" s="248"/>
      <c r="F924" s="248"/>
    </row>
    <row r="925" spans="1:7" x14ac:dyDescent="0.25">
      <c r="A925" s="248"/>
      <c r="B925" s="248"/>
      <c r="C925" s="248"/>
      <c r="D925" s="248"/>
      <c r="E925" s="248"/>
      <c r="F925" s="248"/>
    </row>
  </sheetData>
  <mergeCells count="117">
    <mergeCell ref="A370:A371"/>
    <mergeCell ref="B370:B371"/>
    <mergeCell ref="C370:C371"/>
    <mergeCell ref="D370:D371"/>
    <mergeCell ref="E370:E371"/>
    <mergeCell ref="F221:F222"/>
    <mergeCell ref="G221:G222"/>
    <mergeCell ref="A153:G153"/>
    <mergeCell ref="A189:G189"/>
    <mergeCell ref="A221:A222"/>
    <mergeCell ref="B221:B222"/>
    <mergeCell ref="C221:C222"/>
    <mergeCell ref="D221:D222"/>
    <mergeCell ref="E221:E222"/>
    <mergeCell ref="A185:A186"/>
    <mergeCell ref="B185:B186"/>
    <mergeCell ref="C185:C186"/>
    <mergeCell ref="D185:D186"/>
    <mergeCell ref="E185:E186"/>
    <mergeCell ref="F185:F186"/>
    <mergeCell ref="G185:G186"/>
    <mergeCell ref="A149:A150"/>
    <mergeCell ref="B149:B150"/>
    <mergeCell ref="C149:C150"/>
    <mergeCell ref="D149:D150"/>
    <mergeCell ref="E149:E150"/>
    <mergeCell ref="A117:G117"/>
    <mergeCell ref="A113:A114"/>
    <mergeCell ref="B113:B114"/>
    <mergeCell ref="C113:C114"/>
    <mergeCell ref="D113:D114"/>
    <mergeCell ref="E113:E114"/>
    <mergeCell ref="F113:F114"/>
    <mergeCell ref="G113:G114"/>
    <mergeCell ref="F149:F150"/>
    <mergeCell ref="G149:G150"/>
    <mergeCell ref="A81:G81"/>
    <mergeCell ref="A41:A42"/>
    <mergeCell ref="B41:C41"/>
    <mergeCell ref="D41:E41"/>
    <mergeCell ref="F41:G41"/>
    <mergeCell ref="A77:A78"/>
    <mergeCell ref="B77:B78"/>
    <mergeCell ref="C77:C78"/>
    <mergeCell ref="D77:D78"/>
    <mergeCell ref="E77:E78"/>
    <mergeCell ref="F77:F78"/>
    <mergeCell ref="A843:F843"/>
    <mergeCell ref="F503:F504"/>
    <mergeCell ref="E503:E504"/>
    <mergeCell ref="D503:D504"/>
    <mergeCell ref="C503:C504"/>
    <mergeCell ref="B503:B504"/>
    <mergeCell ref="A494:G494"/>
    <mergeCell ref="H239:H240"/>
    <mergeCell ref="A361:G361"/>
    <mergeCell ref="A304:G304"/>
    <mergeCell ref="A239:A240"/>
    <mergeCell ref="B239:B240"/>
    <mergeCell ref="C239:C240"/>
    <mergeCell ref="D239:D240"/>
    <mergeCell ref="E239:E240"/>
    <mergeCell ref="F239:F240"/>
    <mergeCell ref="G239:G240"/>
    <mergeCell ref="A253:A254"/>
    <mergeCell ref="B253:B254"/>
    <mergeCell ref="C253:C254"/>
    <mergeCell ref="D253:D254"/>
    <mergeCell ref="E253:E254"/>
    <mergeCell ref="F253:F254"/>
    <mergeCell ref="G253:G254"/>
    <mergeCell ref="A296:A297"/>
    <mergeCell ref="B296:B297"/>
    <mergeCell ref="A924:A925"/>
    <mergeCell ref="B924:B925"/>
    <mergeCell ref="C924:C925"/>
    <mergeCell ref="D924:D925"/>
    <mergeCell ref="E924:E925"/>
    <mergeCell ref="F924:F925"/>
    <mergeCell ref="A915:G915"/>
    <mergeCell ref="A700:G700"/>
    <mergeCell ref="A709:A710"/>
    <mergeCell ref="B709:B710"/>
    <mergeCell ref="C709:C710"/>
    <mergeCell ref="D709:D710"/>
    <mergeCell ref="E709:E710"/>
    <mergeCell ref="F709:F710"/>
    <mergeCell ref="F780:F781"/>
    <mergeCell ref="E780:E781"/>
    <mergeCell ref="D780:D781"/>
    <mergeCell ref="C780:C781"/>
    <mergeCell ref="B780:B781"/>
    <mergeCell ref="A780:A781"/>
    <mergeCell ref="B851:F851"/>
    <mergeCell ref="A503:A504"/>
    <mergeCell ref="A427:G427"/>
    <mergeCell ref="A436:A437"/>
    <mergeCell ref="B436:B437"/>
    <mergeCell ref="C436:C437"/>
    <mergeCell ref="D436:D437"/>
    <mergeCell ref="E436:E437"/>
    <mergeCell ref="F436:F437"/>
    <mergeCell ref="A562:G562"/>
    <mergeCell ref="A571:A572"/>
    <mergeCell ref="B571:B572"/>
    <mergeCell ref="C571:C572"/>
    <mergeCell ref="D571:D572"/>
    <mergeCell ref="E571:E572"/>
    <mergeCell ref="F571:F572"/>
    <mergeCell ref="A631:G631"/>
    <mergeCell ref="A640:A641"/>
    <mergeCell ref="B640:B641"/>
    <mergeCell ref="C640:C641"/>
    <mergeCell ref="D640:D641"/>
    <mergeCell ref="E640:E641"/>
    <mergeCell ref="F640:F641"/>
    <mergeCell ref="A771:G771"/>
  </mergeCells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2023-03-06T17:55:01Z</dcterms:created>
  <dcterms:modified xsi:type="dcterms:W3CDTF">2023-05-22T21:26:45Z</dcterms:modified>
</cp:coreProperties>
</file>