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cteiul365-my.sharepoint.com/personal/jrpre1_iscte-iul_pt/Documents/Universidade/3º Ano/2º Semestre/Sistemas de Comunicação Ótica/Projeto/22-23/"/>
    </mc:Choice>
  </mc:AlternateContent>
  <xr:revisionPtr revIDLastSave="205" documentId="8_{11154DF1-DC43-4ED0-8048-57069E8E652B}" xr6:coauthVersionLast="47" xr6:coauthVersionMax="47" xr10:uidLastSave="{CE68F531-166D-40E6-BDBA-5A24304689A2}"/>
  <bookViews>
    <workbookView minimized="1" xWindow="5400" yWindow="150" windowWidth="16200" windowHeight="9970" activeTab="2" xr2:uid="{82DE9140-D991-4026-9358-90BDF3E164DE}"/>
  </bookViews>
  <sheets>
    <sheet name="Dados e Constantes" sheetId="1" r:id="rId1"/>
    <sheet name="Anel A9 Dados" sheetId="2" r:id="rId2"/>
    <sheet name="Análise DC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C25" i="3"/>
  <c r="H22" i="3"/>
  <c r="F22" i="3"/>
  <c r="B16" i="2"/>
  <c r="C28" i="3"/>
  <c r="D36" i="2" l="1"/>
  <c r="D35" i="2"/>
  <c r="D34" i="2"/>
  <c r="D33" i="2"/>
  <c r="D32" i="2"/>
  <c r="D31" i="2"/>
  <c r="B27" i="1"/>
  <c r="F34" i="3"/>
  <c r="B19" i="1"/>
  <c r="C34" i="3" l="1"/>
  <c r="H15" i="3" l="1"/>
  <c r="G15" i="3"/>
  <c r="F15" i="3"/>
  <c r="E15" i="3"/>
  <c r="D15" i="3"/>
  <c r="C15" i="3"/>
  <c r="E10" i="3"/>
  <c r="E9" i="3"/>
  <c r="E8" i="3"/>
  <c r="E7" i="3"/>
  <c r="E6" i="3"/>
  <c r="E5" i="3"/>
  <c r="E4" i="3"/>
  <c r="E3" i="3"/>
  <c r="B18" i="2"/>
  <c r="B17" i="2"/>
  <c r="B15" i="2"/>
  <c r="B14" i="2"/>
  <c r="B13" i="2"/>
  <c r="B12" i="2"/>
  <c r="C7" i="2"/>
  <c r="H16" i="3" s="1"/>
  <c r="C6" i="2"/>
  <c r="G16" i="3" s="1"/>
  <c r="C2" i="2"/>
  <c r="C16" i="3" s="1"/>
  <c r="C35" i="3" s="1"/>
  <c r="C5" i="2"/>
  <c r="F16" i="3" s="1"/>
  <c r="C4" i="2"/>
  <c r="E16" i="3" s="1"/>
  <c r="C3" i="2"/>
  <c r="D16" i="3" s="1"/>
  <c r="B18" i="1"/>
  <c r="C18" i="3" s="1"/>
  <c r="B17" i="1"/>
  <c r="B14" i="1"/>
  <c r="E3" i="2" l="1"/>
  <c r="D17" i="3" s="1"/>
  <c r="D22" i="3" s="1"/>
  <c r="D6" i="2"/>
  <c r="D2" i="2"/>
  <c r="E4" i="2"/>
  <c r="E17" i="3" s="1"/>
  <c r="E22" i="3" s="1"/>
  <c r="E2" i="2"/>
  <c r="C17" i="3" s="1"/>
  <c r="E5" i="2"/>
  <c r="F17" i="3" s="1"/>
  <c r="D4" i="2"/>
  <c r="E6" i="2"/>
  <c r="G17" i="3" s="1"/>
  <c r="G22" i="3" s="1"/>
  <c r="D7" i="2"/>
  <c r="D3" i="2"/>
  <c r="D5" i="2"/>
  <c r="E7" i="2"/>
  <c r="H17" i="3" s="1"/>
  <c r="G28" i="3" l="1"/>
  <c r="G23" i="3"/>
  <c r="F28" i="3"/>
  <c r="F23" i="3"/>
  <c r="F24" i="3"/>
  <c r="G24" i="3"/>
  <c r="C36" i="3"/>
  <c r="C22" i="3"/>
  <c r="H28" i="3"/>
  <c r="D28" i="3"/>
  <c r="D24" i="3"/>
  <c r="D23" i="3"/>
  <c r="E28" i="3"/>
  <c r="E24" i="3"/>
  <c r="E23" i="3"/>
  <c r="H34" i="3" l="1"/>
  <c r="H29" i="3"/>
  <c r="H30" i="3"/>
  <c r="G29" i="3"/>
  <c r="G30" i="3"/>
  <c r="G34" i="3"/>
  <c r="E34" i="3"/>
  <c r="E30" i="3"/>
  <c r="E29" i="3"/>
  <c r="H23" i="3"/>
  <c r="H24" i="3"/>
  <c r="C24" i="3"/>
  <c r="C23" i="3"/>
  <c r="D34" i="3"/>
  <c r="D29" i="3"/>
  <c r="D30" i="3"/>
  <c r="F29" i="3"/>
  <c r="F30" i="3"/>
  <c r="H35" i="3" l="1"/>
  <c r="H36" i="3"/>
  <c r="D36" i="3"/>
  <c r="D35" i="3"/>
  <c r="E35" i="3"/>
  <c r="E36" i="3"/>
  <c r="D31" i="3"/>
  <c r="H25" i="3"/>
  <c r="G25" i="3"/>
  <c r="F25" i="3"/>
  <c r="E25" i="3"/>
  <c r="G36" i="3"/>
  <c r="G35" i="3"/>
  <c r="F35" i="3"/>
  <c r="F36" i="3"/>
  <c r="C29" i="3"/>
  <c r="C30" i="3"/>
  <c r="C31" i="3" l="1"/>
  <c r="F31" i="3"/>
  <c r="G31" i="3"/>
  <c r="H31" i="3"/>
  <c r="E31" i="3"/>
  <c r="E37" i="3"/>
  <c r="H37" i="3"/>
  <c r="C37" i="3"/>
  <c r="F37" i="3"/>
  <c r="G37" i="3"/>
  <c r="D37" i="3"/>
</calcChain>
</file>

<file path=xl/sharedStrings.xml><?xml version="1.0" encoding="utf-8"?>
<sst xmlns="http://schemas.openxmlformats.org/spreadsheetml/2006/main" count="188" uniqueCount="136">
  <si>
    <t>Constantes</t>
  </si>
  <si>
    <t>Velocidade da Luz (m/s)</t>
  </si>
  <si>
    <t>Fibra Ótica Dados</t>
  </si>
  <si>
    <t>λ (nm)</t>
  </si>
  <si>
    <t>Declive com zero dispersão [ps/(nm^2*km)]</t>
  </si>
  <si>
    <t>Dados Projeto</t>
  </si>
  <si>
    <t>Rb (bit/s)</t>
  </si>
  <si>
    <t>Penalidade máxima (db)</t>
  </si>
  <si>
    <t>Comprimento Segmento Fibra (km)</t>
  </si>
  <si>
    <t>Figura de mérito Máxima</t>
  </si>
  <si>
    <t>Dispersão</t>
  </si>
  <si>
    <t>D(λ) (ps/(nm*km))</t>
  </si>
  <si>
    <t>Dispersão Residual Máxima por Conexão (ps/nm)</t>
  </si>
  <si>
    <t>Conexão</t>
  </si>
  <si>
    <t>Comprimento de Conexão (km)</t>
  </si>
  <si>
    <t>Dispersão em cada conexão (ps/nm)</t>
  </si>
  <si>
    <t>Dispersão de compensação (ps/nm)</t>
  </si>
  <si>
    <t>Dispersão SSMF (ps/nm)</t>
  </si>
  <si>
    <t>A</t>
  </si>
  <si>
    <t>B</t>
  </si>
  <si>
    <t>D</t>
  </si>
  <si>
    <t>E</t>
  </si>
  <si>
    <t>F</t>
  </si>
  <si>
    <t>C</t>
  </si>
  <si>
    <t>Comprimento Conexão</t>
  </si>
  <si>
    <t>Maior Conexão</t>
  </si>
  <si>
    <t>A1</t>
  </si>
  <si>
    <t>B2</t>
  </si>
  <si>
    <t>C3</t>
  </si>
  <si>
    <t>D4</t>
  </si>
  <si>
    <t>E5</t>
  </si>
  <si>
    <t>F6</t>
  </si>
  <si>
    <t>Comprimento (km)</t>
  </si>
  <si>
    <t>Dacc DCM ideal (ps/nm)</t>
  </si>
  <si>
    <t>Dispersão DCM</t>
  </si>
  <si>
    <t>Subestimação dispersão (ps/nm)</t>
  </si>
  <si>
    <t>Dres Total (ps/nm)</t>
  </si>
  <si>
    <t>DCM-100</t>
  </si>
  <si>
    <t>DCM-80</t>
  </si>
  <si>
    <t>DCM-60</t>
  </si>
  <si>
    <t>Dres, conexão (ps/nm)</t>
  </si>
  <si>
    <t>DCM-40</t>
  </si>
  <si>
    <t>Dispersão Residual Máxima (ps/nm)</t>
  </si>
  <si>
    <t>Características</t>
  </si>
  <si>
    <t>3 (DCM-3)</t>
  </si>
  <si>
    <t>10 (DCM-10)</t>
  </si>
  <si>
    <t>20 (DCM-20)</t>
  </si>
  <si>
    <t>30 (DCM-30)</t>
  </si>
  <si>
    <t>40 (DCM-40)</t>
  </si>
  <si>
    <t>60 (DCM-60)</t>
  </si>
  <si>
    <t>80 (DCM-80)</t>
  </si>
  <si>
    <t>100 (DCM-100)</t>
  </si>
  <si>
    <t>Dispersão Residual Anel A9 (ps/nm)</t>
  </si>
  <si>
    <t>Dados</t>
  </si>
  <si>
    <t>Valor</t>
  </si>
  <si>
    <t>Comprimento de onda do canal (λ)</t>
  </si>
  <si>
    <t>Anel do Grupo</t>
  </si>
  <si>
    <t>Capacidade por Canal ótico (X)</t>
  </si>
  <si>
    <t>Capacidade Total (Y)</t>
  </si>
  <si>
    <t>Fase Não Linear Aceitável</t>
  </si>
  <si>
    <t>Pior caso de probabilidade de erro de bit requerida</t>
  </si>
  <si>
    <t>Margem de Sobrecarga Requerida</t>
  </si>
  <si>
    <t>Margem de Sistema Requerida</t>
  </si>
  <si>
    <t>Penalidade Máxima Aceitável devido a efeitos Não Lineares da Fibra</t>
  </si>
  <si>
    <t xml:space="preserve">Penalidade Máxima Aceitável devido à Dispersão </t>
  </si>
  <si>
    <t>2 dB</t>
  </si>
  <si>
    <t>2.5 dB</t>
  </si>
  <si>
    <t>1 dB</t>
  </si>
  <si>
    <t>π/2</t>
  </si>
  <si>
    <t>60 Gbtit/s</t>
  </si>
  <si>
    <t>10 Gbit/s</t>
  </si>
  <si>
    <t>A9</t>
  </si>
  <si>
    <t>1554.13 nm</t>
  </si>
  <si>
    <t>Segmento de Fibra de Transmissão</t>
  </si>
  <si>
    <t>2 km</t>
  </si>
  <si>
    <t>ID do emissor</t>
  </si>
  <si>
    <t>Tipo de Modulação</t>
  </si>
  <si>
    <t>Potência à saída do emissor no nível lógico "0"</t>
  </si>
  <si>
    <t>Razão de extinção</t>
  </si>
  <si>
    <t>Largura de linha a meia potência</t>
  </si>
  <si>
    <t>Deriva máxima de frequência</t>
  </si>
  <si>
    <t>Externa</t>
  </si>
  <si>
    <t>2 dBm</t>
  </si>
  <si>
    <t>8.5 dB</t>
  </si>
  <si>
    <t>13 GHz</t>
  </si>
  <si>
    <t>10 MHz</t>
  </si>
  <si>
    <t>± 4.5 GHz</t>
  </si>
  <si>
    <t>ID do recetor</t>
  </si>
  <si>
    <t>Tipo de foto-detetor</t>
  </si>
  <si>
    <t>Eficiência Quântica</t>
  </si>
  <si>
    <t>NEP</t>
  </si>
  <si>
    <t>Tipo de filtro do recetor</t>
  </si>
  <si>
    <t>Parâmetro de sobrecarga</t>
  </si>
  <si>
    <t>Largura de banda a -3 dB</t>
  </si>
  <si>
    <t>PIN</t>
  </si>
  <si>
    <t>5 pW/Hz^1/2</t>
  </si>
  <si>
    <t>Butterworth 4º ordem</t>
  </si>
  <si>
    <t>-4 dBm</t>
  </si>
  <si>
    <t>10 GHz</t>
  </si>
  <si>
    <t>ID da Conexão</t>
  </si>
  <si>
    <t>Conexões</t>
  </si>
  <si>
    <t>Distância da Conexão</t>
  </si>
  <si>
    <t>Número Segmentos de Fibra</t>
  </si>
  <si>
    <t>Coimbra - Seia</t>
  </si>
  <si>
    <t>Seia - Guarda</t>
  </si>
  <si>
    <t>Guarda - Viseu</t>
  </si>
  <si>
    <t>Viseu - Aveiro</t>
  </si>
  <si>
    <t>Aveiro - Figueira da Foz</t>
  </si>
  <si>
    <t>Figueira da Foz - Coimbra</t>
  </si>
  <si>
    <t>91 Km</t>
  </si>
  <si>
    <t>65 Km</t>
  </si>
  <si>
    <t>75 Km</t>
  </si>
  <si>
    <t>90 Km</t>
  </si>
  <si>
    <t>63 Km</t>
  </si>
  <si>
    <t>52 Km</t>
  </si>
  <si>
    <r>
      <t xml:space="preserve">45.5 </t>
    </r>
    <r>
      <rPr>
        <sz val="11"/>
        <color theme="1"/>
        <rFont val="Calibri"/>
        <family val="2"/>
      </rPr>
      <t>≈ 46</t>
    </r>
  </si>
  <si>
    <t>32.5 ≈ 33</t>
  </si>
  <si>
    <t>37.5 ≈ 38</t>
  </si>
  <si>
    <t>31.5 ≈ 32</t>
  </si>
  <si>
    <t>Conexões atravessadas</t>
  </si>
  <si>
    <t>Comprimento das Conexões</t>
  </si>
  <si>
    <t>A + B + C + D + E</t>
  </si>
  <si>
    <t>B + C + D + E + F</t>
  </si>
  <si>
    <t>C + D + E + F + A</t>
  </si>
  <si>
    <t>D + E + F + A + B</t>
  </si>
  <si>
    <t>E + F + A + B + C</t>
  </si>
  <si>
    <t>F + A + B + C +D</t>
  </si>
  <si>
    <t>Coimbra - Figueira da Foz</t>
  </si>
  <si>
    <t>Seia - Coimbra</t>
  </si>
  <si>
    <t>Guarda - Seia</t>
  </si>
  <si>
    <t>Viseu - Guarda</t>
  </si>
  <si>
    <t>Aveiro - Viseu</t>
  </si>
  <si>
    <t>Figueira da Foz - Aveiro</t>
  </si>
  <si>
    <t>1º Passo</t>
  </si>
  <si>
    <t>2º Passo</t>
  </si>
  <si>
    <t>3º Passo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</si>
</sst>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textRotation="90"/>
    </xf>
    <xf numFmtId="0" fontId="1" fillId="7" borderId="0" xfId="0" applyFont="1" applyFill="1"/>
    <xf numFmtId="0" fontId="1" fillId="11" borderId="0" xfId="0" applyFont="1" applyFill="1"/>
    <xf numFmtId="0" fontId="0" fillId="12" borderId="0" xfId="0" applyFill="1"/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9" fontId="0" fillId="15" borderId="0" xfId="0" applyNumberFormat="1" applyFill="1" applyAlignment="1">
      <alignment horizontal="center"/>
    </xf>
    <xf numFmtId="0" fontId="4" fillId="0" borderId="0" xfId="0" applyFont="1"/>
    <xf numFmtId="0" fontId="3" fillId="15" borderId="0" xfId="0" applyFont="1" applyFill="1" applyAlignment="1">
      <alignment horizontal="center"/>
    </xf>
    <xf numFmtId="0" fontId="0" fillId="15" borderId="0" xfId="0" quotePrefix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 textRotation="135" wrapText="1"/>
    </xf>
    <xf numFmtId="0" fontId="1" fillId="11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7" borderId="0" xfId="0" applyFont="1" applyFill="1" applyAlignment="1">
      <alignment horizontal="center" vertical="center" textRotation="135" wrapText="1"/>
    </xf>
    <xf numFmtId="0" fontId="1" fillId="3" borderId="0" xfId="0" applyFont="1" applyFill="1" applyAlignment="1">
      <alignment horizontal="center" vertical="center" textRotation="135" wrapText="1"/>
    </xf>
    <xf numFmtId="0" fontId="1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textRotation="135" wrapText="1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FE14-EAF5-4FFF-A4AA-0E0DBEC64C60}">
  <dimension ref="A1:G38"/>
  <sheetViews>
    <sheetView topLeftCell="A8" workbookViewId="0">
      <selection activeCell="B18" sqref="B18"/>
    </sheetView>
  </sheetViews>
  <sheetFormatPr defaultRowHeight="14.5" x14ac:dyDescent="0.35"/>
  <cols>
    <col min="1" max="1" width="58.453125" bestFit="1" customWidth="1"/>
    <col min="2" max="2" width="18.1796875" bestFit="1" customWidth="1"/>
    <col min="3" max="3" width="40.1796875" bestFit="1" customWidth="1"/>
    <col min="4" max="4" width="16" bestFit="1" customWidth="1"/>
    <col min="5" max="5" width="21.81640625" bestFit="1" customWidth="1"/>
    <col min="6" max="6" width="39.81640625" bestFit="1" customWidth="1"/>
    <col min="7" max="7" width="25.54296875" bestFit="1" customWidth="1"/>
    <col min="8" max="8" width="21.36328125" bestFit="1" customWidth="1"/>
    <col min="9" max="9" width="28.1796875" bestFit="1" customWidth="1"/>
    <col min="10" max="10" width="25.54296875" bestFit="1" customWidth="1"/>
  </cols>
  <sheetData>
    <row r="1" spans="1:2" x14ac:dyDescent="0.35">
      <c r="A1" s="22" t="s">
        <v>0</v>
      </c>
      <c r="B1" s="22"/>
    </row>
    <row r="2" spans="1:2" x14ac:dyDescent="0.35">
      <c r="A2" s="15" t="s">
        <v>1</v>
      </c>
      <c r="B2" s="5">
        <v>299790000</v>
      </c>
    </row>
    <row r="4" spans="1:2" x14ac:dyDescent="0.35">
      <c r="A4" s="22" t="s">
        <v>2</v>
      </c>
      <c r="B4" s="22"/>
    </row>
    <row r="5" spans="1:2" x14ac:dyDescent="0.35">
      <c r="A5" s="15" t="s">
        <v>3</v>
      </c>
      <c r="B5" s="5">
        <v>1310</v>
      </c>
    </row>
    <row r="6" spans="1:2" x14ac:dyDescent="0.35">
      <c r="A6" s="15" t="s">
        <v>4</v>
      </c>
      <c r="B6" s="5">
        <v>9.1999999999999998E-2</v>
      </c>
    </row>
    <row r="8" spans="1:2" x14ac:dyDescent="0.35">
      <c r="A8" s="22" t="s">
        <v>5</v>
      </c>
      <c r="B8" s="22"/>
    </row>
    <row r="9" spans="1:2" x14ac:dyDescent="0.35">
      <c r="A9" s="15" t="s">
        <v>3</v>
      </c>
      <c r="B9" s="5">
        <v>1554.13</v>
      </c>
    </row>
    <row r="10" spans="1:2" x14ac:dyDescent="0.35">
      <c r="A10" s="15" t="s">
        <v>6</v>
      </c>
      <c r="B10" s="5">
        <v>10000000000</v>
      </c>
    </row>
    <row r="11" spans="1:2" x14ac:dyDescent="0.35">
      <c r="A11" s="15" t="s">
        <v>7</v>
      </c>
      <c r="B11" s="5">
        <v>1</v>
      </c>
    </row>
    <row r="12" spans="1:2" x14ac:dyDescent="0.35">
      <c r="A12" s="15" t="s">
        <v>8</v>
      </c>
      <c r="B12" s="5">
        <v>2</v>
      </c>
    </row>
    <row r="14" spans="1:2" x14ac:dyDescent="0.35">
      <c r="A14" s="15" t="s">
        <v>9</v>
      </c>
      <c r="B14" s="5">
        <f>SQRT(10^(B11/5)-1)/8</f>
        <v>9.5597887697401032E-2</v>
      </c>
    </row>
    <row r="16" spans="1:2" x14ac:dyDescent="0.35">
      <c r="A16" s="22" t="s">
        <v>10</v>
      </c>
      <c r="B16" s="22"/>
    </row>
    <row r="17" spans="1:6" x14ac:dyDescent="0.35">
      <c r="A17" s="15" t="s">
        <v>11</v>
      </c>
      <c r="B17" s="5">
        <f>SUM(B6/4*(B9-B5^4/B9^3))</f>
        <v>17.700235119883192</v>
      </c>
    </row>
    <row r="18" spans="1:6" x14ac:dyDescent="0.35">
      <c r="A18" s="15" t="s">
        <v>12</v>
      </c>
      <c r="B18" s="5">
        <f>((B14*2*PI()*B2)/((B10)^2*(B9*10^-9)^2))*1000</f>
        <v>745.53943299473985</v>
      </c>
    </row>
    <row r="19" spans="1:6" x14ac:dyDescent="0.35">
      <c r="A19" s="15" t="s">
        <v>52</v>
      </c>
      <c r="B19" s="5">
        <f>B17*SUM('Anel A9 Dados'!B2:B7)</f>
        <v>7717.3025122690715</v>
      </c>
    </row>
    <row r="21" spans="1:6" x14ac:dyDescent="0.35">
      <c r="A21" s="15" t="s">
        <v>53</v>
      </c>
      <c r="B21" s="15" t="s">
        <v>54</v>
      </c>
    </row>
    <row r="22" spans="1:6" x14ac:dyDescent="0.35">
      <c r="A22" s="15" t="s">
        <v>55</v>
      </c>
      <c r="B22" s="5" t="s">
        <v>72</v>
      </c>
    </row>
    <row r="23" spans="1:6" x14ac:dyDescent="0.35">
      <c r="A23" s="15" t="s">
        <v>56</v>
      </c>
      <c r="B23" s="5" t="s">
        <v>71</v>
      </c>
      <c r="F23" s="19"/>
    </row>
    <row r="24" spans="1:6" x14ac:dyDescent="0.35">
      <c r="A24" s="15" t="s">
        <v>57</v>
      </c>
      <c r="B24" s="5" t="s">
        <v>70</v>
      </c>
    </row>
    <row r="25" spans="1:6" x14ac:dyDescent="0.35">
      <c r="A25" s="15" t="s">
        <v>58</v>
      </c>
      <c r="B25" s="5" t="s">
        <v>69</v>
      </c>
    </row>
    <row r="26" spans="1:6" x14ac:dyDescent="0.35">
      <c r="A26" s="15" t="s">
        <v>59</v>
      </c>
      <c r="B26" s="5" t="s">
        <v>68</v>
      </c>
    </row>
    <row r="27" spans="1:6" x14ac:dyDescent="0.35">
      <c r="A27" s="15" t="s">
        <v>60</v>
      </c>
      <c r="B27" s="5">
        <f>POWER(10,-13)</f>
        <v>1E-13</v>
      </c>
    </row>
    <row r="28" spans="1:6" x14ac:dyDescent="0.35">
      <c r="A28" s="15" t="s">
        <v>61</v>
      </c>
      <c r="B28" s="5" t="s">
        <v>65</v>
      </c>
    </row>
    <row r="29" spans="1:6" x14ac:dyDescent="0.35">
      <c r="A29" s="15" t="s">
        <v>62</v>
      </c>
      <c r="B29" s="5" t="s">
        <v>66</v>
      </c>
    </row>
    <row r="30" spans="1:6" x14ac:dyDescent="0.35">
      <c r="A30" s="15" t="s">
        <v>63</v>
      </c>
      <c r="B30" s="5" t="s">
        <v>67</v>
      </c>
    </row>
    <row r="31" spans="1:6" x14ac:dyDescent="0.35">
      <c r="A31" s="15" t="s">
        <v>64</v>
      </c>
      <c r="B31" s="5" t="s">
        <v>67</v>
      </c>
    </row>
    <row r="32" spans="1:6" x14ac:dyDescent="0.35">
      <c r="A32" s="15" t="s">
        <v>73</v>
      </c>
      <c r="B32" s="5" t="s">
        <v>74</v>
      </c>
    </row>
    <row r="35" spans="1:7" x14ac:dyDescent="0.35">
      <c r="A35" s="16" t="s">
        <v>75</v>
      </c>
      <c r="B35" s="16" t="s">
        <v>76</v>
      </c>
      <c r="C35" s="16" t="s">
        <v>77</v>
      </c>
      <c r="D35" s="16" t="s">
        <v>78</v>
      </c>
      <c r="E35" s="16" t="s">
        <v>93</v>
      </c>
      <c r="F35" s="16" t="s">
        <v>79</v>
      </c>
      <c r="G35" s="16" t="s">
        <v>80</v>
      </c>
    </row>
    <row r="36" spans="1:7" x14ac:dyDescent="0.35">
      <c r="A36" s="17" t="s">
        <v>18</v>
      </c>
      <c r="B36" s="17" t="s">
        <v>81</v>
      </c>
      <c r="C36" s="17" t="s">
        <v>82</v>
      </c>
      <c r="D36" s="17" t="s">
        <v>83</v>
      </c>
      <c r="E36" s="17" t="s">
        <v>84</v>
      </c>
      <c r="F36" s="17" t="s">
        <v>85</v>
      </c>
      <c r="G36" s="20" t="s">
        <v>86</v>
      </c>
    </row>
    <row r="37" spans="1:7" x14ac:dyDescent="0.35">
      <c r="A37" s="16" t="s">
        <v>87</v>
      </c>
      <c r="B37" s="16" t="s">
        <v>88</v>
      </c>
      <c r="C37" s="16" t="s">
        <v>89</v>
      </c>
      <c r="D37" s="16" t="s">
        <v>90</v>
      </c>
      <c r="E37" s="16" t="s">
        <v>91</v>
      </c>
      <c r="F37" s="16" t="s">
        <v>92</v>
      </c>
      <c r="G37" s="16" t="s">
        <v>93</v>
      </c>
    </row>
    <row r="38" spans="1:7" x14ac:dyDescent="0.35">
      <c r="A38" s="17" t="s">
        <v>18</v>
      </c>
      <c r="B38" s="17" t="s">
        <v>94</v>
      </c>
      <c r="C38" s="18">
        <v>0.75</v>
      </c>
      <c r="D38" s="17" t="s">
        <v>95</v>
      </c>
      <c r="E38" s="17" t="s">
        <v>96</v>
      </c>
      <c r="F38" s="21" t="s">
        <v>97</v>
      </c>
      <c r="G38" s="17" t="s">
        <v>98</v>
      </c>
    </row>
  </sheetData>
  <mergeCells count="4">
    <mergeCell ref="A1:B1"/>
    <mergeCell ref="A4:B4"/>
    <mergeCell ref="A8:B8"/>
    <mergeCell ref="A16:B1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7730-A51C-4BD7-9F3F-07025C4A7B03}">
  <dimension ref="A1:E36"/>
  <sheetViews>
    <sheetView workbookViewId="0">
      <selection activeCell="E2" sqref="E2"/>
    </sheetView>
  </sheetViews>
  <sheetFormatPr defaultRowHeight="14.5" x14ac:dyDescent="0.35"/>
  <cols>
    <col min="1" max="1" width="13.6328125" bestFit="1" customWidth="1"/>
    <col min="2" max="2" width="27.26953125" bestFit="1" customWidth="1"/>
    <col min="3" max="3" width="31.6328125" bestFit="1" customWidth="1"/>
    <col min="4" max="5" width="31.1796875" bestFit="1" customWidth="1"/>
  </cols>
  <sheetData>
    <row r="1" spans="1:5" x14ac:dyDescent="0.35">
      <c r="A1" s="15" t="s">
        <v>13</v>
      </c>
      <c r="B1" s="15" t="s">
        <v>14</v>
      </c>
      <c r="C1" s="15" t="s">
        <v>17</v>
      </c>
      <c r="D1" s="15" t="s">
        <v>15</v>
      </c>
      <c r="E1" s="15" t="s">
        <v>16</v>
      </c>
    </row>
    <row r="2" spans="1:5" x14ac:dyDescent="0.35">
      <c r="A2" s="15" t="s">
        <v>18</v>
      </c>
      <c r="B2" s="5">
        <v>91</v>
      </c>
      <c r="C2" s="5">
        <f>B2*'Dados e Constantes'!B17</f>
        <v>1610.7213959093706</v>
      </c>
      <c r="D2" s="5">
        <f>B2*'Dados e Constantes'!B18*0.001</f>
        <v>67.844088402521336</v>
      </c>
      <c r="E2" s="5">
        <f>('Dados e Constantes'!B18/5)-('Dados e Constantes'!B17*B2)</f>
        <v>-1461.6135093104226</v>
      </c>
    </row>
    <row r="3" spans="1:5" x14ac:dyDescent="0.35">
      <c r="A3" s="15" t="s">
        <v>19</v>
      </c>
      <c r="B3" s="5">
        <v>65</v>
      </c>
      <c r="C3" s="5">
        <f>B3*'Dados e Constantes'!B17</f>
        <v>1150.5152827924076</v>
      </c>
      <c r="D3" s="5">
        <f>B3*'Dados e Constantes'!B18*0.001</f>
        <v>48.460063144658086</v>
      </c>
      <c r="E3" s="5">
        <f>('Dados e Constantes'!B18/5)-('Dados e Constantes'!B17*B3)</f>
        <v>-1001.4073961934596</v>
      </c>
    </row>
    <row r="4" spans="1:5" x14ac:dyDescent="0.35">
      <c r="A4" s="15" t="s">
        <v>23</v>
      </c>
      <c r="B4" s="5">
        <v>75</v>
      </c>
      <c r="C4" s="5">
        <f>B4*'Dados e Constantes'!B17</f>
        <v>1327.5176339912393</v>
      </c>
      <c r="D4" s="5">
        <f>B4*'Dados e Constantes'!B18*0.001</f>
        <v>55.915457474605489</v>
      </c>
      <c r="E4" s="5">
        <f>('Dados e Constantes'!B18/5)-('Dados e Constantes'!B17*B4)</f>
        <v>-1178.4097473922914</v>
      </c>
    </row>
    <row r="5" spans="1:5" x14ac:dyDescent="0.35">
      <c r="A5" s="15" t="s">
        <v>20</v>
      </c>
      <c r="B5" s="5">
        <v>90</v>
      </c>
      <c r="C5" s="5">
        <f>B5*'Dados e Constantes'!B17</f>
        <v>1593.0211607894873</v>
      </c>
      <c r="D5" s="5">
        <f>B5*'Dados e Constantes'!B18*0.001</f>
        <v>67.09854896952659</v>
      </c>
      <c r="E5" s="5">
        <f>('Dados e Constantes'!B18/5)-('Dados e Constantes'!B17*B5)</f>
        <v>-1443.9132741905394</v>
      </c>
    </row>
    <row r="6" spans="1:5" x14ac:dyDescent="0.35">
      <c r="A6" s="15" t="s">
        <v>21</v>
      </c>
      <c r="B6" s="5">
        <v>63</v>
      </c>
      <c r="C6" s="5">
        <f>B6*'Dados e Constantes'!B17</f>
        <v>1115.1148125526411</v>
      </c>
      <c r="D6" s="5">
        <f>B6*'Dados e Constantes'!B18*0.001</f>
        <v>46.968984278668614</v>
      </c>
      <c r="E6" s="5">
        <f>('Dados e Constantes'!B18/5)-('Dados e Constantes'!B17*B6)</f>
        <v>-966.0069259536931</v>
      </c>
    </row>
    <row r="7" spans="1:5" x14ac:dyDescent="0.35">
      <c r="A7" s="15" t="s">
        <v>22</v>
      </c>
      <c r="B7" s="5">
        <v>52</v>
      </c>
      <c r="C7" s="5">
        <f>B7*'Dados e Constantes'!B17</f>
        <v>920.41222623392605</v>
      </c>
      <c r="D7" s="5">
        <f>B7*'Dados e Constantes'!B18*0.001</f>
        <v>38.768050515726472</v>
      </c>
      <c r="E7" s="5">
        <f>('Dados e Constantes'!B18/5)-('Dados e Constantes'!B17*B7)</f>
        <v>-771.30433963497808</v>
      </c>
    </row>
    <row r="11" spans="1:5" x14ac:dyDescent="0.35">
      <c r="A11" s="15" t="s">
        <v>13</v>
      </c>
      <c r="B11" s="15" t="s">
        <v>24</v>
      </c>
    </row>
    <row r="12" spans="1:5" x14ac:dyDescent="0.35">
      <c r="A12" s="15" t="s">
        <v>26</v>
      </c>
      <c r="B12" s="5">
        <f>SUM(B2:B6)</f>
        <v>384</v>
      </c>
    </row>
    <row r="13" spans="1:5" x14ac:dyDescent="0.35">
      <c r="A13" s="15" t="s">
        <v>27</v>
      </c>
      <c r="B13" s="5">
        <f>SUM(B3:B7)</f>
        <v>345</v>
      </c>
    </row>
    <row r="14" spans="1:5" x14ac:dyDescent="0.35">
      <c r="A14" s="15" t="s">
        <v>28</v>
      </c>
      <c r="B14" s="5">
        <f>SUM(B4:B7,B2)</f>
        <v>371</v>
      </c>
    </row>
    <row r="15" spans="1:5" x14ac:dyDescent="0.35">
      <c r="A15" s="15" t="s">
        <v>29</v>
      </c>
      <c r="B15" s="5">
        <f>SUM(B5:B7,B2:B3)</f>
        <v>361</v>
      </c>
    </row>
    <row r="16" spans="1:5" x14ac:dyDescent="0.35">
      <c r="A16" s="15" t="s">
        <v>30</v>
      </c>
      <c r="B16" s="5">
        <f>SUM(B6:B7,B2:B3:B4)</f>
        <v>346</v>
      </c>
    </row>
    <row r="17" spans="1:4" x14ac:dyDescent="0.35">
      <c r="A17" s="15" t="s">
        <v>31</v>
      </c>
      <c r="B17" s="5">
        <f>SUM(B7,B2:B5)</f>
        <v>373</v>
      </c>
    </row>
    <row r="18" spans="1:4" x14ac:dyDescent="0.35">
      <c r="A18" s="15" t="s">
        <v>25</v>
      </c>
      <c r="B18" s="5">
        <f>MAX(B12:B17)</f>
        <v>384</v>
      </c>
    </row>
    <row r="22" spans="1:4" x14ac:dyDescent="0.35">
      <c r="A22" s="15" t="s">
        <v>99</v>
      </c>
      <c r="B22" s="15" t="s">
        <v>100</v>
      </c>
      <c r="C22" s="15" t="s">
        <v>101</v>
      </c>
      <c r="D22" s="15" t="s">
        <v>102</v>
      </c>
    </row>
    <row r="23" spans="1:4" x14ac:dyDescent="0.35">
      <c r="A23" s="15" t="s">
        <v>18</v>
      </c>
      <c r="B23" s="17" t="s">
        <v>103</v>
      </c>
      <c r="C23" s="17" t="s">
        <v>109</v>
      </c>
      <c r="D23" s="17" t="s">
        <v>115</v>
      </c>
    </row>
    <row r="24" spans="1:4" x14ac:dyDescent="0.35">
      <c r="A24" s="15" t="s">
        <v>19</v>
      </c>
      <c r="B24" s="17" t="s">
        <v>104</v>
      </c>
      <c r="C24" s="17" t="s">
        <v>110</v>
      </c>
      <c r="D24" s="17" t="s">
        <v>116</v>
      </c>
    </row>
    <row r="25" spans="1:4" x14ac:dyDescent="0.35">
      <c r="A25" s="15" t="s">
        <v>23</v>
      </c>
      <c r="B25" s="17" t="s">
        <v>105</v>
      </c>
      <c r="C25" s="17" t="s">
        <v>111</v>
      </c>
      <c r="D25" s="17" t="s">
        <v>117</v>
      </c>
    </row>
    <row r="26" spans="1:4" x14ac:dyDescent="0.35">
      <c r="A26" s="15" t="s">
        <v>20</v>
      </c>
      <c r="B26" s="17" t="s">
        <v>106</v>
      </c>
      <c r="C26" s="17" t="s">
        <v>112</v>
      </c>
      <c r="D26" s="17">
        <v>45</v>
      </c>
    </row>
    <row r="27" spans="1:4" x14ac:dyDescent="0.35">
      <c r="A27" s="15" t="s">
        <v>21</v>
      </c>
      <c r="B27" s="17" t="s">
        <v>107</v>
      </c>
      <c r="C27" s="17" t="s">
        <v>113</v>
      </c>
      <c r="D27" s="17" t="s">
        <v>118</v>
      </c>
    </row>
    <row r="28" spans="1:4" x14ac:dyDescent="0.35">
      <c r="A28" s="15" t="s">
        <v>22</v>
      </c>
      <c r="B28" s="17" t="s">
        <v>108</v>
      </c>
      <c r="C28" s="17" t="s">
        <v>114</v>
      </c>
      <c r="D28" s="17">
        <v>26</v>
      </c>
    </row>
    <row r="30" spans="1:4" x14ac:dyDescent="0.35">
      <c r="A30" s="15" t="s">
        <v>99</v>
      </c>
      <c r="B30" s="15" t="s">
        <v>100</v>
      </c>
      <c r="C30" s="15" t="s">
        <v>119</v>
      </c>
      <c r="D30" s="15" t="s">
        <v>120</v>
      </c>
    </row>
    <row r="31" spans="1:4" x14ac:dyDescent="0.35">
      <c r="A31" s="15" t="s">
        <v>26</v>
      </c>
      <c r="B31" s="17" t="s">
        <v>127</v>
      </c>
      <c r="C31" s="17" t="s">
        <v>121</v>
      </c>
      <c r="D31" s="17">
        <f t="shared" ref="D31:D36" si="0">B12</f>
        <v>384</v>
      </c>
    </row>
    <row r="32" spans="1:4" x14ac:dyDescent="0.35">
      <c r="A32" s="15" t="s">
        <v>27</v>
      </c>
      <c r="B32" s="17" t="s">
        <v>128</v>
      </c>
      <c r="C32" s="17" t="s">
        <v>122</v>
      </c>
      <c r="D32" s="17">
        <f t="shared" si="0"/>
        <v>345</v>
      </c>
    </row>
    <row r="33" spans="1:4" x14ac:dyDescent="0.35">
      <c r="A33" s="15" t="s">
        <v>28</v>
      </c>
      <c r="B33" s="17" t="s">
        <v>129</v>
      </c>
      <c r="C33" s="17" t="s">
        <v>123</v>
      </c>
      <c r="D33" s="17">
        <f t="shared" si="0"/>
        <v>371</v>
      </c>
    </row>
    <row r="34" spans="1:4" x14ac:dyDescent="0.35">
      <c r="A34" s="15" t="s">
        <v>29</v>
      </c>
      <c r="B34" s="17" t="s">
        <v>130</v>
      </c>
      <c r="C34" s="17" t="s">
        <v>124</v>
      </c>
      <c r="D34" s="17">
        <f t="shared" si="0"/>
        <v>361</v>
      </c>
    </row>
    <row r="35" spans="1:4" x14ac:dyDescent="0.35">
      <c r="A35" s="15" t="s">
        <v>30</v>
      </c>
      <c r="B35" s="17" t="s">
        <v>131</v>
      </c>
      <c r="C35" s="17" t="s">
        <v>125</v>
      </c>
      <c r="D35" s="17">
        <f t="shared" si="0"/>
        <v>346</v>
      </c>
    </row>
    <row r="36" spans="1:4" x14ac:dyDescent="0.35">
      <c r="A36" s="15" t="s">
        <v>31</v>
      </c>
      <c r="B36" s="17" t="s">
        <v>132</v>
      </c>
      <c r="C36" s="17" t="s">
        <v>126</v>
      </c>
      <c r="D36" s="17">
        <f t="shared" si="0"/>
        <v>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038C-7D12-4A10-81DD-944755CCFE1D}">
  <dimension ref="A1:O37"/>
  <sheetViews>
    <sheetView tabSelected="1" workbookViewId="0">
      <selection activeCell="N15" sqref="N15"/>
    </sheetView>
  </sheetViews>
  <sheetFormatPr defaultRowHeight="14.5" x14ac:dyDescent="0.35"/>
  <cols>
    <col min="1" max="1" width="16.7265625" bestFit="1" customWidth="1"/>
    <col min="2" max="2" width="31.36328125" bestFit="1" customWidth="1"/>
  </cols>
  <sheetData>
    <row r="1" spans="1:15" x14ac:dyDescent="0.35">
      <c r="A1" s="15" t="s">
        <v>32</v>
      </c>
      <c r="B1" s="22" t="s">
        <v>3</v>
      </c>
      <c r="C1" s="22"/>
      <c r="D1" s="22"/>
      <c r="E1" s="22"/>
    </row>
    <row r="2" spans="1:15" x14ac:dyDescent="0.35">
      <c r="A2" s="4"/>
      <c r="B2" s="12">
        <v>1530</v>
      </c>
      <c r="C2" s="12">
        <v>1550</v>
      </c>
      <c r="D2" s="12">
        <v>1569</v>
      </c>
      <c r="E2" s="13">
        <v>1554.13</v>
      </c>
    </row>
    <row r="3" spans="1:15" x14ac:dyDescent="0.35">
      <c r="A3" s="15" t="s">
        <v>44</v>
      </c>
      <c r="B3" s="5">
        <v>-46</v>
      </c>
      <c r="C3" s="5">
        <v>-49</v>
      </c>
      <c r="D3" s="5">
        <v>-52</v>
      </c>
      <c r="E3" s="14">
        <f t="shared" ref="E3:E10" si="0">_xlfn.FORECAST.LINEAR(E2,B3:C3,B2:C2)</f>
        <v>-49.619500000000016</v>
      </c>
      <c r="F3" s="26"/>
    </row>
    <row r="4" spans="1:15" x14ac:dyDescent="0.35">
      <c r="A4" s="15" t="s">
        <v>45</v>
      </c>
      <c r="B4" s="5">
        <v>-152</v>
      </c>
      <c r="C4" s="5">
        <v>-163</v>
      </c>
      <c r="D4" s="5">
        <v>-174</v>
      </c>
      <c r="E4" s="14">
        <f t="shared" si="0"/>
        <v>-165.27150000000006</v>
      </c>
      <c r="F4" s="26"/>
    </row>
    <row r="5" spans="1:15" x14ac:dyDescent="0.35">
      <c r="A5" s="15" t="s">
        <v>46</v>
      </c>
      <c r="B5" s="5">
        <v>-304</v>
      </c>
      <c r="C5" s="5">
        <v>-327</v>
      </c>
      <c r="D5" s="5">
        <v>-348</v>
      </c>
      <c r="E5" s="14">
        <f t="shared" si="0"/>
        <v>-331.74950000000013</v>
      </c>
      <c r="F5" s="26"/>
    </row>
    <row r="6" spans="1:15" x14ac:dyDescent="0.35">
      <c r="A6" s="15" t="s">
        <v>47</v>
      </c>
      <c r="B6" s="5">
        <v>-455</v>
      </c>
      <c r="C6" s="5">
        <v>-490</v>
      </c>
      <c r="D6" s="5">
        <v>-523</v>
      </c>
      <c r="E6" s="14">
        <f t="shared" si="0"/>
        <v>-497.22750000000019</v>
      </c>
      <c r="F6" s="26"/>
    </row>
    <row r="7" spans="1:15" x14ac:dyDescent="0.35">
      <c r="A7" s="15" t="s">
        <v>48</v>
      </c>
      <c r="B7" s="5">
        <v>-607</v>
      </c>
      <c r="C7" s="5">
        <v>-653</v>
      </c>
      <c r="D7" s="5">
        <v>-697</v>
      </c>
      <c r="E7" s="14">
        <f t="shared" si="0"/>
        <v>-662.49900000000025</v>
      </c>
      <c r="F7" s="26"/>
    </row>
    <row r="8" spans="1:15" x14ac:dyDescent="0.35">
      <c r="A8" s="15" t="s">
        <v>49</v>
      </c>
      <c r="B8" s="5">
        <v>-911</v>
      </c>
      <c r="C8" s="5">
        <v>-980</v>
      </c>
      <c r="D8" s="5">
        <v>-1045</v>
      </c>
      <c r="E8" s="14">
        <f t="shared" si="0"/>
        <v>-994.24850000000038</v>
      </c>
      <c r="F8" s="26"/>
      <c r="G8" s="1"/>
    </row>
    <row r="9" spans="1:15" x14ac:dyDescent="0.35">
      <c r="A9" s="15" t="s">
        <v>50</v>
      </c>
      <c r="B9" s="5">
        <v>-1214</v>
      </c>
      <c r="C9" s="5">
        <v>-1307</v>
      </c>
      <c r="D9" s="5">
        <v>-1394</v>
      </c>
      <c r="E9" s="14">
        <f t="shared" si="0"/>
        <v>-1326.2045000000005</v>
      </c>
      <c r="F9" s="26"/>
    </row>
    <row r="10" spans="1:15" x14ac:dyDescent="0.35">
      <c r="A10" s="15" t="s">
        <v>51</v>
      </c>
      <c r="B10" s="5">
        <v>-1518</v>
      </c>
      <c r="C10" s="5">
        <v>-1633</v>
      </c>
      <c r="D10" s="5">
        <v>-1742</v>
      </c>
      <c r="E10" s="14">
        <f t="shared" si="0"/>
        <v>-1656.7475000000006</v>
      </c>
      <c r="F10" s="26"/>
      <c r="O10" s="19"/>
    </row>
    <row r="12" spans="1:15" x14ac:dyDescent="0.35">
      <c r="L12" s="19"/>
    </row>
    <row r="14" spans="1:15" x14ac:dyDescent="0.35">
      <c r="A14" s="27" t="s">
        <v>43</v>
      </c>
      <c r="B14" s="15" t="s">
        <v>13</v>
      </c>
      <c r="C14" s="15" t="s">
        <v>18</v>
      </c>
      <c r="D14" s="15" t="s">
        <v>19</v>
      </c>
      <c r="E14" s="15" t="s">
        <v>23</v>
      </c>
      <c r="F14" s="15" t="s">
        <v>20</v>
      </c>
      <c r="G14" s="15" t="s">
        <v>21</v>
      </c>
      <c r="H14" s="15" t="s">
        <v>22</v>
      </c>
    </row>
    <row r="15" spans="1:15" x14ac:dyDescent="0.35">
      <c r="A15" s="27"/>
      <c r="B15" s="15" t="s">
        <v>32</v>
      </c>
      <c r="C15" s="5">
        <f>'Anel A9 Dados'!B2</f>
        <v>91</v>
      </c>
      <c r="D15" s="5">
        <f>'Anel A9 Dados'!B3</f>
        <v>65</v>
      </c>
      <c r="E15" s="5">
        <f>'Anel A9 Dados'!B4</f>
        <v>75</v>
      </c>
      <c r="F15" s="5">
        <f>'Anel A9 Dados'!B5</f>
        <v>90</v>
      </c>
      <c r="G15" s="5">
        <f>'Anel A9 Dados'!B6</f>
        <v>63</v>
      </c>
      <c r="H15" s="5">
        <f>'Anel A9 Dados'!B7</f>
        <v>52</v>
      </c>
    </row>
    <row r="16" spans="1:15" x14ac:dyDescent="0.35">
      <c r="A16" s="27"/>
      <c r="B16" s="15" t="s">
        <v>17</v>
      </c>
      <c r="C16" s="5">
        <f>'Anel A9 Dados'!C2</f>
        <v>1610.7213959093706</v>
      </c>
      <c r="D16" s="5">
        <f>'Anel A9 Dados'!C3</f>
        <v>1150.5152827924076</v>
      </c>
      <c r="E16" s="5">
        <f>'Anel A9 Dados'!C4</f>
        <v>1327.5176339912393</v>
      </c>
      <c r="F16" s="5">
        <f>'Anel A9 Dados'!C5</f>
        <v>1593.0211607894873</v>
      </c>
      <c r="G16" s="5">
        <f>'Anel A9 Dados'!C6</f>
        <v>1115.1148125526411</v>
      </c>
      <c r="H16" s="5">
        <f>'Anel A9 Dados'!C7</f>
        <v>920.41222623392605</v>
      </c>
    </row>
    <row r="17" spans="1:8" x14ac:dyDescent="0.35">
      <c r="A17" s="27"/>
      <c r="B17" s="15" t="s">
        <v>33</v>
      </c>
      <c r="C17" s="5">
        <f>'Anel A9 Dados'!E2</f>
        <v>-1461.6135093104226</v>
      </c>
      <c r="D17" s="5">
        <f>'Anel A9 Dados'!E3</f>
        <v>-1001.4073961934596</v>
      </c>
      <c r="E17" s="5">
        <f>'Anel A9 Dados'!E4</f>
        <v>-1178.4097473922914</v>
      </c>
      <c r="F17" s="5">
        <f>'Anel A9 Dados'!E5</f>
        <v>-1443.9132741905394</v>
      </c>
      <c r="G17" s="5">
        <f>'Anel A9 Dados'!E6</f>
        <v>-966.0069259536931</v>
      </c>
      <c r="H17" s="5">
        <f>'Anel A9 Dados'!E7</f>
        <v>-771.30433963497808</v>
      </c>
    </row>
    <row r="18" spans="1:8" x14ac:dyDescent="0.35">
      <c r="A18" s="27"/>
      <c r="B18" s="15" t="s">
        <v>42</v>
      </c>
      <c r="C18" s="25">
        <f>'Dados e Constantes'!B18</f>
        <v>745.53943299473985</v>
      </c>
      <c r="D18" s="25"/>
      <c r="E18" s="25"/>
      <c r="F18" s="25"/>
      <c r="G18" s="25"/>
      <c r="H18" s="25"/>
    </row>
    <row r="21" spans="1:8" x14ac:dyDescent="0.35">
      <c r="A21" s="28" t="s">
        <v>133</v>
      </c>
      <c r="B21" s="29" t="s">
        <v>34</v>
      </c>
      <c r="C21" s="11" t="s">
        <v>38</v>
      </c>
      <c r="D21" s="11" t="s">
        <v>39</v>
      </c>
      <c r="E21" s="11" t="s">
        <v>38</v>
      </c>
      <c r="F21" s="11" t="s">
        <v>38</v>
      </c>
      <c r="G21" s="11" t="s">
        <v>39</v>
      </c>
      <c r="H21" s="11" t="s">
        <v>41</v>
      </c>
    </row>
    <row r="22" spans="1:8" x14ac:dyDescent="0.35">
      <c r="A22" s="28"/>
      <c r="B22" s="29"/>
      <c r="C22" s="5">
        <f>IF(ABS(C17-E9)&lt;=ABS(C17-E10),E9,E10)</f>
        <v>-1326.2045000000005</v>
      </c>
      <c r="D22" s="5">
        <f>IF(ABS(D17-E8)&lt;=ABS(D17-E9),E8,E9)</f>
        <v>-994.24850000000038</v>
      </c>
      <c r="E22" s="5">
        <f>IF(ABS(E17-E8)&lt;=ABS(E17-E9),E8,E9)</f>
        <v>-1326.2045000000005</v>
      </c>
      <c r="F22" s="5">
        <f>IF(ABS(F17-E9)&lt;=ABS(F17-E10),E9,E10)</f>
        <v>-1326.2045000000005</v>
      </c>
      <c r="G22" s="5">
        <f>IF(ABS(G17-E7)&lt;=ABS(G17-E8),E7,E8)</f>
        <v>-994.24850000000038</v>
      </c>
      <c r="H22" s="5">
        <f>IF(ABS(H17-E5)&lt;=ABS(H17-E6),E5,E6)</f>
        <v>-497.22750000000019</v>
      </c>
    </row>
    <row r="23" spans="1:8" x14ac:dyDescent="0.35">
      <c r="A23" s="28"/>
      <c r="B23" s="11" t="s">
        <v>40</v>
      </c>
      <c r="C23" s="5">
        <f t="shared" ref="C23:H23" si="1">C16+C22</f>
        <v>284.51689590937008</v>
      </c>
      <c r="D23" s="5">
        <f t="shared" si="1"/>
        <v>156.26678279240718</v>
      </c>
      <c r="E23" s="5">
        <f t="shared" si="1"/>
        <v>1.3131339912388285</v>
      </c>
      <c r="F23" s="5">
        <f t="shared" si="1"/>
        <v>266.81666078948683</v>
      </c>
      <c r="G23" s="5">
        <f t="shared" si="1"/>
        <v>120.86631255264069</v>
      </c>
      <c r="H23" s="5">
        <f t="shared" si="1"/>
        <v>423.18472623392586</v>
      </c>
    </row>
    <row r="24" spans="1:8" x14ac:dyDescent="0.35">
      <c r="A24" s="28"/>
      <c r="B24" s="11" t="s">
        <v>35</v>
      </c>
      <c r="C24" s="5">
        <f t="shared" ref="C24:H24" si="2">C22-C17</f>
        <v>135.40900931042211</v>
      </c>
      <c r="D24" s="5">
        <f t="shared" si="2"/>
        <v>7.1588961934592135</v>
      </c>
      <c r="E24" s="5">
        <f t="shared" si="2"/>
        <v>-147.79475260770914</v>
      </c>
      <c r="F24" s="5">
        <f t="shared" si="2"/>
        <v>117.70877419053886</v>
      </c>
      <c r="G24" s="5">
        <f t="shared" si="2"/>
        <v>-28.241574046307278</v>
      </c>
      <c r="H24" s="5">
        <f t="shared" si="2"/>
        <v>274.07683963497789</v>
      </c>
    </row>
    <row r="25" spans="1:8" x14ac:dyDescent="0.35">
      <c r="A25" s="28"/>
      <c r="B25" s="11" t="s">
        <v>36</v>
      </c>
      <c r="C25" s="6">
        <f>C23+D23+E23+F23+G23</f>
        <v>829.77978603514362</v>
      </c>
      <c r="D25" s="6">
        <f>D23+E23+F23+G23+H23</f>
        <v>968.4476163596994</v>
      </c>
      <c r="E25" s="6">
        <f>C23+E23+F23+G23+H23</f>
        <v>1096.6977294766623</v>
      </c>
      <c r="F25" s="6">
        <f>C23+D23+F23+G23+H23</f>
        <v>1251.6513782778306</v>
      </c>
      <c r="G25" s="6">
        <f>C23+D23+E23+G23+H23</f>
        <v>986.14785147958264</v>
      </c>
      <c r="H25" s="6">
        <f>C23+E23+F23+H23+D23</f>
        <v>1132.0981997164288</v>
      </c>
    </row>
    <row r="27" spans="1:8" x14ac:dyDescent="0.35">
      <c r="A27" s="30" t="s">
        <v>134</v>
      </c>
      <c r="B27" s="31" t="s">
        <v>34</v>
      </c>
      <c r="C27" s="2" t="s">
        <v>37</v>
      </c>
      <c r="D27" s="2" t="s">
        <v>39</v>
      </c>
      <c r="E27" s="2" t="s">
        <v>38</v>
      </c>
      <c r="F27" s="2" t="s">
        <v>38</v>
      </c>
      <c r="G27" s="2" t="s">
        <v>39</v>
      </c>
      <c r="H27" s="2" t="s">
        <v>41</v>
      </c>
    </row>
    <row r="28" spans="1:8" x14ac:dyDescent="0.35">
      <c r="A28" s="30"/>
      <c r="B28" s="31"/>
      <c r="C28" s="7">
        <f>E10</f>
        <v>-1656.7475000000006</v>
      </c>
      <c r="D28" s="7">
        <f>D22</f>
        <v>-994.24850000000038</v>
      </c>
      <c r="E28" s="7">
        <f>E22</f>
        <v>-1326.2045000000005</v>
      </c>
      <c r="F28" s="7">
        <f>F22</f>
        <v>-1326.2045000000005</v>
      </c>
      <c r="G28" s="7">
        <f>G22</f>
        <v>-994.24850000000038</v>
      </c>
      <c r="H28" s="7">
        <f>H22</f>
        <v>-497.22750000000019</v>
      </c>
    </row>
    <row r="29" spans="1:8" x14ac:dyDescent="0.35">
      <c r="A29" s="30"/>
      <c r="B29" s="9" t="s">
        <v>40</v>
      </c>
      <c r="C29" s="7">
        <f t="shared" ref="C29:H29" si="3">C16+C28</f>
        <v>-46.026104090630042</v>
      </c>
      <c r="D29" s="7">
        <f t="shared" si="3"/>
        <v>156.26678279240718</v>
      </c>
      <c r="E29" s="7">
        <f t="shared" si="3"/>
        <v>1.3131339912388285</v>
      </c>
      <c r="F29" s="7">
        <f t="shared" si="3"/>
        <v>266.81666078948683</v>
      </c>
      <c r="G29" s="7">
        <f t="shared" si="3"/>
        <v>120.86631255264069</v>
      </c>
      <c r="H29" s="7">
        <f t="shared" si="3"/>
        <v>423.18472623392586</v>
      </c>
    </row>
    <row r="30" spans="1:8" x14ac:dyDescent="0.35">
      <c r="A30" s="30"/>
      <c r="B30" s="9" t="s">
        <v>35</v>
      </c>
      <c r="C30" s="7">
        <f t="shared" ref="C30:H30" si="4">C28-C17</f>
        <v>-195.13399068957801</v>
      </c>
      <c r="D30" s="7">
        <f t="shared" si="4"/>
        <v>7.1588961934592135</v>
      </c>
      <c r="E30" s="7">
        <f t="shared" si="4"/>
        <v>-147.79475260770914</v>
      </c>
      <c r="F30" s="7">
        <f t="shared" si="4"/>
        <v>117.70877419053886</v>
      </c>
      <c r="G30" s="7">
        <f t="shared" si="4"/>
        <v>-28.241574046307278</v>
      </c>
      <c r="H30" s="7">
        <f t="shared" si="4"/>
        <v>274.07683963497789</v>
      </c>
    </row>
    <row r="31" spans="1:8" x14ac:dyDescent="0.35">
      <c r="A31" s="30"/>
      <c r="B31" s="9" t="s">
        <v>36</v>
      </c>
      <c r="C31" s="8">
        <f>C29+D29+E29+F29+G29</f>
        <v>499.2367860351435</v>
      </c>
      <c r="D31" s="6">
        <f>D29+E29+F29+G29+H29</f>
        <v>968.4476163596994</v>
      </c>
      <c r="E31" s="8">
        <f>C29+E29+F29+G29+H29</f>
        <v>766.15472947666217</v>
      </c>
      <c r="F31" s="6">
        <f>C29+D29+F29+G29+H29</f>
        <v>921.10837827783052</v>
      </c>
      <c r="G31" s="8">
        <f>C29+D29+E29+G29+H29</f>
        <v>655.60485147958252</v>
      </c>
      <c r="H31" s="8">
        <f>C29+E29+F29+H29+D29</f>
        <v>801.55519971642866</v>
      </c>
    </row>
    <row r="33" spans="1:8" x14ac:dyDescent="0.35">
      <c r="A33" s="23" t="s">
        <v>135</v>
      </c>
      <c r="B33" s="24" t="s">
        <v>34</v>
      </c>
      <c r="C33" s="3" t="s">
        <v>37</v>
      </c>
      <c r="D33" s="3" t="s">
        <v>39</v>
      </c>
      <c r="E33" s="3" t="s">
        <v>38</v>
      </c>
      <c r="F33" s="3" t="s">
        <v>37</v>
      </c>
      <c r="G33" s="3" t="s">
        <v>39</v>
      </c>
      <c r="H33" s="3" t="s">
        <v>41</v>
      </c>
    </row>
    <row r="34" spans="1:8" x14ac:dyDescent="0.35">
      <c r="A34" s="23"/>
      <c r="B34" s="24"/>
      <c r="C34" s="7">
        <f>E10</f>
        <v>-1656.7475000000006</v>
      </c>
      <c r="D34" s="7">
        <f>D28</f>
        <v>-994.24850000000038</v>
      </c>
      <c r="E34" s="7">
        <f>E28</f>
        <v>-1326.2045000000005</v>
      </c>
      <c r="F34" s="7">
        <f>E10</f>
        <v>-1656.7475000000006</v>
      </c>
      <c r="G34" s="7">
        <f>G28</f>
        <v>-994.24850000000038</v>
      </c>
      <c r="H34" s="7">
        <f>H28</f>
        <v>-497.22750000000019</v>
      </c>
    </row>
    <row r="35" spans="1:8" x14ac:dyDescent="0.35">
      <c r="A35" s="23"/>
      <c r="B35" s="10" t="s">
        <v>40</v>
      </c>
      <c r="C35" s="7">
        <f t="shared" ref="C35:H35" si="5">C16+C34</f>
        <v>-46.026104090630042</v>
      </c>
      <c r="D35" s="7">
        <f t="shared" si="5"/>
        <v>156.26678279240718</v>
      </c>
      <c r="E35" s="7">
        <f t="shared" si="5"/>
        <v>1.3131339912388285</v>
      </c>
      <c r="F35" s="7">
        <f t="shared" si="5"/>
        <v>-63.726339210513288</v>
      </c>
      <c r="G35" s="7">
        <f t="shared" si="5"/>
        <v>120.86631255264069</v>
      </c>
      <c r="H35" s="7">
        <f t="shared" si="5"/>
        <v>423.18472623392586</v>
      </c>
    </row>
    <row r="36" spans="1:8" x14ac:dyDescent="0.35">
      <c r="A36" s="23"/>
      <c r="B36" s="10" t="s">
        <v>35</v>
      </c>
      <c r="C36" s="7">
        <f t="shared" ref="C36:H36" si="6">C34-C17</f>
        <v>-195.13399068957801</v>
      </c>
      <c r="D36" s="7">
        <f t="shared" si="6"/>
        <v>7.1588961934592135</v>
      </c>
      <c r="E36" s="7">
        <f t="shared" si="6"/>
        <v>-147.79475260770914</v>
      </c>
      <c r="F36" s="7">
        <f t="shared" si="6"/>
        <v>-212.83422580946126</v>
      </c>
      <c r="G36" s="7">
        <f t="shared" si="6"/>
        <v>-28.241574046307278</v>
      </c>
      <c r="H36" s="7">
        <f t="shared" si="6"/>
        <v>274.07683963497789</v>
      </c>
    </row>
    <row r="37" spans="1:8" x14ac:dyDescent="0.35">
      <c r="A37" s="23"/>
      <c r="B37" s="10" t="s">
        <v>36</v>
      </c>
      <c r="C37" s="8">
        <f>C35+D35+E35+F35+G35</f>
        <v>168.69378603514338</v>
      </c>
      <c r="D37" s="8">
        <f>D35+E35+F35+G35+H35</f>
        <v>637.90461635969928</v>
      </c>
      <c r="E37" s="8">
        <f>C35+E35+F35+G35+H35</f>
        <v>435.61172947666205</v>
      </c>
      <c r="F37" s="8">
        <f>C35+D35+F35+G35+H35</f>
        <v>590.5653782778304</v>
      </c>
      <c r="G37" s="8">
        <f>C35+D35+E35+G35+H35</f>
        <v>655.60485147958252</v>
      </c>
      <c r="H37" s="8">
        <f>C35+E35+F35+H35+D35</f>
        <v>471.01219971642854</v>
      </c>
    </row>
  </sheetData>
  <mergeCells count="10">
    <mergeCell ref="A33:A37"/>
    <mergeCell ref="B33:B34"/>
    <mergeCell ref="C18:H18"/>
    <mergeCell ref="B1:E1"/>
    <mergeCell ref="F3:F10"/>
    <mergeCell ref="A14:A18"/>
    <mergeCell ref="A21:A25"/>
    <mergeCell ref="B21:B22"/>
    <mergeCell ref="A27:A31"/>
    <mergeCell ref="B27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Dados e Constantes</vt:lpstr>
      <vt:lpstr>Anel A9 Dados</vt:lpstr>
      <vt:lpstr>Análise DCM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Rabuge</dc:creator>
  <cp:lastModifiedBy>Joao Rabuge</cp:lastModifiedBy>
  <dcterms:created xsi:type="dcterms:W3CDTF">2023-03-24T15:21:20Z</dcterms:created>
  <dcterms:modified xsi:type="dcterms:W3CDTF">2023-04-10T10:47:47Z</dcterms:modified>
</cp:coreProperties>
</file>