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mc:AlternateContent xmlns:mc="http://schemas.openxmlformats.org/markup-compatibility/2006">
    <mc:Choice Requires="x15">
      <x15ac:absPath xmlns:x15ac="http://schemas.microsoft.com/office/spreadsheetml/2010/11/ac" url="C:\Users\Usuário\Documents\DATA SCIENTIST\GITHUB\"/>
    </mc:Choice>
  </mc:AlternateContent>
  <xr:revisionPtr revIDLastSave="0" documentId="13_ncr:1_{E2CFA4E8-175B-4C37-B888-66B899BFE7AA}" xr6:coauthVersionLast="47" xr6:coauthVersionMax="47" xr10:uidLastSave="{00000000-0000-0000-0000-000000000000}"/>
  <bookViews>
    <workbookView xWindow="-120" yWindow="-120" windowWidth="20730" windowHeight="11040" firstSheet="1" activeTab="1" xr2:uid="{189A8FF0-DCF5-4B20-A8DC-E9EB82C300EA}"/>
  </bookViews>
  <sheets>
    <sheet name="Datatable" sheetId="1" state="hidden" r:id="rId1"/>
    <sheet name="Dashboard" sheetId="2" r:id="rId2"/>
    <sheet name="Pivottables" sheetId="3" state="hidden" r:id="rId3"/>
  </sheets>
  <definedNames>
    <definedName name="_xlchart.v5.0" hidden="1">Pivottables!$CG$10:$CG$16</definedName>
    <definedName name="_xlchart.v5.1" hidden="1">Pivottables!$CG$9</definedName>
    <definedName name="_xlchart.v5.2" hidden="1">Pivottables!$CT$8</definedName>
    <definedName name="Slicer_Driver_Name">#N/A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 i="2" l="1"/>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 i="2"/>
  <c r="H65" i="1"/>
  <c r="K65" i="1"/>
  <c r="M65" i="1"/>
  <c r="O65" i="1"/>
  <c r="Q65" i="1"/>
  <c r="S65" i="1"/>
  <c r="U65" i="1"/>
  <c r="W65" i="1"/>
  <c r="Y65" i="1"/>
  <c r="AD65" i="1"/>
  <c r="AF65" i="1"/>
  <c r="AH65" i="1"/>
  <c r="AJ65" i="1"/>
  <c r="AL65" i="1"/>
  <c r="AN65" i="1"/>
  <c r="AP65" i="1"/>
  <c r="AR65" i="1"/>
  <c r="AT65" i="1"/>
  <c r="AV65" i="1"/>
  <c r="BZ27" i="3"/>
  <c r="BX27" i="3"/>
  <c r="BT21" i="3"/>
  <c r="BT13" i="3"/>
  <c r="BS17" i="3"/>
  <c r="BE8" i="3"/>
  <c r="CJ10" i="3"/>
  <c r="BS15" i="3"/>
  <c r="BS11" i="3"/>
  <c r="BS10" i="3"/>
  <c r="BT20" i="3"/>
  <c r="BT12" i="3"/>
  <c r="BS16" i="3"/>
  <c r="BE7" i="3"/>
  <c r="BT19" i="3"/>
  <c r="BT11" i="3"/>
  <c r="BS19" i="3"/>
  <c r="O6" i="3"/>
  <c r="M6" i="3"/>
  <c r="BD8" i="3"/>
  <c r="CB27" i="3"/>
  <c r="BT18" i="3"/>
  <c r="BT10" i="3"/>
  <c r="BS14" i="3"/>
  <c r="BD7" i="3"/>
  <c r="BS20" i="3"/>
  <c r="BC7" i="3"/>
  <c r="BY27" i="3"/>
  <c r="BS18" i="3"/>
  <c r="CA27" i="3"/>
  <c r="BT17" i="3"/>
  <c r="BS21" i="3"/>
  <c r="BS13" i="3"/>
  <c r="BC8" i="3"/>
  <c r="BT15" i="3"/>
  <c r="BS12" i="3"/>
  <c r="BT16" i="3"/>
  <c r="BT14" i="3"/>
  <c r="BF8" i="3" l="1"/>
  <c r="AP3" i="3"/>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 i="2"/>
  <c r="AV64" i="1"/>
  <c r="AT64" i="1"/>
  <c r="AR64" i="1"/>
  <c r="AP64" i="1"/>
  <c r="AN64" i="1"/>
  <c r="AL64" i="1"/>
  <c r="AJ64" i="1"/>
  <c r="AH64" i="1"/>
  <c r="AF64" i="1"/>
  <c r="AD64" i="1"/>
  <c r="Y64" i="1"/>
  <c r="W64" i="1"/>
  <c r="U64" i="1"/>
  <c r="S64" i="1"/>
  <c r="Q64" i="1"/>
  <c r="O64" i="1"/>
  <c r="M64" i="1"/>
  <c r="K64" i="1"/>
  <c r="H64" i="1"/>
  <c r="AV63" i="1"/>
  <c r="AT63" i="1"/>
  <c r="AR63" i="1"/>
  <c r="AP63" i="1"/>
  <c r="AN63" i="1"/>
  <c r="AL63" i="1"/>
  <c r="AJ63" i="1"/>
  <c r="AH63" i="1"/>
  <c r="AF63" i="1"/>
  <c r="AD63" i="1"/>
  <c r="Y63" i="1"/>
  <c r="W63" i="1"/>
  <c r="U63" i="1"/>
  <c r="S63" i="1"/>
  <c r="Q63" i="1"/>
  <c r="O63" i="1"/>
  <c r="M63" i="1"/>
  <c r="K63" i="1"/>
  <c r="H63" i="1"/>
  <c r="AV62" i="1"/>
  <c r="AT62" i="1"/>
  <c r="AR62" i="1"/>
  <c r="AP62" i="1"/>
  <c r="AN62" i="1"/>
  <c r="AL62" i="1"/>
  <c r="AJ62" i="1"/>
  <c r="AH62" i="1"/>
  <c r="AF62" i="1"/>
  <c r="AD62" i="1"/>
  <c r="Y62" i="1"/>
  <c r="W62" i="1"/>
  <c r="U62" i="1"/>
  <c r="S62" i="1"/>
  <c r="Q62" i="1"/>
  <c r="O62" i="1"/>
  <c r="M62" i="1"/>
  <c r="K62" i="1"/>
  <c r="H62" i="1"/>
  <c r="AV61" i="1"/>
  <c r="AT61" i="1"/>
  <c r="AR61" i="1"/>
  <c r="AP61" i="1"/>
  <c r="AN61" i="1"/>
  <c r="AL61" i="1"/>
  <c r="AJ61" i="1"/>
  <c r="AH61" i="1"/>
  <c r="AF61" i="1"/>
  <c r="AD61" i="1"/>
  <c r="Y61" i="1"/>
  <c r="W61" i="1"/>
  <c r="U61" i="1"/>
  <c r="S61" i="1"/>
  <c r="Q61" i="1"/>
  <c r="O61" i="1"/>
  <c r="M61" i="1"/>
  <c r="K61" i="1"/>
  <c r="H61" i="1"/>
  <c r="AV60" i="1"/>
  <c r="AT60" i="1"/>
  <c r="AR60" i="1"/>
  <c r="AP60" i="1"/>
  <c r="AN60" i="1"/>
  <c r="AL60" i="1"/>
  <c r="AJ60" i="1"/>
  <c r="AH60" i="1"/>
  <c r="AF60" i="1"/>
  <c r="AD60" i="1"/>
  <c r="Y60" i="1"/>
  <c r="W60" i="1"/>
  <c r="U60" i="1"/>
  <c r="S60" i="1"/>
  <c r="Q60" i="1"/>
  <c r="O60" i="1"/>
  <c r="M60" i="1"/>
  <c r="K60" i="1"/>
  <c r="H60" i="1"/>
  <c r="AV59" i="1"/>
  <c r="AT59" i="1"/>
  <c r="AR59" i="1"/>
  <c r="AP59" i="1"/>
  <c r="AN59" i="1"/>
  <c r="AL59" i="1"/>
  <c r="AJ59" i="1"/>
  <c r="AH59" i="1"/>
  <c r="AF59" i="1"/>
  <c r="AD59" i="1"/>
  <c r="Y59" i="1"/>
  <c r="W59" i="1"/>
  <c r="U59" i="1"/>
  <c r="S59" i="1"/>
  <c r="Q59" i="1"/>
  <c r="O59" i="1"/>
  <c r="M59" i="1"/>
  <c r="K59" i="1"/>
  <c r="H59" i="1"/>
  <c r="AV58" i="1"/>
  <c r="AT58" i="1"/>
  <c r="AR58" i="1"/>
  <c r="AP58" i="1"/>
  <c r="AN58" i="1"/>
  <c r="AL58" i="1"/>
  <c r="AJ58" i="1"/>
  <c r="AH58" i="1"/>
  <c r="AF58" i="1"/>
  <c r="AD58" i="1"/>
  <c r="Y58" i="1"/>
  <c r="W58" i="1"/>
  <c r="U58" i="1"/>
  <c r="S58" i="1"/>
  <c r="Q58" i="1"/>
  <c r="O58" i="1"/>
  <c r="M58" i="1"/>
  <c r="K58" i="1"/>
  <c r="H58" i="1"/>
  <c r="AV57" i="1"/>
  <c r="AT57" i="1"/>
  <c r="AR57" i="1"/>
  <c r="AP57" i="1"/>
  <c r="AN57" i="1"/>
  <c r="AL57" i="1"/>
  <c r="AJ57" i="1"/>
  <c r="AH57" i="1"/>
  <c r="AF57" i="1"/>
  <c r="AD57" i="1"/>
  <c r="Y57" i="1"/>
  <c r="W57" i="1"/>
  <c r="U57" i="1"/>
  <c r="S57" i="1"/>
  <c r="Q57" i="1"/>
  <c r="O57" i="1"/>
  <c r="M57" i="1"/>
  <c r="K57" i="1"/>
  <c r="H57" i="1"/>
  <c r="AV56" i="1"/>
  <c r="AT56" i="1"/>
  <c r="AR56" i="1"/>
  <c r="AP56" i="1"/>
  <c r="AN56" i="1"/>
  <c r="AL56" i="1"/>
  <c r="AJ56" i="1"/>
  <c r="AH56" i="1"/>
  <c r="AF56" i="1"/>
  <c r="AD56" i="1"/>
  <c r="Y56" i="1"/>
  <c r="W56" i="1"/>
  <c r="U56" i="1"/>
  <c r="S56" i="1"/>
  <c r="Q56" i="1"/>
  <c r="O56" i="1"/>
  <c r="M56" i="1"/>
  <c r="K56" i="1"/>
  <c r="H56" i="1"/>
  <c r="AV55" i="1"/>
  <c r="AT55" i="1"/>
  <c r="AR55" i="1"/>
  <c r="AP55" i="1"/>
  <c r="AN55" i="1"/>
  <c r="AL55" i="1"/>
  <c r="AJ55" i="1"/>
  <c r="AH55" i="1"/>
  <c r="AF55" i="1"/>
  <c r="AD55" i="1"/>
  <c r="Y55" i="1"/>
  <c r="W55" i="1"/>
  <c r="U55" i="1"/>
  <c r="S55" i="1"/>
  <c r="Q55" i="1"/>
  <c r="O55" i="1"/>
  <c r="M55" i="1"/>
  <c r="K55" i="1"/>
  <c r="H55" i="1"/>
  <c r="AV54" i="1"/>
  <c r="AT54" i="1"/>
  <c r="AR54" i="1"/>
  <c r="AP54" i="1"/>
  <c r="AN54" i="1"/>
  <c r="AL54" i="1"/>
  <c r="AJ54" i="1"/>
  <c r="AH54" i="1"/>
  <c r="AF54" i="1"/>
  <c r="AD54" i="1"/>
  <c r="Y54" i="1"/>
  <c r="W54" i="1"/>
  <c r="U54" i="1"/>
  <c r="S54" i="1"/>
  <c r="Q54" i="1"/>
  <c r="O54" i="1"/>
  <c r="M54" i="1"/>
  <c r="K54" i="1"/>
  <c r="H54" i="1"/>
  <c r="AV53" i="1"/>
  <c r="AT53" i="1"/>
  <c r="AR53" i="1"/>
  <c r="AP53" i="1"/>
  <c r="AN53" i="1"/>
  <c r="AL53" i="1"/>
  <c r="AJ53" i="1"/>
  <c r="AH53" i="1"/>
  <c r="AF53" i="1"/>
  <c r="AD53" i="1"/>
  <c r="Y53" i="1"/>
  <c r="W53" i="1"/>
  <c r="U53" i="1"/>
  <c r="S53" i="1"/>
  <c r="Q53" i="1"/>
  <c r="O53" i="1"/>
  <c r="M53" i="1"/>
  <c r="K53" i="1"/>
  <c r="H53" i="1"/>
  <c r="AV52" i="1"/>
  <c r="AT52" i="1"/>
  <c r="AR52" i="1"/>
  <c r="AP52" i="1"/>
  <c r="AN52" i="1"/>
  <c r="AL52" i="1"/>
  <c r="AJ52" i="1"/>
  <c r="AH52" i="1"/>
  <c r="AF52" i="1"/>
  <c r="AD52" i="1"/>
  <c r="Y52" i="1"/>
  <c r="W52" i="1"/>
  <c r="U52" i="1"/>
  <c r="S52" i="1"/>
  <c r="Q52" i="1"/>
  <c r="O52" i="1"/>
  <c r="M52" i="1"/>
  <c r="K52" i="1"/>
  <c r="H52" i="1"/>
  <c r="AV51" i="1"/>
  <c r="AT51" i="1"/>
  <c r="AR51" i="1"/>
  <c r="AP51" i="1"/>
  <c r="AN51" i="1"/>
  <c r="AL51" i="1"/>
  <c r="AJ51" i="1"/>
  <c r="AH51" i="1"/>
  <c r="AF51" i="1"/>
  <c r="AD51" i="1"/>
  <c r="Y51" i="1"/>
  <c r="W51" i="1"/>
  <c r="U51" i="1"/>
  <c r="S51" i="1"/>
  <c r="Q51" i="1"/>
  <c r="O51" i="1"/>
  <c r="M51" i="1"/>
  <c r="K51" i="1"/>
  <c r="H51" i="1"/>
  <c r="AV50" i="1"/>
  <c r="AT50" i="1"/>
  <c r="AR50" i="1"/>
  <c r="AP50" i="1"/>
  <c r="AN50" i="1"/>
  <c r="AL50" i="1"/>
  <c r="AJ50" i="1"/>
  <c r="AH50" i="1"/>
  <c r="AF50" i="1"/>
  <c r="AD50" i="1"/>
  <c r="Y50" i="1"/>
  <c r="W50" i="1"/>
  <c r="U50" i="1"/>
  <c r="S50" i="1"/>
  <c r="Q50" i="1"/>
  <c r="O50" i="1"/>
  <c r="M50" i="1"/>
  <c r="K50" i="1"/>
  <c r="H50" i="1"/>
  <c r="AV49" i="1"/>
  <c r="AT49" i="1"/>
  <c r="AR49" i="1"/>
  <c r="AP49" i="1"/>
  <c r="AN49" i="1"/>
  <c r="AL49" i="1"/>
  <c r="AJ49" i="1"/>
  <c r="AH49" i="1"/>
  <c r="AF49" i="1"/>
  <c r="AD49" i="1"/>
  <c r="Y49" i="1"/>
  <c r="W49" i="1"/>
  <c r="U49" i="1"/>
  <c r="S49" i="1"/>
  <c r="Q49" i="1"/>
  <c r="O49" i="1"/>
  <c r="M49" i="1"/>
  <c r="K49" i="1"/>
  <c r="H49" i="1"/>
  <c r="AV48" i="1"/>
  <c r="AT48" i="1"/>
  <c r="AR48" i="1"/>
  <c r="AP48" i="1"/>
  <c r="AN48" i="1"/>
  <c r="AL48" i="1"/>
  <c r="AJ48" i="1"/>
  <c r="AH48" i="1"/>
  <c r="AF48" i="1"/>
  <c r="AD48" i="1"/>
  <c r="Y48" i="1"/>
  <c r="W48" i="1"/>
  <c r="U48" i="1"/>
  <c r="S48" i="1"/>
  <c r="Q48" i="1"/>
  <c r="O48" i="1"/>
  <c r="M48" i="1"/>
  <c r="K48" i="1"/>
  <c r="H48" i="1"/>
  <c r="AV47" i="1"/>
  <c r="AT47" i="1"/>
  <c r="AR47" i="1"/>
  <c r="AP47" i="1"/>
  <c r="AN47" i="1"/>
  <c r="AL47" i="1"/>
  <c r="AJ47" i="1"/>
  <c r="AH47" i="1"/>
  <c r="AF47" i="1"/>
  <c r="AD47" i="1"/>
  <c r="Y47" i="1"/>
  <c r="W47" i="1"/>
  <c r="U47" i="1"/>
  <c r="S47" i="1"/>
  <c r="Q47" i="1"/>
  <c r="O47" i="1"/>
  <c r="M47" i="1"/>
  <c r="K47" i="1"/>
  <c r="H47" i="1"/>
  <c r="AV46" i="1"/>
  <c r="AT46" i="1"/>
  <c r="AR46" i="1"/>
  <c r="AP46" i="1"/>
  <c r="AN46" i="1"/>
  <c r="AL46" i="1"/>
  <c r="AJ46" i="1"/>
  <c r="AH46" i="1"/>
  <c r="AF46" i="1"/>
  <c r="AD46" i="1"/>
  <c r="Y46" i="1"/>
  <c r="W46" i="1"/>
  <c r="U46" i="1"/>
  <c r="S46" i="1"/>
  <c r="Q46" i="1"/>
  <c r="O46" i="1"/>
  <c r="M46" i="1"/>
  <c r="K46" i="1"/>
  <c r="H46" i="1"/>
  <c r="AV45" i="1"/>
  <c r="AT45" i="1"/>
  <c r="AR45" i="1"/>
  <c r="AP45" i="1"/>
  <c r="AN45" i="1"/>
  <c r="AL45" i="1"/>
  <c r="AJ45" i="1"/>
  <c r="AH45" i="1"/>
  <c r="AF45" i="1"/>
  <c r="AD45" i="1"/>
  <c r="Y45" i="1"/>
  <c r="W45" i="1"/>
  <c r="U45" i="1"/>
  <c r="S45" i="1"/>
  <c r="Q45" i="1"/>
  <c r="O45" i="1"/>
  <c r="M45" i="1"/>
  <c r="K45" i="1"/>
  <c r="H45" i="1"/>
  <c r="AV44" i="1"/>
  <c r="AT44" i="1"/>
  <c r="AR44" i="1"/>
  <c r="AP44" i="1"/>
  <c r="AN44" i="1"/>
  <c r="AL44" i="1"/>
  <c r="AJ44" i="1"/>
  <c r="AH44" i="1"/>
  <c r="AF44" i="1"/>
  <c r="AD44" i="1"/>
  <c r="Y44" i="1"/>
  <c r="W44" i="1"/>
  <c r="U44" i="1"/>
  <c r="S44" i="1"/>
  <c r="Q44" i="1"/>
  <c r="O44" i="1"/>
  <c r="M44" i="1"/>
  <c r="K44" i="1"/>
  <c r="H44" i="1"/>
  <c r="AV43" i="1"/>
  <c r="AT43" i="1"/>
  <c r="AR43" i="1"/>
  <c r="AP43" i="1"/>
  <c r="AN43" i="1"/>
  <c r="AL43" i="1"/>
  <c r="AJ43" i="1"/>
  <c r="AH43" i="1"/>
  <c r="AF43" i="1"/>
  <c r="AD43" i="1"/>
  <c r="Y43" i="1"/>
  <c r="W43" i="1"/>
  <c r="U43" i="1"/>
  <c r="S43" i="1"/>
  <c r="Q43" i="1"/>
  <c r="O43" i="1"/>
  <c r="M43" i="1"/>
  <c r="K43" i="1"/>
  <c r="H43" i="1"/>
  <c r="AV42" i="1"/>
  <c r="AT42" i="1"/>
  <c r="AR42" i="1"/>
  <c r="AP42" i="1"/>
  <c r="AN42" i="1"/>
  <c r="AL42" i="1"/>
  <c r="AJ42" i="1"/>
  <c r="AH42" i="1"/>
  <c r="AF42" i="1"/>
  <c r="AD42" i="1"/>
  <c r="Y42" i="1"/>
  <c r="W42" i="1"/>
  <c r="U42" i="1"/>
  <c r="S42" i="1"/>
  <c r="Q42" i="1"/>
  <c r="O42" i="1"/>
  <c r="M42" i="1"/>
  <c r="K42" i="1"/>
  <c r="H42" i="1"/>
  <c r="AV41" i="1"/>
  <c r="AT41" i="1"/>
  <c r="AR41" i="1"/>
  <c r="AP41" i="1"/>
  <c r="AN41" i="1"/>
  <c r="AL41" i="1"/>
  <c r="AJ41" i="1"/>
  <c r="AH41" i="1"/>
  <c r="AF41" i="1"/>
  <c r="AD41" i="1"/>
  <c r="Y41" i="1"/>
  <c r="W41" i="1"/>
  <c r="U41" i="1"/>
  <c r="S41" i="1"/>
  <c r="Q41" i="1"/>
  <c r="O41" i="1"/>
  <c r="M41" i="1"/>
  <c r="K41" i="1"/>
  <c r="H41" i="1"/>
  <c r="AV40" i="1"/>
  <c r="AT40" i="1"/>
  <c r="AR40" i="1"/>
  <c r="AP40" i="1"/>
  <c r="AN40" i="1"/>
  <c r="AL40" i="1"/>
  <c r="AJ40" i="1"/>
  <c r="AH40" i="1"/>
  <c r="AF40" i="1"/>
  <c r="AD40" i="1"/>
  <c r="Y40" i="1"/>
  <c r="W40" i="1"/>
  <c r="U40" i="1"/>
  <c r="S40" i="1"/>
  <c r="Q40" i="1"/>
  <c r="O40" i="1"/>
  <c r="M40" i="1"/>
  <c r="K40" i="1"/>
  <c r="H40" i="1"/>
  <c r="AV39" i="1"/>
  <c r="AT39" i="1"/>
  <c r="AR39" i="1"/>
  <c r="AP39" i="1"/>
  <c r="AN39" i="1"/>
  <c r="AL39" i="1"/>
  <c r="AJ39" i="1"/>
  <c r="AH39" i="1"/>
  <c r="AF39" i="1"/>
  <c r="AD39" i="1"/>
  <c r="Y39" i="1"/>
  <c r="W39" i="1"/>
  <c r="U39" i="1"/>
  <c r="S39" i="1"/>
  <c r="Q39" i="1"/>
  <c r="O39" i="1"/>
  <c r="M39" i="1"/>
  <c r="K39" i="1"/>
  <c r="H39" i="1"/>
  <c r="AV38" i="1"/>
  <c r="AT38" i="1"/>
  <c r="AR38" i="1"/>
  <c r="AP38" i="1"/>
  <c r="AN38" i="1"/>
  <c r="AL38" i="1"/>
  <c r="AJ38" i="1"/>
  <c r="AH38" i="1"/>
  <c r="AF38" i="1"/>
  <c r="AD38" i="1"/>
  <c r="Y38" i="1"/>
  <c r="W38" i="1"/>
  <c r="U38" i="1"/>
  <c r="S38" i="1"/>
  <c r="Q38" i="1"/>
  <c r="O38" i="1"/>
  <c r="M38" i="1"/>
  <c r="K38" i="1"/>
  <c r="H38" i="1"/>
  <c r="AV37" i="1"/>
  <c r="AT37" i="1"/>
  <c r="AR37" i="1"/>
  <c r="AP37" i="1"/>
  <c r="AN37" i="1"/>
  <c r="AL37" i="1"/>
  <c r="AJ37" i="1"/>
  <c r="AH37" i="1"/>
  <c r="AF37" i="1"/>
  <c r="AD37" i="1"/>
  <c r="Y37" i="1"/>
  <c r="W37" i="1"/>
  <c r="U37" i="1"/>
  <c r="S37" i="1"/>
  <c r="Q37" i="1"/>
  <c r="O37" i="1"/>
  <c r="M37" i="1"/>
  <c r="K37" i="1"/>
  <c r="H37" i="1"/>
  <c r="AV36" i="1"/>
  <c r="AT36" i="1"/>
  <c r="AR36" i="1"/>
  <c r="AP36" i="1"/>
  <c r="AN36" i="1"/>
  <c r="AL36" i="1"/>
  <c r="AJ36" i="1"/>
  <c r="AH36" i="1"/>
  <c r="AF36" i="1"/>
  <c r="AD36" i="1"/>
  <c r="Y36" i="1"/>
  <c r="W36" i="1"/>
  <c r="U36" i="1"/>
  <c r="S36" i="1"/>
  <c r="Q36" i="1"/>
  <c r="O36" i="1"/>
  <c r="M36" i="1"/>
  <c r="K36" i="1"/>
  <c r="H36" i="1"/>
  <c r="AV35" i="1"/>
  <c r="AT35" i="1"/>
  <c r="AR35" i="1"/>
  <c r="AP35" i="1"/>
  <c r="AN35" i="1"/>
  <c r="AL35" i="1"/>
  <c r="AJ35" i="1"/>
  <c r="AH35" i="1"/>
  <c r="AF35" i="1"/>
  <c r="AD35" i="1"/>
  <c r="Y35" i="1"/>
  <c r="W35" i="1"/>
  <c r="U35" i="1"/>
  <c r="S35" i="1"/>
  <c r="Q35" i="1"/>
  <c r="O35" i="1"/>
  <c r="M35" i="1"/>
  <c r="K35" i="1"/>
  <c r="H35" i="1"/>
  <c r="AV34" i="1"/>
  <c r="AT34" i="1"/>
  <c r="AR34" i="1"/>
  <c r="AP34" i="1"/>
  <c r="AN34" i="1"/>
  <c r="AL34" i="1"/>
  <c r="AJ34" i="1"/>
  <c r="AH34" i="1"/>
  <c r="AF34" i="1"/>
  <c r="AD34" i="1"/>
  <c r="Y34" i="1"/>
  <c r="W34" i="1"/>
  <c r="U34" i="1"/>
  <c r="S34" i="1"/>
  <c r="Q34" i="1"/>
  <c r="O34" i="1"/>
  <c r="M34" i="1"/>
  <c r="K34" i="1"/>
  <c r="H34" i="1"/>
  <c r="AV33" i="1"/>
  <c r="AT33" i="1"/>
  <c r="AR33" i="1"/>
  <c r="AP33" i="1"/>
  <c r="AN33" i="1"/>
  <c r="AL33" i="1"/>
  <c r="AJ33" i="1"/>
  <c r="AH33" i="1"/>
  <c r="AF33" i="1"/>
  <c r="AD33" i="1"/>
  <c r="Y33" i="1"/>
  <c r="W33" i="1"/>
  <c r="U33" i="1"/>
  <c r="S33" i="1"/>
  <c r="Q33" i="1"/>
  <c r="O33" i="1"/>
  <c r="M33" i="1"/>
  <c r="K33" i="1"/>
  <c r="H33" i="1"/>
  <c r="AV32" i="1"/>
  <c r="AT32" i="1"/>
  <c r="AR32" i="1"/>
  <c r="AP32" i="1"/>
  <c r="AN32" i="1"/>
  <c r="AL32" i="1"/>
  <c r="AJ32" i="1"/>
  <c r="AH32" i="1"/>
  <c r="AF32" i="1"/>
  <c r="AD32" i="1"/>
  <c r="Y32" i="1"/>
  <c r="W32" i="1"/>
  <c r="U32" i="1"/>
  <c r="S32" i="1"/>
  <c r="Q32" i="1"/>
  <c r="O32" i="1"/>
  <c r="M32" i="1"/>
  <c r="K32" i="1"/>
  <c r="H32" i="1"/>
  <c r="AV31" i="1"/>
  <c r="AT31" i="1"/>
  <c r="AR31" i="1"/>
  <c r="AP31" i="1"/>
  <c r="AN31" i="1"/>
  <c r="AL31" i="1"/>
  <c r="AJ31" i="1"/>
  <c r="AH31" i="1"/>
  <c r="AF31" i="1"/>
  <c r="AD31" i="1"/>
  <c r="Y31" i="1"/>
  <c r="W31" i="1"/>
  <c r="U31" i="1"/>
  <c r="S31" i="1"/>
  <c r="Q31" i="1"/>
  <c r="O31" i="1"/>
  <c r="M31" i="1"/>
  <c r="K31" i="1"/>
  <c r="H31" i="1"/>
  <c r="AV30" i="1"/>
  <c r="AT30" i="1"/>
  <c r="AR30" i="1"/>
  <c r="AP30" i="1"/>
  <c r="AN30" i="1"/>
  <c r="AL30" i="1"/>
  <c r="AJ30" i="1"/>
  <c r="AH30" i="1"/>
  <c r="AF30" i="1"/>
  <c r="AD30" i="1"/>
  <c r="Y30" i="1"/>
  <c r="W30" i="1"/>
  <c r="U30" i="1"/>
  <c r="S30" i="1"/>
  <c r="Q30" i="1"/>
  <c r="O30" i="1"/>
  <c r="M30" i="1"/>
  <c r="K30" i="1"/>
  <c r="H30" i="1"/>
  <c r="AV29" i="1"/>
  <c r="AT29" i="1"/>
  <c r="AR29" i="1"/>
  <c r="AP29" i="1"/>
  <c r="AN29" i="1"/>
  <c r="AL29" i="1"/>
  <c r="AJ29" i="1"/>
  <c r="AH29" i="1"/>
  <c r="AF29" i="1"/>
  <c r="AD29" i="1"/>
  <c r="Y29" i="1"/>
  <c r="W29" i="1"/>
  <c r="U29" i="1"/>
  <c r="S29" i="1"/>
  <c r="Q29" i="1"/>
  <c r="O29" i="1"/>
  <c r="M29" i="1"/>
  <c r="K29" i="1"/>
  <c r="H29" i="1"/>
  <c r="AV28" i="1"/>
  <c r="AT28" i="1"/>
  <c r="AR28" i="1"/>
  <c r="AP28" i="1"/>
  <c r="AN28" i="1"/>
  <c r="AL28" i="1"/>
  <c r="AJ28" i="1"/>
  <c r="AH28" i="1"/>
  <c r="AF28" i="1"/>
  <c r="AD28" i="1"/>
  <c r="Y28" i="1"/>
  <c r="W28" i="1"/>
  <c r="U28" i="1"/>
  <c r="S28" i="1"/>
  <c r="Q28" i="1"/>
  <c r="O28" i="1"/>
  <c r="M28" i="1"/>
  <c r="K28" i="1"/>
  <c r="H28" i="1"/>
  <c r="AV27" i="1"/>
  <c r="AT27" i="1"/>
  <c r="AR27" i="1"/>
  <c r="AP27" i="1"/>
  <c r="AN27" i="1"/>
  <c r="AL27" i="1"/>
  <c r="AJ27" i="1"/>
  <c r="AH27" i="1"/>
  <c r="AF27" i="1"/>
  <c r="AD27" i="1"/>
  <c r="Y27" i="1"/>
  <c r="W27" i="1"/>
  <c r="U27" i="1"/>
  <c r="S27" i="1"/>
  <c r="Q27" i="1"/>
  <c r="O27" i="1"/>
  <c r="M27" i="1"/>
  <c r="K27" i="1"/>
  <c r="H27" i="1"/>
  <c r="AV26" i="1"/>
  <c r="AT26" i="1"/>
  <c r="AR26" i="1"/>
  <c r="AP26" i="1"/>
  <c r="AN26" i="1"/>
  <c r="AL26" i="1"/>
  <c r="AJ26" i="1"/>
  <c r="AH26" i="1"/>
  <c r="AF26" i="1"/>
  <c r="AD26" i="1"/>
  <c r="Y26" i="1"/>
  <c r="W26" i="1"/>
  <c r="U26" i="1"/>
  <c r="S26" i="1"/>
  <c r="Q26" i="1"/>
  <c r="O26" i="1"/>
  <c r="M26" i="1"/>
  <c r="K26" i="1"/>
  <c r="H26" i="1"/>
  <c r="AV25" i="1"/>
  <c r="AT25" i="1"/>
  <c r="AR25" i="1"/>
  <c r="AP25" i="1"/>
  <c r="AN25" i="1"/>
  <c r="AL25" i="1"/>
  <c r="AJ25" i="1"/>
  <c r="AH25" i="1"/>
  <c r="AF25" i="1"/>
  <c r="AD25" i="1"/>
  <c r="Y25" i="1"/>
  <c r="W25" i="1"/>
  <c r="U25" i="1"/>
  <c r="S25" i="1"/>
  <c r="Q25" i="1"/>
  <c r="O25" i="1"/>
  <c r="M25" i="1"/>
  <c r="K25" i="1"/>
  <c r="H25" i="1"/>
  <c r="AV24" i="1"/>
  <c r="AT24" i="1"/>
  <c r="AR24" i="1"/>
  <c r="AP24" i="1"/>
  <c r="AN24" i="1"/>
  <c r="AL24" i="1"/>
  <c r="AJ24" i="1"/>
  <c r="AH24" i="1"/>
  <c r="AF24" i="1"/>
  <c r="AD24" i="1"/>
  <c r="Y24" i="1"/>
  <c r="W24" i="1"/>
  <c r="U24" i="1"/>
  <c r="S24" i="1"/>
  <c r="Q24" i="1"/>
  <c r="O24" i="1"/>
  <c r="M24" i="1"/>
  <c r="K24" i="1"/>
  <c r="H24" i="1"/>
  <c r="AV23" i="1"/>
  <c r="AT23" i="1"/>
  <c r="AR23" i="1"/>
  <c r="AP23" i="1"/>
  <c r="AN23" i="1"/>
  <c r="AL23" i="1"/>
  <c r="AJ23" i="1"/>
  <c r="AH23" i="1"/>
  <c r="AF23" i="1"/>
  <c r="AD23" i="1"/>
  <c r="Y23" i="1"/>
  <c r="W23" i="1"/>
  <c r="U23" i="1"/>
  <c r="S23" i="1"/>
  <c r="Q23" i="1"/>
  <c r="O23" i="1"/>
  <c r="M23" i="1"/>
  <c r="K23" i="1"/>
  <c r="H23" i="1"/>
  <c r="AV22" i="1"/>
  <c r="AT22" i="1"/>
  <c r="AR22" i="1"/>
  <c r="AP22" i="1"/>
  <c r="AN22" i="1"/>
  <c r="AL22" i="1"/>
  <c r="AJ22" i="1"/>
  <c r="AH22" i="1"/>
  <c r="AF22" i="1"/>
  <c r="AD22" i="1"/>
  <c r="Y22" i="1"/>
  <c r="W22" i="1"/>
  <c r="U22" i="1"/>
  <c r="S22" i="1"/>
  <c r="Q22" i="1"/>
  <c r="O22" i="1"/>
  <c r="M22" i="1"/>
  <c r="K22" i="1"/>
  <c r="H22" i="1"/>
  <c r="AV21" i="1"/>
  <c r="AT21" i="1"/>
  <c r="AR21" i="1"/>
  <c r="AP21" i="1"/>
  <c r="AN21" i="1"/>
  <c r="AL21" i="1"/>
  <c r="AJ21" i="1"/>
  <c r="AH21" i="1"/>
  <c r="AF21" i="1"/>
  <c r="AD21" i="1"/>
  <c r="Y21" i="1"/>
  <c r="W21" i="1"/>
  <c r="U21" i="1"/>
  <c r="S21" i="1"/>
  <c r="Q21" i="1"/>
  <c r="O21" i="1"/>
  <c r="M21" i="1"/>
  <c r="K21" i="1"/>
  <c r="H21" i="1"/>
  <c r="AV20" i="1"/>
  <c r="AT20" i="1"/>
  <c r="AR20" i="1"/>
  <c r="AP20" i="1"/>
  <c r="AN20" i="1"/>
  <c r="AL20" i="1"/>
  <c r="AJ20" i="1"/>
  <c r="AH20" i="1"/>
  <c r="AF20" i="1"/>
  <c r="AD20" i="1"/>
  <c r="Y20" i="1"/>
  <c r="W20" i="1"/>
  <c r="U20" i="1"/>
  <c r="S20" i="1"/>
  <c r="Q20" i="1"/>
  <c r="O20" i="1"/>
  <c r="M20" i="1"/>
  <c r="K20" i="1"/>
  <c r="H20" i="1"/>
  <c r="AV19" i="1"/>
  <c r="AT19" i="1"/>
  <c r="AR19" i="1"/>
  <c r="AP19" i="1"/>
  <c r="AN19" i="1"/>
  <c r="AL19" i="1"/>
  <c r="AJ19" i="1"/>
  <c r="AH19" i="1"/>
  <c r="AF19" i="1"/>
  <c r="AD19" i="1"/>
  <c r="Y19" i="1"/>
  <c r="W19" i="1"/>
  <c r="U19" i="1"/>
  <c r="S19" i="1"/>
  <c r="Q19" i="1"/>
  <c r="O19" i="1"/>
  <c r="M19" i="1"/>
  <c r="K19" i="1"/>
  <c r="H19" i="1"/>
  <c r="AV18" i="1"/>
  <c r="AT18" i="1"/>
  <c r="AR18" i="1"/>
  <c r="AP18" i="1"/>
  <c r="AN18" i="1"/>
  <c r="AL18" i="1"/>
  <c r="AJ18" i="1"/>
  <c r="AH18" i="1"/>
  <c r="AF18" i="1"/>
  <c r="AD18" i="1"/>
  <c r="Y18" i="1"/>
  <c r="W18" i="1"/>
  <c r="U18" i="1"/>
  <c r="S18" i="1"/>
  <c r="Q18" i="1"/>
  <c r="O18" i="1"/>
  <c r="M18" i="1"/>
  <c r="K18" i="1"/>
  <c r="H18" i="1"/>
  <c r="AV17" i="1"/>
  <c r="AT17" i="1"/>
  <c r="AR17" i="1"/>
  <c r="AP17" i="1"/>
  <c r="AN17" i="1"/>
  <c r="AL17" i="1"/>
  <c r="AJ17" i="1"/>
  <c r="AH17" i="1"/>
  <c r="AF17" i="1"/>
  <c r="AD17" i="1"/>
  <c r="Y17" i="1"/>
  <c r="W17" i="1"/>
  <c r="U17" i="1"/>
  <c r="S17" i="1"/>
  <c r="Q17" i="1"/>
  <c r="O17" i="1"/>
  <c r="M17" i="1"/>
  <c r="K17" i="1"/>
  <c r="H17" i="1"/>
  <c r="AV16" i="1"/>
  <c r="AT16" i="1"/>
  <c r="AR16" i="1"/>
  <c r="AP16" i="1"/>
  <c r="AN16" i="1"/>
  <c r="AL16" i="1"/>
  <c r="AJ16" i="1"/>
  <c r="AH16" i="1"/>
  <c r="AF16" i="1"/>
  <c r="AD16" i="1"/>
  <c r="Y16" i="1"/>
  <c r="W16" i="1"/>
  <c r="U16" i="1"/>
  <c r="S16" i="1"/>
  <c r="Q16" i="1"/>
  <c r="O16" i="1"/>
  <c r="M16" i="1"/>
  <c r="K16" i="1"/>
  <c r="H16" i="1"/>
  <c r="AV15" i="1"/>
  <c r="AT15" i="1"/>
  <c r="AR15" i="1"/>
  <c r="AP15" i="1"/>
  <c r="AN15" i="1"/>
  <c r="AL15" i="1"/>
  <c r="AJ15" i="1"/>
  <c r="AH15" i="1"/>
  <c r="AF15" i="1"/>
  <c r="AD15" i="1"/>
  <c r="Y15" i="1"/>
  <c r="W15" i="1"/>
  <c r="U15" i="1"/>
  <c r="S15" i="1"/>
  <c r="Q15" i="1"/>
  <c r="O15" i="1"/>
  <c r="M15" i="1"/>
  <c r="K15" i="1"/>
  <c r="H15" i="1"/>
  <c r="AV14" i="1"/>
  <c r="AT14" i="1"/>
  <c r="AR14" i="1"/>
  <c r="AP14" i="1"/>
  <c r="AN14" i="1"/>
  <c r="AL14" i="1"/>
  <c r="AJ14" i="1"/>
  <c r="AH14" i="1"/>
  <c r="AF14" i="1"/>
  <c r="AD14" i="1"/>
  <c r="Y14" i="1"/>
  <c r="W14" i="1"/>
  <c r="U14" i="1"/>
  <c r="S14" i="1"/>
  <c r="Q14" i="1"/>
  <c r="O14" i="1"/>
  <c r="M14" i="1"/>
  <c r="K14" i="1"/>
  <c r="H14" i="1"/>
  <c r="AV13" i="1"/>
  <c r="AT13" i="1"/>
  <c r="AR13" i="1"/>
  <c r="AP13" i="1"/>
  <c r="AN13" i="1"/>
  <c r="AL13" i="1"/>
  <c r="AJ13" i="1"/>
  <c r="AH13" i="1"/>
  <c r="AF13" i="1"/>
  <c r="AD13" i="1"/>
  <c r="Y13" i="1"/>
  <c r="W13" i="1"/>
  <c r="U13" i="1"/>
  <c r="S13" i="1"/>
  <c r="Q13" i="1"/>
  <c r="O13" i="1"/>
  <c r="M13" i="1"/>
  <c r="K13" i="1"/>
  <c r="H13" i="1"/>
  <c r="AV12" i="1"/>
  <c r="AT12" i="1"/>
  <c r="AR12" i="1"/>
  <c r="AP12" i="1"/>
  <c r="AN12" i="1"/>
  <c r="AL12" i="1"/>
  <c r="AJ12" i="1"/>
  <c r="AH12" i="1"/>
  <c r="AF12" i="1"/>
  <c r="AD12" i="1"/>
  <c r="Y12" i="1"/>
  <c r="W12" i="1"/>
  <c r="U12" i="1"/>
  <c r="S12" i="1"/>
  <c r="Q12" i="1"/>
  <c r="O12" i="1"/>
  <c r="M12" i="1"/>
  <c r="K12" i="1"/>
  <c r="H12" i="1"/>
  <c r="AV11" i="1"/>
  <c r="AT11" i="1"/>
  <c r="AR11" i="1"/>
  <c r="AP11" i="1"/>
  <c r="AN11" i="1"/>
  <c r="AL11" i="1"/>
  <c r="AJ11" i="1"/>
  <c r="AH11" i="1"/>
  <c r="AF11" i="1"/>
  <c r="AD11" i="1"/>
  <c r="Y11" i="1"/>
  <c r="W11" i="1"/>
  <c r="U11" i="1"/>
  <c r="S11" i="1"/>
  <c r="Q11" i="1"/>
  <c r="O11" i="1"/>
  <c r="M11" i="1"/>
  <c r="K11" i="1"/>
  <c r="H11" i="1"/>
  <c r="AV10" i="1"/>
  <c r="AT10" i="1"/>
  <c r="AR10" i="1"/>
  <c r="AP10" i="1"/>
  <c r="AN10" i="1"/>
  <c r="AL10" i="1"/>
  <c r="AJ10" i="1"/>
  <c r="AH10" i="1"/>
  <c r="AF10" i="1"/>
  <c r="AD10" i="1"/>
  <c r="Y10" i="1"/>
  <c r="W10" i="1"/>
  <c r="U10" i="1"/>
  <c r="S10" i="1"/>
  <c r="Q10" i="1"/>
  <c r="O10" i="1"/>
  <c r="M10" i="1"/>
  <c r="K10" i="1"/>
  <c r="H10" i="1"/>
  <c r="AV9" i="1"/>
  <c r="AT9" i="1"/>
  <c r="AR9" i="1"/>
  <c r="AP9" i="1"/>
  <c r="AN9" i="1"/>
  <c r="AL9" i="1"/>
  <c r="AJ9" i="1"/>
  <c r="AH9" i="1"/>
  <c r="AF9" i="1"/>
  <c r="AD9" i="1"/>
  <c r="Y9" i="1"/>
  <c r="W9" i="1"/>
  <c r="U9" i="1"/>
  <c r="S9" i="1"/>
  <c r="Q9" i="1"/>
  <c r="O9" i="1"/>
  <c r="M9" i="1"/>
  <c r="K9" i="1"/>
  <c r="H9" i="1"/>
  <c r="AV8" i="1"/>
  <c r="AT8" i="1"/>
  <c r="AR8" i="1"/>
  <c r="AP8" i="1"/>
  <c r="AN8" i="1"/>
  <c r="AL8" i="1"/>
  <c r="AJ8" i="1"/>
  <c r="AH8" i="1"/>
  <c r="AF8" i="1"/>
  <c r="AD8" i="1"/>
  <c r="Y8" i="1"/>
  <c r="W8" i="1"/>
  <c r="U8" i="1"/>
  <c r="S8" i="1"/>
  <c r="Q8" i="1"/>
  <c r="O8" i="1"/>
  <c r="M8" i="1"/>
  <c r="H8" i="1"/>
  <c r="AV7" i="1"/>
  <c r="AT7" i="1"/>
  <c r="AR7" i="1"/>
  <c r="AP7" i="1"/>
  <c r="AN7" i="1"/>
  <c r="AL7" i="1"/>
  <c r="AJ7" i="1"/>
  <c r="AH7" i="1"/>
  <c r="AF7" i="1"/>
  <c r="AD7" i="1"/>
  <c r="Y7" i="1"/>
  <c r="W7" i="1"/>
  <c r="U7" i="1"/>
  <c r="S7" i="1"/>
  <c r="Q7" i="1"/>
  <c r="O7" i="1"/>
  <c r="M7" i="1"/>
  <c r="K7" i="1"/>
  <c r="H7" i="1"/>
  <c r="AV6" i="1"/>
  <c r="AT6" i="1"/>
  <c r="AR6" i="1"/>
  <c r="AP6" i="1"/>
  <c r="AN6" i="1"/>
  <c r="AL6" i="1"/>
  <c r="AJ6" i="1"/>
  <c r="AH6" i="1"/>
  <c r="AF6" i="1"/>
  <c r="AD6" i="1"/>
  <c r="Y6" i="1"/>
  <c r="W6" i="1"/>
  <c r="U6" i="1"/>
  <c r="S6" i="1"/>
  <c r="Q6" i="1"/>
  <c r="O6" i="1"/>
  <c r="M6" i="1"/>
  <c r="K6" i="1"/>
  <c r="H6" i="1"/>
  <c r="AV5" i="1"/>
  <c r="AT5" i="1"/>
  <c r="AR5" i="1"/>
  <c r="AP5" i="1"/>
  <c r="AN5" i="1"/>
  <c r="AJ5" i="1"/>
  <c r="AK5" i="1" s="1"/>
  <c r="AL5" i="1" s="1"/>
  <c r="AH5" i="1"/>
  <c r="AF5" i="1"/>
  <c r="AD5" i="1"/>
  <c r="Y5" i="1"/>
  <c r="W5" i="1"/>
  <c r="U5" i="1"/>
  <c r="S5" i="1"/>
  <c r="Q5" i="1"/>
  <c r="O5" i="1"/>
  <c r="M5" i="1"/>
  <c r="K5" i="1"/>
  <c r="H5" i="1"/>
  <c r="AD6" i="3"/>
  <c r="AR6" i="3"/>
  <c r="AP6" i="3"/>
  <c r="C6" i="3"/>
  <c r="AB6" i="3"/>
  <c r="T6" i="3"/>
  <c r="AC6" i="3"/>
  <c r="AN6" i="3"/>
  <c r="U6" i="3"/>
  <c r="AA6" i="3"/>
  <c r="D6" i="3"/>
  <c r="AQ6" i="3"/>
  <c r="B6" i="3"/>
  <c r="AO6" i="3"/>
  <c r="S6" i="3"/>
  <c r="H6" i="3"/>
  <c r="AM6" i="3"/>
  <c r="R6" i="3"/>
  <c r="BF7" i="3" l="1"/>
  <c r="B7" i="3"/>
  <c r="C7"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<sst xmlns="http://schemas.openxmlformats.org/spreadsheetml/2006/main" count="1765" uniqueCount="286">
  <si>
    <t>Month</t>
  </si>
  <si>
    <t>Day</t>
  </si>
  <si>
    <t>Load</t>
  </si>
  <si>
    <t>Tonnage</t>
  </si>
  <si>
    <t>Customer Type</t>
  </si>
  <si>
    <t>Destination</t>
  </si>
  <si>
    <t>Jan</t>
  </si>
  <si>
    <t>Wood</t>
  </si>
  <si>
    <t>Retaining Customer</t>
  </si>
  <si>
    <t>British Columbia</t>
  </si>
  <si>
    <t>Manitoba</t>
  </si>
  <si>
    <t>Feb</t>
  </si>
  <si>
    <t>Sand</t>
  </si>
  <si>
    <t>New Brunswick</t>
  </si>
  <si>
    <t>Nunavut</t>
  </si>
  <si>
    <t>Mar</t>
  </si>
  <si>
    <t>Iron</t>
  </si>
  <si>
    <t>New Customer</t>
  </si>
  <si>
    <t>Alberta</t>
  </si>
  <si>
    <t>Apr</t>
  </si>
  <si>
    <t>Yukon</t>
  </si>
  <si>
    <t>Nova Scotia</t>
  </si>
  <si>
    <t>May</t>
  </si>
  <si>
    <t>Jun</t>
  </si>
  <si>
    <t>Jul</t>
  </si>
  <si>
    <t>Aug</t>
  </si>
  <si>
    <t>Sep</t>
  </si>
  <si>
    <t>Oct</t>
  </si>
  <si>
    <t>Nov</t>
  </si>
  <si>
    <t>Dec</t>
  </si>
  <si>
    <t>Rate1</t>
  </si>
  <si>
    <t>Truck</t>
  </si>
  <si>
    <t>Insurance1</t>
  </si>
  <si>
    <t>Fuel1</t>
  </si>
  <si>
    <t>Diesel Exhaust Fluid1</t>
  </si>
  <si>
    <t>Advance1</t>
  </si>
  <si>
    <t>Warehouse1</t>
  </si>
  <si>
    <t>Repairs1</t>
  </si>
  <si>
    <t>Tolls1</t>
  </si>
  <si>
    <t>Tolls2</t>
  </si>
  <si>
    <t>Fundings1</t>
  </si>
  <si>
    <t>Fundings</t>
  </si>
  <si>
    <t>Driver Name</t>
  </si>
  <si>
    <t>Odometer</t>
  </si>
  <si>
    <t>Miles</t>
  </si>
  <si>
    <t>Rate Per Miles1</t>
  </si>
  <si>
    <t>Rate Per Miles</t>
  </si>
  <si>
    <t>Extra Stops1</t>
  </si>
  <si>
    <t>Extra Stops</t>
  </si>
  <si>
    <t>Extra Pay1</t>
  </si>
  <si>
    <t>Extra Pay</t>
  </si>
  <si>
    <t>Costs Driver Paid1</t>
  </si>
  <si>
    <t>Costs Driver Paid</t>
  </si>
  <si>
    <t>Total Expenses1</t>
  </si>
  <si>
    <t>Total Expenses</t>
  </si>
  <si>
    <t>First condition type1</t>
  </si>
  <si>
    <t>First condition type</t>
  </si>
  <si>
    <t>Shipment cost          sub-items1</t>
  </si>
  <si>
    <t>Shipment cost          sub-items</t>
  </si>
  <si>
    <t>ERE Stage1</t>
  </si>
  <si>
    <t>ERE Stage</t>
  </si>
  <si>
    <t>Basic freight1</t>
  </si>
  <si>
    <t>Basic freight</t>
  </si>
  <si>
    <t>Final Amount1</t>
  </si>
  <si>
    <t>Final Amount</t>
  </si>
  <si>
    <t>$5,556</t>
  </si>
  <si>
    <t>Freightliner Sprinter</t>
  </si>
  <si>
    <t>$132</t>
  </si>
  <si>
    <t>$400</t>
  </si>
  <si>
    <t>$50</t>
  </si>
  <si>
    <t>$250</t>
  </si>
  <si>
    <t>$120</t>
  </si>
  <si>
    <t>$65</t>
  </si>
  <si>
    <t>$134</t>
  </si>
  <si>
    <t>$6</t>
  </si>
  <si>
    <t>Alessandro Smith</t>
  </si>
  <si>
    <t>$240</t>
  </si>
  <si>
    <t>$100</t>
  </si>
  <si>
    <t>$22</t>
  </si>
  <si>
    <t>$54</t>
  </si>
  <si>
    <t>$722</t>
  </si>
  <si>
    <t>$1,111</t>
  </si>
  <si>
    <t>$945</t>
  </si>
  <si>
    <t>$1,389</t>
  </si>
  <si>
    <t>$1,667</t>
  </si>
  <si>
    <t>Beauregard Mike</t>
  </si>
  <si>
    <t>$1,573</t>
  </si>
  <si>
    <t>Jean Bartholomew</t>
  </si>
  <si>
    <t>$4,567</t>
  </si>
  <si>
    <t>$333</t>
  </si>
  <si>
    <t>$51</t>
  </si>
  <si>
    <t>$248</t>
  </si>
  <si>
    <t>$23</t>
  </si>
  <si>
    <t>$55</t>
  </si>
  <si>
    <t>$1,531</t>
  </si>
  <si>
    <t>$594</t>
  </si>
  <si>
    <t>$913</t>
  </si>
  <si>
    <t>$776</t>
  </si>
  <si>
    <t>$1,142</t>
  </si>
  <si>
    <t>$1,370</t>
  </si>
  <si>
    <t>$52</t>
  </si>
  <si>
    <t>$1,532</t>
  </si>
  <si>
    <t>$53</t>
  </si>
  <si>
    <t>$1,533</t>
  </si>
  <si>
    <t>Jaison Augustine</t>
  </si>
  <si>
    <t>$1,534</t>
  </si>
  <si>
    <t>$3,458</t>
  </si>
  <si>
    <t>$453</t>
  </si>
  <si>
    <t>$121</t>
  </si>
  <si>
    <t>$32</t>
  </si>
  <si>
    <t>$56</t>
  </si>
  <si>
    <t>$233</t>
  </si>
  <si>
    <t>$24</t>
  </si>
  <si>
    <t>$1,568</t>
  </si>
  <si>
    <t>$450</t>
  </si>
  <si>
    <t>$692</t>
  </si>
  <si>
    <t>$588</t>
  </si>
  <si>
    <t>$865</t>
  </si>
  <si>
    <t>$1,037</t>
  </si>
  <si>
    <t>$1,569</t>
  </si>
  <si>
    <t>$57</t>
  </si>
  <si>
    <t>$1,570</t>
  </si>
  <si>
    <t>$58</t>
  </si>
  <si>
    <t>$1,571</t>
  </si>
  <si>
    <t>$59</t>
  </si>
  <si>
    <t>$1,540</t>
  </si>
  <si>
    <t>$6,433</t>
  </si>
  <si>
    <t>Chevrolet Express</t>
  </si>
  <si>
    <t>$399</t>
  </si>
  <si>
    <t>$72</t>
  </si>
  <si>
    <t>$25</t>
  </si>
  <si>
    <t>$1,549</t>
  </si>
  <si>
    <t>$836</t>
  </si>
  <si>
    <t>$1,287</t>
  </si>
  <si>
    <t>$1,094</t>
  </si>
  <si>
    <t>$1,608</t>
  </si>
  <si>
    <t>$1,930</t>
  </si>
  <si>
    <t>$73</t>
  </si>
  <si>
    <t>$1,615</t>
  </si>
  <si>
    <t>$74</t>
  </si>
  <si>
    <t>$1,616</t>
  </si>
  <si>
    <t>$8,765</t>
  </si>
  <si>
    <t>$387</t>
  </si>
  <si>
    <t>$128</t>
  </si>
  <si>
    <t>$34</t>
  </si>
  <si>
    <t>$46</t>
  </si>
  <si>
    <t>$26</t>
  </si>
  <si>
    <t>$1,579</t>
  </si>
  <si>
    <t>$1,139</t>
  </si>
  <si>
    <t>$1,753</t>
  </si>
  <si>
    <t>$1,490</t>
  </si>
  <si>
    <t>$2,191</t>
  </si>
  <si>
    <t>$2,630</t>
  </si>
  <si>
    <t>$5,432</t>
  </si>
  <si>
    <t>$245</t>
  </si>
  <si>
    <t>$66</t>
  </si>
  <si>
    <t>$27</t>
  </si>
  <si>
    <t>$1,409</t>
  </si>
  <si>
    <t>$706</t>
  </si>
  <si>
    <t>$1,086</t>
  </si>
  <si>
    <t>$923</t>
  </si>
  <si>
    <t>$1,358</t>
  </si>
  <si>
    <t>$1,630</t>
  </si>
  <si>
    <t>$6,778</t>
  </si>
  <si>
    <t>RAM ProMaster</t>
  </si>
  <si>
    <t>$264</t>
  </si>
  <si>
    <t>$28</t>
  </si>
  <si>
    <t>$60</t>
  </si>
  <si>
    <t>$1,558</t>
  </si>
  <si>
    <t>$881</t>
  </si>
  <si>
    <t>$1,356</t>
  </si>
  <si>
    <t>$1,152</t>
  </si>
  <si>
    <t>$1,695</t>
  </si>
  <si>
    <t>$2,033</t>
  </si>
  <si>
    <t>$1,623</t>
  </si>
  <si>
    <t>$6,543</t>
  </si>
  <si>
    <t>$272</t>
  </si>
  <si>
    <t>$29</t>
  </si>
  <si>
    <t>$61</t>
  </si>
  <si>
    <t>$1,517</t>
  </si>
  <si>
    <t>$851</t>
  </si>
  <si>
    <t>$1,309</t>
  </si>
  <si>
    <t>$1,112</t>
  </si>
  <si>
    <t>$1,636</t>
  </si>
  <si>
    <t>$1,963</t>
  </si>
  <si>
    <t>$33</t>
  </si>
  <si>
    <t>$1,550</t>
  </si>
  <si>
    <t>$8,633</t>
  </si>
  <si>
    <t>$164</t>
  </si>
  <si>
    <t>$1,448</t>
  </si>
  <si>
    <t>$1,122</t>
  </si>
  <si>
    <t>$1,727</t>
  </si>
  <si>
    <t>$1,468</t>
  </si>
  <si>
    <t>$2,158</t>
  </si>
  <si>
    <t>$2,590</t>
  </si>
  <si>
    <t>$1,527</t>
  </si>
  <si>
    <t>$3,456</t>
  </si>
  <si>
    <t>Nissan NV2500</t>
  </si>
  <si>
    <t>$1,585</t>
  </si>
  <si>
    <t>$449</t>
  </si>
  <si>
    <t>$691</t>
  </si>
  <si>
    <t>$864</t>
  </si>
  <si>
    <t>$1,520</t>
  </si>
  <si>
    <t>$4,782</t>
  </si>
  <si>
    <t>$279</t>
  </si>
  <si>
    <t>$1,618</t>
  </si>
  <si>
    <t>$622</t>
  </si>
  <si>
    <t>$956</t>
  </si>
  <si>
    <t>$813</t>
  </si>
  <si>
    <t>$1,196</t>
  </si>
  <si>
    <t>$1,435</t>
  </si>
  <si>
    <t>$5,287</t>
  </si>
  <si>
    <t>$1,530</t>
  </si>
  <si>
    <t>$687</t>
  </si>
  <si>
    <t>$1,057</t>
  </si>
  <si>
    <t>$899</t>
  </si>
  <si>
    <t>$1,322</t>
  </si>
  <si>
    <t>$1,586</t>
  </si>
  <si>
    <t>Rate</t>
  </si>
  <si>
    <t>Insurance</t>
  </si>
  <si>
    <t>Fuel</t>
  </si>
  <si>
    <t>Diesel Exhaust Fluid</t>
  </si>
  <si>
    <t>Advance</t>
  </si>
  <si>
    <t>Warehouse</t>
  </si>
  <si>
    <t>Repairs</t>
  </si>
  <si>
    <t>Tolls</t>
  </si>
  <si>
    <t>Monthly Rate</t>
  </si>
  <si>
    <t>Expenses</t>
  </si>
  <si>
    <t>Balance</t>
  </si>
  <si>
    <t>Truck Expenses</t>
  </si>
  <si>
    <t>Freight Expenses</t>
  </si>
  <si>
    <t>Driver payroll</t>
  </si>
  <si>
    <t>Shipment cost settlement</t>
  </si>
  <si>
    <t>Sum of Rate</t>
  </si>
  <si>
    <t>Sum of Total Expenses</t>
  </si>
  <si>
    <t>Sum of Balance</t>
  </si>
  <si>
    <t>Row Labels</t>
  </si>
  <si>
    <t>Grand Total</t>
  </si>
  <si>
    <t>Monthly Balance</t>
  </si>
  <si>
    <t>Year to date total balance</t>
  </si>
  <si>
    <t>New customer</t>
  </si>
  <si>
    <t>Retaining customer</t>
  </si>
  <si>
    <t>Count of Customer Type</t>
  </si>
  <si>
    <t>Truck Expense</t>
  </si>
  <si>
    <t>Sum of Fuel</t>
  </si>
  <si>
    <t>Sum of Diesel Exhaust Fluid</t>
  </si>
  <si>
    <t>Sum of Advance</t>
  </si>
  <si>
    <t>Sum of Insurance</t>
  </si>
  <si>
    <t>Sum of Warehouse</t>
  </si>
  <si>
    <t>Sum of Repairs</t>
  </si>
  <si>
    <t>Sum of Fundings</t>
  </si>
  <si>
    <t>Sum of Tolls</t>
  </si>
  <si>
    <t>Repairs and cost</t>
  </si>
  <si>
    <t>Income &amp; Expenses</t>
  </si>
  <si>
    <t>Sum of Odometer</t>
  </si>
  <si>
    <t>Sum of Miles</t>
  </si>
  <si>
    <t>Sum of Rate Per Miles</t>
  </si>
  <si>
    <t>Sum of Extra Stops</t>
  </si>
  <si>
    <t>Sum of Extra Pay</t>
  </si>
  <si>
    <t>Sum of Costs Driver Paid</t>
  </si>
  <si>
    <t>Driver Payroll</t>
  </si>
  <si>
    <t>Cost Driver Paid</t>
  </si>
  <si>
    <t>Line Chart</t>
  </si>
  <si>
    <t>Count of Load</t>
  </si>
  <si>
    <t>Sum of Tonnage</t>
  </si>
  <si>
    <t>Total</t>
  </si>
  <si>
    <t>Freight</t>
  </si>
  <si>
    <t>Tonne</t>
  </si>
  <si>
    <t>FREIGHT TON (FRT means Cargo weight in Metric Tonne .</t>
  </si>
  <si>
    <t>X</t>
  </si>
  <si>
    <t>Y</t>
  </si>
  <si>
    <t>Income</t>
  </si>
  <si>
    <t>Y2</t>
  </si>
  <si>
    <t>Scatter bubble chart</t>
  </si>
  <si>
    <t>Sum of First condition type</t>
  </si>
  <si>
    <t>Sum of Shipment cost          sub-items</t>
  </si>
  <si>
    <t>Sum of ERE Stage</t>
  </si>
  <si>
    <t>Sum of Basic freight</t>
  </si>
  <si>
    <t>Sum of Final Amount</t>
  </si>
  <si>
    <t>shipment cost sub-items</t>
  </si>
  <si>
    <t>EREstage</t>
  </si>
  <si>
    <t>Final amount</t>
  </si>
  <si>
    <t>Count of Destination</t>
  </si>
  <si>
    <t>Total Destinations</t>
  </si>
  <si>
    <t>Driver name</t>
  </si>
  <si>
    <t>Total payroll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</si>
</sst>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2809]#,##0"/>
    <numFmt numFmtId="165" formatCode="&quot;₹&quot;\ #,##0.00"/>
    <numFmt numFmtId="166" formatCode="#,##0.0"/>
  </numFmts>
  <fonts count="16" x14ac:knownFonts="1">
    <font>
      <sz val="11"/>
      <color theme="1"/>
      <name val="Aptos Narrow"/>
      <family val="2"/>
      <scheme val="minor"/>
    </font>
    <font>
      <sz val="11"/>
      <color theme="1"/>
      <name val="Aptos Narrow"/>
      <family val="2"/>
      <scheme val="minor"/>
    </font>
    <font>
      <b/>
      <sz val="11"/>
      <color theme="0"/>
      <name val="Arial"/>
      <family val="2"/>
    </font>
    <font>
      <sz val="12"/>
      <color rgb="FF0C0C0C"/>
      <name val="Arial"/>
      <family val="2"/>
    </font>
    <font>
      <b/>
      <sz val="12"/>
      <color rgb="FF0C0C0C"/>
      <name val="Arial"/>
      <family val="2"/>
    </font>
    <font>
      <sz val="11"/>
      <color theme="1"/>
      <name val="Calibri"/>
      <family val="2"/>
    </font>
    <font>
      <sz val="11"/>
      <color rgb="FFFF0000"/>
      <name val="Arial"/>
      <family val="2"/>
    </font>
    <font>
      <sz val="11"/>
      <color theme="5" tint="0.39997558519241921"/>
      <name val="Aptos Narrow"/>
      <family val="2"/>
      <scheme val="minor"/>
    </font>
    <font>
      <b/>
      <sz val="11"/>
      <color theme="1"/>
      <name val="Arial"/>
      <family val="2"/>
    </font>
    <font>
      <b/>
      <sz val="12"/>
      <color theme="1"/>
      <name val="Arial"/>
      <family val="2"/>
    </font>
    <font>
      <b/>
      <sz val="12"/>
      <color theme="1"/>
      <name val="Aptos Narrow"/>
      <family val="2"/>
      <scheme val="minor"/>
    </font>
    <font>
      <sz val="12"/>
      <color theme="1" tint="0.499984740745262"/>
      <name val="Aptos Narrow"/>
      <family val="2"/>
      <scheme val="minor"/>
    </font>
    <font>
      <b/>
      <sz val="11"/>
      <color theme="1" tint="0.499984740745262"/>
      <name val="Aptos Narrow"/>
      <family val="2"/>
      <scheme val="minor"/>
    </font>
    <font>
      <b/>
      <sz val="11"/>
      <color theme="1"/>
      <name val="Aptos Narrow"/>
      <family val="2"/>
      <scheme val="minor"/>
    </font>
    <font>
      <b/>
      <sz val="11"/>
      <color rgb="FFFF0000"/>
      <name val="Arial"/>
      <family val="2"/>
    </font>
    <font>
      <b/>
      <sz val="12"/>
      <color theme="1"/>
      <name val="Arial"/>
    </font>
  </fonts>
  <fills count="8">
    <fill>
      <patternFill patternType="none"/>
    </fill>
    <fill>
      <patternFill patternType="gray125"/>
    </fill>
    <fill>
      <patternFill patternType="solid">
        <fgColor theme="7" tint="-0.249977111117893"/>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3" tint="9.9978637043366805E-2"/>
        <bgColor indexed="64"/>
      </patternFill>
    </fill>
    <fill>
      <patternFill patternType="solid">
        <fgColor theme="6" tint="-0.249977111117893"/>
        <bgColor indexed="64"/>
      </patternFill>
    </fill>
    <fill>
      <patternFill patternType="solid">
        <fgColor theme="3" tint="0.74999237037263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theme="1" tint="0.249977111117893"/>
      </top>
      <bottom style="double">
        <color theme="1" tint="0.249977111117893"/>
      </bottom>
      <diagonal/>
    </border>
    <border>
      <left/>
      <right style="medium">
        <color theme="1" tint="0.249977111117893"/>
      </right>
      <top/>
      <bottom/>
      <diagonal/>
    </border>
    <border>
      <left/>
      <right/>
      <top style="medium">
        <color theme="1" tint="0.249977111117893"/>
      </top>
      <bottom style="thin">
        <color indexed="64"/>
      </bottom>
      <diagonal/>
    </border>
    <border>
      <left style="medium">
        <color theme="1" tint="0.249977111117893"/>
      </left>
      <right/>
      <top style="medium">
        <color theme="1" tint="0.249977111117893"/>
      </top>
      <bottom style="thin">
        <color indexed="64"/>
      </bottom>
      <diagonal/>
    </border>
    <border>
      <left/>
      <right style="medium">
        <color theme="1" tint="0.249977111117893"/>
      </right>
      <top style="medium">
        <color theme="1" tint="0.249977111117893"/>
      </top>
      <bottom style="thin">
        <color indexed="64"/>
      </bottom>
      <diagonal/>
    </border>
    <border>
      <left/>
      <right style="medium">
        <color indexed="64"/>
      </right>
      <top/>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vertical="center" wrapText="1"/>
    </xf>
    <xf numFmtId="165" fontId="4" fillId="0" borderId="1" xfId="0" applyNumberFormat="1" applyFont="1" applyBorder="1" applyAlignment="1">
      <alignment horizontal="center" vertical="center" wrapText="1"/>
    </xf>
    <xf numFmtId="0" fontId="0" fillId="0" borderId="3" xfId="0" applyBorder="1"/>
    <xf numFmtId="0" fontId="7" fillId="0" borderId="4" xfId="0" applyFont="1" applyBorder="1"/>
    <xf numFmtId="0" fontId="7" fillId="0" borderId="5" xfId="0" applyFont="1" applyBorder="1"/>
    <xf numFmtId="0" fontId="7" fillId="0" borderId="6" xfId="0" applyFont="1" applyBorder="1"/>
    <xf numFmtId="0" fontId="0" fillId="0" borderId="4" xfId="0" applyBorder="1"/>
    <xf numFmtId="0" fontId="0" fillId="0" borderId="6" xfId="0" applyBorder="1"/>
    <xf numFmtId="1" fontId="0" fillId="0" borderId="0" xfId="0" applyNumberFormat="1"/>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5" xfId="0" applyBorder="1"/>
    <xf numFmtId="0" fontId="8" fillId="0" borderId="4" xfId="0" applyFont="1" applyBorder="1"/>
    <xf numFmtId="164" fontId="0" fillId="0" borderId="0" xfId="0" applyNumberFormat="1"/>
    <xf numFmtId="0" fontId="10" fillId="7" borderId="0" xfId="0" applyFont="1" applyFill="1" applyAlignment="1">
      <alignment horizontal="center" vertical="center" wrapText="1"/>
    </xf>
    <xf numFmtId="0" fontId="9" fillId="0" borderId="0" xfId="0" applyFont="1" applyAlignment="1">
      <alignment horizontal="center"/>
    </xf>
    <xf numFmtId="0" fontId="11" fillId="0" borderId="0" xfId="0" applyFont="1" applyAlignment="1">
      <alignment horizontal="center"/>
    </xf>
    <xf numFmtId="3" fontId="9" fillId="0" borderId="0" xfId="0" applyNumberFormat="1" applyFont="1" applyAlignment="1">
      <alignment horizontal="center"/>
    </xf>
    <xf numFmtId="9" fontId="12" fillId="0" borderId="0" xfId="1" applyFont="1" applyAlignment="1">
      <alignment horizontal="center"/>
    </xf>
    <xf numFmtId="164" fontId="9" fillId="0" borderId="0" xfId="0" applyNumberFormat="1" applyFont="1" applyAlignment="1">
      <alignment horizontal="center" vertical="center"/>
    </xf>
    <xf numFmtId="3" fontId="9" fillId="0" borderId="0" xfId="0" applyNumberFormat="1" applyFont="1" applyAlignment="1">
      <alignment horizontal="center" vertical="center"/>
    </xf>
    <xf numFmtId="0" fontId="0" fillId="0" borderId="0" xfId="0" pivotButton="1"/>
    <xf numFmtId="0" fontId="0" fillId="0" borderId="0" xfId="0" applyAlignment="1">
      <alignment horizontal="left"/>
    </xf>
    <xf numFmtId="1" fontId="9" fillId="0" borderId="0" xfId="0" applyNumberFormat="1" applyFont="1" applyAlignment="1">
      <alignment horizontal="center" vertical="center"/>
    </xf>
    <xf numFmtId="0" fontId="11" fillId="0" borderId="0" xfId="0" applyFont="1" applyAlignment="1">
      <alignment horizontal="left"/>
    </xf>
    <xf numFmtId="0" fontId="0" fillId="0" borderId="0" xfId="0" applyAlignment="1">
      <alignment horizontal="center" vertical="center" wrapText="1"/>
    </xf>
    <xf numFmtId="0" fontId="0" fillId="0" borderId="0" xfId="0" applyAlignment="1">
      <alignment horizontal="center" wrapText="1"/>
    </xf>
    <xf numFmtId="0" fontId="0" fillId="0" borderId="7" xfId="0" applyBorder="1"/>
    <xf numFmtId="164" fontId="13" fillId="0" borderId="0" xfId="0" applyNumberFormat="1" applyFont="1"/>
    <xf numFmtId="0" fontId="13" fillId="0" borderId="0" xfId="0" applyFont="1"/>
    <xf numFmtId="166" fontId="9" fillId="0" borderId="0" xfId="0" applyNumberFormat="1" applyFont="1" applyAlignment="1">
      <alignment horizontal="center"/>
    </xf>
    <xf numFmtId="0" fontId="10" fillId="0" borderId="0" xfId="0" applyFont="1" applyAlignment="1">
      <alignment horizontal="center"/>
    </xf>
    <xf numFmtId="3" fontId="9" fillId="0" borderId="7" xfId="0" applyNumberFormat="1" applyFont="1" applyBorder="1" applyAlignment="1">
      <alignment horizontal="center"/>
    </xf>
    <xf numFmtId="1" fontId="13" fillId="0" borderId="0" xfId="0" applyNumberFormat="1" applyFont="1"/>
    <xf numFmtId="0" fontId="14" fillId="0" borderId="2" xfId="0" applyFont="1" applyBorder="1" applyAlignment="1">
      <alignment horizontal="left"/>
    </xf>
    <xf numFmtId="0" fontId="14" fillId="0" borderId="2" xfId="0" applyFont="1" applyBorder="1" applyAlignment="1">
      <alignment horizontal="center"/>
    </xf>
    <xf numFmtId="0" fontId="6" fillId="0" borderId="2" xfId="0" applyFont="1" applyBorder="1" applyAlignment="1">
      <alignment horizontal="center"/>
    </xf>
    <xf numFmtId="3" fontId="15" fillId="0" borderId="0" xfId="0" applyNumberFormat="1" applyFont="1" applyAlignment="1">
      <alignment horizontal="center"/>
    </xf>
    <xf numFmtId="0" fontId="0" fillId="0" borderId="0" xfId="0" applyNumberFormat="1"/>
  </cellXfs>
  <cellStyles count="2">
    <cellStyle name="Normal" xfId="0" builtinId="0"/>
    <cellStyle name="Percent" xfId="1" builtinId="5"/>
  </cellStyles>
  <dxfs count="219">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alignment wrapText="1"/>
    </dxf>
    <dxf>
      <alignment horizontal="center"/>
    </dxf>
    <dxf>
      <alignment vertical="center"/>
    </dxf>
    <dxf>
      <alignment vertical="bottom"/>
    </dxf>
    <dxf>
      <alignment vertical="bottom"/>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alignment wrapText="1"/>
    </dxf>
    <dxf>
      <alignment horizontal="center"/>
    </dxf>
    <dxf>
      <alignment vertical="center"/>
    </dxf>
    <dxf>
      <alignment vertical="bottom"/>
    </dxf>
    <dxf>
      <alignment vertical="bottom"/>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numFmt numFmtId="3" formatCode="#,##0"/>
    </dxf>
    <dxf>
      <alignment horizontal="center"/>
    </dxf>
    <dxf>
      <alignment horizontal="center"/>
    </dxf>
    <dxf>
      <alignment wrapText="1"/>
    </dxf>
    <dxf>
      <font>
        <sz val="12"/>
      </font>
    </dxf>
    <dxf>
      <font>
        <b/>
      </font>
    </dxf>
    <dxf>
      <font>
        <sz val="12"/>
      </font>
    </dxf>
    <dxf>
      <font>
        <name val="Arial"/>
        <scheme val="none"/>
      </font>
    </dxf>
    <dxf>
      <font>
        <b/>
      </font>
    </dxf>
    <dxf>
      <alignment vertical="center"/>
    </dxf>
    <dxf>
      <fill>
        <patternFill patternType="solid">
          <bgColor theme="3" tint="0.749992370372631"/>
        </patternFill>
      </fill>
    </dxf>
    <dxf>
      <numFmt numFmtId="3" formatCode="#,##0"/>
    </dxf>
    <dxf>
      <alignment horizontal="center"/>
    </dxf>
    <dxf>
      <font>
        <sz val="12"/>
      </font>
    </dxf>
    <dxf>
      <font>
        <name val="Arial"/>
        <scheme val="none"/>
      </font>
    </dxf>
    <dxf>
      <font>
        <b/>
      </font>
    </dxf>
    <dxf>
      <alignment vertical="bottom"/>
    </dxf>
    <dxf>
      <alignment vertical="bottom"/>
    </dxf>
    <dxf>
      <alignment vertical="center"/>
    </dxf>
    <dxf>
      <alignment horizontal="center"/>
    </dxf>
    <dxf>
      <alignment wrapText="1"/>
    </dxf>
    <dxf>
      <numFmt numFmtId="3" formatCode="#,##0"/>
    </dxf>
    <dxf>
      <alignment horizontal="center"/>
    </dxf>
    <dxf>
      <font>
        <sz val="12"/>
      </font>
    </dxf>
    <dxf>
      <font>
        <name val="Arial"/>
        <scheme val="none"/>
      </font>
    </dxf>
    <dxf>
      <font>
        <b/>
      </font>
    </dxf>
    <dxf>
      <numFmt numFmtId="3" formatCode="#,##0"/>
    </dxf>
    <dxf>
      <alignment horizontal="center"/>
    </dxf>
    <dxf>
      <alignment horizontal="center"/>
    </dxf>
    <dxf>
      <alignment wrapText="1"/>
    </dxf>
    <dxf>
      <font>
        <sz val="12"/>
      </font>
    </dxf>
    <dxf>
      <font>
        <b/>
      </font>
    </dxf>
    <dxf>
      <font>
        <sz val="12"/>
      </font>
    </dxf>
    <dxf>
      <font>
        <name val="Arial"/>
        <scheme val="none"/>
      </font>
    </dxf>
    <dxf>
      <font>
        <b/>
      </font>
    </dxf>
    <dxf>
      <alignment vertical="center"/>
    </dxf>
    <dxf>
      <fill>
        <patternFill patternType="solid">
          <bgColor theme="3" tint="0.749992370372631"/>
        </patternFill>
      </fill>
    </dxf>
    <dxf>
      <numFmt numFmtId="3" formatCode="#,##0"/>
    </dxf>
    <dxf>
      <alignment horizontal="center"/>
    </dxf>
    <dxf>
      <font>
        <sz val="12"/>
      </font>
    </dxf>
    <dxf>
      <font>
        <name val="Arial"/>
        <scheme val="none"/>
      </font>
    </dxf>
    <dxf>
      <font>
        <b/>
      </font>
    </dxf>
    <dxf>
      <numFmt numFmtId="3" formatCode="#,##0"/>
    </dxf>
    <dxf>
      <alignment horizontal="center"/>
    </dxf>
    <dxf>
      <font>
        <sz val="12"/>
      </font>
    </dxf>
    <dxf>
      <font>
        <name val="Arial"/>
        <scheme val="none"/>
      </font>
    </dxf>
    <dxf>
      <font>
        <b/>
      </font>
    </dxf>
    <dxf>
      <numFmt numFmtId="3" formatCode="#,##0"/>
    </dxf>
    <dxf>
      <alignment horizontal="center"/>
    </dxf>
    <dxf>
      <font>
        <sz val="12"/>
      </font>
    </dxf>
    <dxf>
      <font>
        <name val="Arial"/>
        <scheme val="none"/>
      </font>
    </dxf>
    <dxf>
      <font>
        <b/>
      </font>
    </dxf>
    <dxf>
      <numFmt numFmtId="3" formatCode="#,##0"/>
    </dxf>
    <dxf>
      <alignment horizontal="center"/>
    </dxf>
    <dxf>
      <font>
        <sz val="12"/>
      </font>
    </dxf>
    <dxf>
      <font>
        <name val="Arial"/>
        <scheme val="none"/>
      </font>
    </dxf>
    <dxf>
      <font>
        <b/>
      </font>
    </dxf>
    <dxf>
      <numFmt numFmtId="3" formatCode="#,##0"/>
    </dxf>
    <dxf>
      <alignment horizontal="center"/>
    </dxf>
    <dxf>
      <alignment horizontal="center"/>
    </dxf>
    <dxf>
      <alignment wrapText="1"/>
    </dxf>
    <dxf>
      <font>
        <sz val="12"/>
      </font>
    </dxf>
    <dxf>
      <font>
        <b/>
      </font>
    </dxf>
    <dxf>
      <font>
        <sz val="12"/>
      </font>
    </dxf>
    <dxf>
      <font>
        <name val="Arial"/>
        <scheme val="none"/>
      </font>
    </dxf>
    <dxf>
      <font>
        <b/>
      </font>
    </dxf>
    <dxf>
      <alignment vertical="center"/>
    </dxf>
    <dxf>
      <fill>
        <patternFill patternType="solid">
          <bgColor theme="3" tint="0.749992370372631"/>
        </patternFill>
      </fill>
    </dxf>
    <dxf>
      <numFmt numFmtId="3" formatCode="#,##0"/>
    </dxf>
    <dxf>
      <alignment horizontal="center"/>
    </dxf>
    <dxf>
      <font>
        <sz val="12"/>
      </font>
    </dxf>
    <dxf>
      <font>
        <name val="Arial"/>
        <scheme val="none"/>
      </font>
    </dxf>
    <dxf>
      <font>
        <b/>
      </font>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5"/>
        </bottom>
        <vertical/>
        <horizontal/>
      </border>
    </dxf>
    <dxf>
      <font>
        <b/>
        <i val="0"/>
        <sz val="11"/>
        <color theme="2" tint="-0.499984740745262"/>
        <name val="Arial"/>
        <family val="2"/>
        <scheme val="none"/>
      </font>
      <fill>
        <patternFill patternType="none">
          <bgColor auto="1"/>
        </patternFill>
      </fill>
      <border diagonalUp="0" diagonalDown="0">
        <left/>
        <right/>
        <top/>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4" defaultTableStyle="TableStyleMedium2" defaultPivotStyle="PivotStyleLight16">
    <tableStyle name="PivotTable Style 1" table="0" count="16" xr9:uid="{8701C1C9-2B66-4F82-A40E-1C1FC39AE342}">
      <tableStyleElement type="wholeTable" dxfId="218"/>
      <tableStyleElement type="headerRow" dxfId="217"/>
      <tableStyleElement type="totalRow" dxfId="216"/>
      <tableStyleElement type="firstColumn" dxfId="215"/>
      <tableStyleElement type="lastColumn" dxfId="214"/>
      <tableStyleElement type="firstRowStripe" dxfId="213"/>
      <tableStyleElement type="secondRowStripe" dxfId="212"/>
      <tableStyleElement type="firstColumnStripe" dxfId="211"/>
      <tableStyleElement type="secondColumnStripe" dxfId="210"/>
      <tableStyleElement type="secondColumnSubheading" dxfId="209"/>
      <tableStyleElement type="thirdColumnSubheading" dxfId="208"/>
      <tableStyleElement type="firstRowSubheading" dxfId="207"/>
      <tableStyleElement type="secondRowSubheading" dxfId="206"/>
      <tableStyleElement type="thirdRowSubheading" dxfId="205"/>
      <tableStyleElement type="pageFieldLabels" dxfId="204"/>
      <tableStyleElement type="pageFieldValues" dxfId="203"/>
    </tableStyle>
    <tableStyle name="SlicerStyleDark2 2" pivot="0" table="0" count="10" xr9:uid="{5ADB1304-BC2D-4CD8-AB4F-C6F502BC8707}">
      <tableStyleElement type="wholeTable" dxfId="202"/>
      <tableStyleElement type="headerRow" dxfId="201"/>
    </tableStyle>
    <tableStyle name="SlicerStyleDark2 2 2" pivot="0" table="0" count="10" xr9:uid="{5FF042D2-945F-429D-9AFB-6F9B98A61C53}">
      <tableStyleElement type="wholeTable" dxfId="200"/>
      <tableStyleElement type="headerRow" dxfId="199"/>
    </tableStyle>
    <tableStyle name="SlicerStyleDark6 2" pivot="0" table="0" count="10" xr9:uid="{092D1695-D5E4-4559-8BC0-A3135E8E4647}">
      <tableStyleElement type="wholeTable" dxfId="198"/>
      <tableStyleElement type="headerRow" dxfId="197"/>
    </tableStyle>
  </tableStyles>
  <colors>
    <mruColors>
      <color rgb="FF3849AB"/>
      <color rgb="FFCBC3E3"/>
      <color rgb="FF2CE4DB"/>
      <color rgb="FF93F486"/>
      <color rgb="FFED6361"/>
      <color rgb="FFEBDF37"/>
      <color rgb="FFAA98A9"/>
      <color rgb="FFA6A6A6"/>
      <color rgb="FFF2AA84"/>
      <color rgb="FFE3E1DC"/>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CBC3E3"/>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2" tint="-0.499984740745262"/>
          </font>
          <fill>
            <patternFill patternType="solid">
              <fgColor auto="1"/>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2" tint="-0.499984740745262"/>
          </font>
          <fill>
            <patternFill patternType="solid">
              <fgColor auto="1"/>
              <bgColor theme="2" tint="-9.9948118533890809E-2"/>
            </patternFill>
          </fill>
          <border diagonalUp="0" diagonalDown="0">
            <left/>
            <right/>
            <top/>
            <bottom/>
            <vertical/>
            <horizontal/>
          </border>
        </dxf>
        <dxf>
          <font>
            <color theme="2" tint="-0.499984740745262"/>
          </font>
          <fill>
            <patternFill patternType="solid">
              <fgColor auto="1"/>
              <bgColor theme="0"/>
            </patternFill>
          </fill>
          <border diagonalUp="0" diagonalDown="0">
            <left/>
            <right/>
            <top/>
            <bottom/>
            <vertical/>
            <horizontal/>
          </border>
        </dxf>
        <dxf>
          <font>
            <color theme="2" tint="-0.499984740745262"/>
          </font>
          <fill>
            <patternFill patternType="solid">
              <fgColor theme="5" tint="0.59999389629810485"/>
              <bgColor theme="0"/>
            </patternFill>
          </fill>
          <border diagonalUp="0" diagonalDown="0">
            <left/>
            <right/>
            <top/>
            <bottom/>
            <vertical/>
            <horizontal/>
          </border>
        </dxf>
        <dxf>
          <font>
            <color theme="5" tint="-0.24994659260841701"/>
          </font>
          <fill>
            <patternFill patternType="solid">
              <fgColor theme="5"/>
              <bgColor theme="5" tint="0.79998168889431442"/>
            </patternFill>
          </fill>
          <border diagonalUp="0" diagonalDown="0">
            <left/>
            <right/>
            <top/>
            <bottom/>
            <vertical/>
            <horizontal/>
          </border>
        </dxf>
        <dxf>
          <font>
            <color rgb="FF959595"/>
          </font>
          <fill>
            <patternFill patternType="solid">
              <fgColor rgb="FFDFDFDF"/>
              <bgColor theme="0"/>
            </patternFill>
          </fill>
          <border diagonalUp="0" diagonalDown="0">
            <left/>
            <right/>
            <top/>
            <bottom/>
            <vertical/>
            <horizontal/>
          </border>
        </dxf>
        <dxf>
          <font>
            <color theme="2" tint="-0.499984740745262"/>
          </font>
          <fill>
            <patternFill patternType="solid">
              <fgColor rgb="FFC0C0C0"/>
              <bgColor theme="0"/>
            </patternFill>
          </fill>
          <border diagonalUp="0" diagonalDown="0">
            <left/>
            <right/>
            <top/>
            <bottom/>
            <vertical/>
            <horizontal/>
          </border>
        </dxf>
        <dxf>
          <font>
            <color rgb="FF000000"/>
          </font>
          <fill>
            <patternFill patternType="solid">
              <fgColor auto="1"/>
              <bgColor theme="9" tint="0.7999816888943144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diagonalUp="0" diagonalDown="0">
            <left/>
            <right/>
            <top/>
            <bottom/>
            <vertical/>
            <horizontal/>
          </border>
        </dxf>
        <dxf>
          <font>
            <color rgb="FF000000"/>
          </font>
          <fill>
            <patternFill patternType="solid">
              <fgColor auto="1"/>
              <bgColor theme="9" tint="0.79998168889431442"/>
            </patternFill>
          </fill>
          <border diagonalUp="0" diagonalDown="0">
            <left/>
            <right/>
            <top/>
            <bottom/>
            <vertical/>
            <horizontal/>
          </border>
        </dxf>
        <dxf>
          <font>
            <color theme="5" tint="-0.249977111117893"/>
          </font>
          <fill>
            <patternFill patternType="solid">
              <fgColor theme="5" tint="0.59999389629810485"/>
              <bgColor theme="5" tint="0.59999389629810485"/>
            </patternFill>
          </fill>
          <border diagonalUp="0" diagonalDown="0">
            <left/>
            <right/>
            <top/>
            <bottom/>
            <vertical/>
            <horizontal/>
          </border>
        </dxf>
        <dxf>
          <font>
            <color theme="0"/>
          </font>
          <fill>
            <patternFill patternType="solid">
              <fgColor theme="5"/>
              <bgColor theme="5" tint="-0.24994659260841701"/>
            </patternFill>
          </fill>
          <border diagonalUp="0" diagonalDown="0">
            <left/>
            <right/>
            <top/>
            <bottom/>
            <vertical/>
            <horizontal/>
          </border>
        </dxf>
        <dxf>
          <font>
            <color rgb="FF959595"/>
          </font>
          <fill>
            <patternFill patternType="solid">
              <fgColor rgb="FFDFDFDF"/>
              <bgColor theme="0"/>
            </patternFill>
          </fill>
          <border diagonalUp="0" diagonalDown="0">
            <left style="hair">
              <color auto="1"/>
            </left>
            <right style="hair">
              <color auto="1"/>
            </right>
            <top style="hair">
              <color auto="1"/>
            </top>
            <bottom style="hair">
              <color auto="1"/>
            </bottom>
            <vertical/>
            <horizontal/>
          </border>
        </dxf>
        <dxf>
          <font>
            <color rgb="FF000000"/>
          </font>
          <fill>
            <patternFill patternType="solid">
              <fgColor rgb="FFC0C0C0"/>
              <bgColor theme="0"/>
            </patternFill>
          </fill>
          <border diagonalUp="0" diagonalDown="0">
            <left style="hair">
              <color auto="1"/>
            </left>
            <right style="hair">
              <color auto="1"/>
            </right>
            <top style="hair">
              <color auto="1"/>
            </top>
            <bottom style="hair">
              <color auto="1"/>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06/relationships/rdRichValue" Target="richData/rdrichvalue.xml"/><Relationship Id="rId5" Type="http://schemas.microsoft.com/office/2007/relationships/slicerCache" Target="slicerCaches/slicerCache1.xml"/><Relationship Id="rId15" Type="http://schemas.microsoft.com/office/2022/10/relationships/richValueRel" Target="richData/richValueRel.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[Shipping Dashboard.xlsx]Pivottables!PivotTable8</c:name>
    <c:fmtId val="10"/>
  </c:pivotSource>
  <c:chart>
    <c:autoTitleDeleted val="1"/>
    <c:pivotFmts>
      <c:pivotFmt>
        <c:idx val="0"/>
        <c:spPr>
          <a:solidFill>
            <a:schemeClr val="accent1"/>
          </a:solidFill>
          <a:ln w="28575" cap="rnd">
            <a:solidFill>
              <a:srgbClr val="3849AB"/>
            </a:solidFill>
            <a:round/>
          </a:ln>
          <a:effectLst/>
        </c:spPr>
        <c:marker>
          <c:symbol val="circle"/>
          <c:size val="6"/>
          <c:spPr>
            <a:solidFill>
              <a:srgbClr val="3849AB"/>
            </a:solidFill>
            <a:ln w="9525">
              <a:no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849AB"/>
            </a:solidFill>
            <a:round/>
          </a:ln>
          <a:effectLst/>
        </c:spPr>
        <c:marker>
          <c:symbol val="circle"/>
          <c:size val="6"/>
          <c:spPr>
            <a:solidFill>
              <a:srgbClr val="3849A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849AB"/>
            </a:solidFill>
            <a:round/>
          </a:ln>
          <a:effectLst/>
        </c:spPr>
        <c:marker>
          <c:symbol val="circle"/>
          <c:size val="6"/>
          <c:spPr>
            <a:solidFill>
              <a:srgbClr val="3849A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3849AB"/>
            </a:solidFill>
            <a:round/>
          </a:ln>
          <a:effectLst/>
        </c:spPr>
        <c:marker>
          <c:symbol val="circle"/>
          <c:size val="6"/>
          <c:spPr>
            <a:solidFill>
              <a:srgbClr val="3849AB"/>
            </a:solidFill>
            <a:ln w="9525">
              <a:noFill/>
            </a:ln>
            <a:effectLst/>
          </c:spPr>
        </c:marker>
      </c:pivotFmt>
    </c:pivotFmts>
    <c:plotArea>
      <c:layout/>
      <c:lineChart>
        <c:grouping val="standard"/>
        <c:varyColors val="0"/>
        <c:ser>
          <c:idx val="0"/>
          <c:order val="0"/>
          <c:tx>
            <c:strRef>
              <c:f>Pivottables!$AW$9</c:f>
              <c:strCache>
                <c:ptCount val="1"/>
                <c:pt idx="0">
                  <c:v>Total</c:v>
                </c:pt>
              </c:strCache>
            </c:strRef>
          </c:tx>
          <c:spPr>
            <a:ln w="28575" cap="rnd">
              <a:solidFill>
                <a:srgbClr val="3849AB"/>
              </a:solidFill>
              <a:round/>
            </a:ln>
            <a:effectLst/>
          </c:spPr>
          <c:marker>
            <c:symbol val="circle"/>
            <c:size val="6"/>
            <c:spPr>
              <a:solidFill>
                <a:srgbClr val="3849AB"/>
              </a:solidFill>
              <a:ln w="9525">
                <a:noFill/>
              </a:ln>
              <a:effectLst/>
            </c:spPr>
          </c:marker>
          <c:cat>
            <c:strRef>
              <c:f>Pivottables!$AV$10:$AV$22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Pivottables!$AW$10:$AW$22</c:f>
              <c:numCache>
                <c:formatCode>#,##0</c:formatCode>
                <c:ptCount val="12"/>
                <c:pt idx="0">
                  <c:v>13468</c:v>
                </c:pt>
                <c:pt idx="1">
                  <c:v>12138</c:v>
                </c:pt>
                <c:pt idx="2">
                  <c:v>9472</c:v>
                </c:pt>
                <c:pt idx="3">
                  <c:v>14519</c:v>
                </c:pt>
                <c:pt idx="4">
                  <c:v>28744</c:v>
                </c:pt>
                <c:pt idx="5">
                  <c:v>16092</c:v>
                </c:pt>
                <c:pt idx="6">
                  <c:v>61990</c:v>
                </c:pt>
                <c:pt idx="7">
                  <c:v>20038</c:v>
                </c:pt>
                <c:pt idx="8">
                  <c:v>28740</c:v>
                </c:pt>
                <c:pt idx="9">
                  <c:v>33423</c:v>
                </c:pt>
                <c:pt idx="10">
                  <c:v>15820</c:v>
                </c:pt>
                <c:pt idx="11">
                  <c:v>11271</c:v>
                </c:pt>
              </c:numCache>
            </c:numRef>
          </c:val>
          <c:smooth val="1"/>
          <c:extLst>
            <c:ext xmlns:c16="http://schemas.microsoft.com/office/drawing/2014/chart" uri="{C3380CC4-5D6E-409C-BE32-E72D297353CC}">
              <c16:uniqueId val="{00000000-C6C4-4795-92D5-CD030CCAEB7D}"/>
            </c:ext>
          </c:extLst>
        </c:ser>
        <c:dLbls>
          <c:showLegendKey val="0"/>
          <c:showVal val="0"/>
          <c:showCatName val="0"/>
          <c:showSerName val="0"/>
          <c:showPercent val="0"/>
          <c:showBubbleSize val="0"/>
        </c:dLbls>
        <c:marker val="1"/>
        <c:smooth val="0"/>
        <c:axId val="1088523760"/>
        <c:axId val="1802944240"/>
      </c:lineChart>
      <c:catAx>
        <c:axId val="10885237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pt-BR"/>
          </a:p>
        </c:txPr>
        <c:crossAx val="1802944240"/>
        <c:crosses val="autoZero"/>
        <c:auto val="1"/>
        <c:lblAlgn val="ctr"/>
        <c:lblOffset val="100"/>
        <c:noMultiLvlLbl val="0"/>
      </c:catAx>
      <c:valAx>
        <c:axId val="1802944240"/>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pt-BR"/>
          </a:p>
        </c:txPr>
        <c:crossAx val="108852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9333333333333333E-2"/>
          <c:y val="3.2407407407407406E-2"/>
          <c:w val="0.94133333333333336"/>
          <c:h val="0.89814814814814814"/>
        </c:manualLayout>
      </c:layout>
      <c:bubbleChart>
        <c:varyColors val="0"/>
        <c:ser>
          <c:idx val="0"/>
          <c:order val="0"/>
          <c:tx>
            <c:v>Income</c:v>
          </c:tx>
          <c:spPr>
            <a:gradFill>
              <a:gsLst>
                <a:gs pos="0">
                  <a:srgbClr val="EBDF37"/>
                </a:gs>
                <a:gs pos="100000">
                  <a:srgbClr val="ED6361"/>
                </a:gs>
              </a:gsLst>
              <a:lin ang="5400000" scaled="1"/>
            </a:gradFill>
            <a:ln w="25400">
              <a:noFill/>
            </a:ln>
            <a:effectLst/>
          </c:spPr>
          <c:invertIfNegative val="0"/>
          <c:dLbls>
            <c:dLbl>
              <c:idx val="0"/>
              <c:tx>
                <c:rich>
                  <a:bodyPr/>
                  <a:lstStyle/>
                  <a:p>
                    <a:fld id="{2E5156FD-413C-44DD-8289-01AD9A490466}" type="CELLRANGE">
                      <a:rPr lang="en-US"/>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A26-49FD-B56E-698D8190B24A}"/>
                </c:ext>
              </c:extLst>
            </c:dLbl>
            <c:dLbl>
              <c:idx val="1"/>
              <c:tx>
                <c:rich>
                  <a:bodyPr/>
                  <a:lstStyle/>
                  <a:p>
                    <a:fld id="{CD858E9B-A442-4BFA-A49B-7829609B46D9}"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A26-49FD-B56E-698D8190B24A}"/>
                </c:ext>
              </c:extLst>
            </c:dLbl>
            <c:dLbl>
              <c:idx val="2"/>
              <c:tx>
                <c:rich>
                  <a:bodyPr/>
                  <a:lstStyle/>
                  <a:p>
                    <a:fld id="{80633474-3FB9-4150-AEB9-5D7F480E5DAF}"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A26-49FD-B56E-698D8190B24A}"/>
                </c:ext>
              </c:extLst>
            </c:dLbl>
            <c:dLbl>
              <c:idx val="3"/>
              <c:tx>
                <c:rich>
                  <a:bodyPr/>
                  <a:lstStyle/>
                  <a:p>
                    <a:fld id="{D6FE1495-6EDF-4590-9A8B-C5DA697BDBAA}"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A26-49FD-B56E-698D8190B24A}"/>
                </c:ext>
              </c:extLst>
            </c:dLbl>
            <c:dLbl>
              <c:idx val="4"/>
              <c:tx>
                <c:rich>
                  <a:bodyPr/>
                  <a:lstStyle/>
                  <a:p>
                    <a:fld id="{203DE85B-9421-4955-A8E0-DCA657E3D8CD}"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A26-49FD-B56E-698D8190B24A}"/>
                </c:ext>
              </c:extLst>
            </c:dLbl>
            <c:dLbl>
              <c:idx val="5"/>
              <c:tx>
                <c:rich>
                  <a:bodyPr/>
                  <a:lstStyle/>
                  <a:p>
                    <a:fld id="{FD37545A-77FB-4F4B-92FF-14FC728E8F56}"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A26-49FD-B56E-698D8190B24A}"/>
                </c:ext>
              </c:extLst>
            </c:dLbl>
            <c:dLbl>
              <c:idx val="6"/>
              <c:tx>
                <c:rich>
                  <a:bodyPr/>
                  <a:lstStyle/>
                  <a:p>
                    <a:fld id="{6E25CE89-D219-478C-A3E8-74DA2AB23E1A}"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A26-49FD-B56E-698D8190B24A}"/>
                </c:ext>
              </c:extLst>
            </c:dLbl>
            <c:dLbl>
              <c:idx val="7"/>
              <c:tx>
                <c:rich>
                  <a:bodyPr/>
                  <a:lstStyle/>
                  <a:p>
                    <a:fld id="{4DEBA56A-07E1-4EB9-A340-E12C14C07E86}"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A26-49FD-B56E-698D8190B24A}"/>
                </c:ext>
              </c:extLst>
            </c:dLbl>
            <c:dLbl>
              <c:idx val="8"/>
              <c:tx>
                <c:rich>
                  <a:bodyPr/>
                  <a:lstStyle/>
                  <a:p>
                    <a:fld id="{D2987D17-FFA6-45E4-9EA9-3BFE0E865349}"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A26-49FD-B56E-698D8190B24A}"/>
                </c:ext>
              </c:extLst>
            </c:dLbl>
            <c:dLbl>
              <c:idx val="9"/>
              <c:tx>
                <c:rich>
                  <a:bodyPr/>
                  <a:lstStyle/>
                  <a:p>
                    <a:fld id="{55FEA0B5-BD09-4F87-A25B-6D6AA6B8838E}"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A26-49FD-B56E-698D8190B24A}"/>
                </c:ext>
              </c:extLst>
            </c:dLbl>
            <c:dLbl>
              <c:idx val="10"/>
              <c:tx>
                <c:rich>
                  <a:bodyPr/>
                  <a:lstStyle/>
                  <a:p>
                    <a:fld id="{EE19D1A0-9BED-4C00-9767-6B1ABCB7CE5F}"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A26-49FD-B56E-698D8190B24A}"/>
                </c:ext>
              </c:extLst>
            </c:dLbl>
            <c:dLbl>
              <c:idx val="11"/>
              <c:tx>
                <c:rich>
                  <a:bodyPr/>
                  <a:lstStyle/>
                  <a:p>
                    <a:fld id="{7DA6BC19-C144-4FA0-A470-5080389F339D}"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A26-49FD-B56E-698D8190B24A}"/>
                </c:ext>
              </c:extLst>
            </c:dLbl>
            <c:numFmt formatCode="[$$-2809]#,##0;[Red][$$-2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Pivottables!$BP$10:$BP$21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Pivottables!$BQ$10:$BQ$21</c:f>
              <c:numCache>
                <c:formatCode>General</c:formatCode>
                <c:ptCount val="12"/>
                <c:pt idx="0">
                  <c:v>1</c:v>
                </c:pt>
                <c:pt idx="1">
                  <c:v>1.2</c:v>
                </c:pt>
                <c:pt idx="2">
                  <c:v>1.4</c:v>
                </c:pt>
                <c:pt idx="3">
                  <c:v>1.6</c:v>
                </c:pt>
                <c:pt idx="4">
                  <c:v>2.8</c:v>
                </c:pt>
                <c:pt idx="5">
                  <c:v>2.1</c:v>
                </c:pt>
                <c:pt idx="6">
                  <c:v>4</c:v>
                </c:pt>
                <c:pt idx="7">
                  <c:v>2.4</c:v>
                </c:pt>
                <c:pt idx="8">
                  <c:v>2.6</c:v>
                </c:pt>
                <c:pt idx="9">
                  <c:v>3</c:v>
                </c:pt>
                <c:pt idx="10">
                  <c:v>2.2000000000000002</c:v>
                </c:pt>
                <c:pt idx="11">
                  <c:v>1.8</c:v>
                </c:pt>
              </c:numCache>
            </c:numRef>
          </c:yVal>
          <c:bubbleSize>
            <c:numRef>
              <c:f>Pivottables!$BS$10:$BS$21</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bubbleSize>
          <c:bubble3D val="0"/>
          <c:extLst>
            <c:ext xmlns:c15="http://schemas.microsoft.com/office/drawing/2012/chart" uri="{02D57815-91ED-43cb-92C2-25804820EDAC}">
              <c15:datalabelsRange>
                <c15:f>Pivottables!$BS$10:$BS$21</c15:f>
                <c15:dlblRangeCach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15:dlblRangeCache>
              </c15:datalabelsRange>
            </c:ext>
            <c:ext xmlns:c16="http://schemas.microsoft.com/office/drawing/2014/chart" uri="{C3380CC4-5D6E-409C-BE32-E72D297353CC}">
              <c16:uniqueId val="{0000000C-BA26-49FD-B56E-698D8190B24A}"/>
            </c:ext>
          </c:extLst>
        </c:ser>
        <c:ser>
          <c:idx val="1"/>
          <c:order val="1"/>
          <c:tx>
            <c:v>Expenses</c:v>
          </c:tx>
          <c:spPr>
            <a:gradFill>
              <a:gsLst>
                <a:gs pos="0">
                  <a:srgbClr val="93F486"/>
                </a:gs>
                <a:gs pos="100000">
                  <a:srgbClr val="2CE4DB"/>
                </a:gs>
              </a:gsLst>
              <a:lin ang="5400000" scaled="1"/>
            </a:gradFill>
            <a:ln w="25400">
              <a:noFill/>
            </a:ln>
            <a:effectLst/>
          </c:spPr>
          <c:invertIfNegative val="0"/>
          <c:dLbls>
            <c:dLbl>
              <c:idx val="0"/>
              <c:tx>
                <c:rich>
                  <a:bodyPr/>
                  <a:lstStyle/>
                  <a:p>
                    <a:fld id="{D7FFBD46-1C12-48D4-AE0F-003749C88320}" type="CELLRANGE">
                      <a:rPr lang="en-US"/>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BA26-49FD-B56E-698D8190B24A}"/>
                </c:ext>
              </c:extLst>
            </c:dLbl>
            <c:dLbl>
              <c:idx val="1"/>
              <c:tx>
                <c:rich>
                  <a:bodyPr/>
                  <a:lstStyle/>
                  <a:p>
                    <a:fld id="{D72DB96A-B773-487B-B935-11FDC4272631}"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A26-49FD-B56E-698D8190B24A}"/>
                </c:ext>
              </c:extLst>
            </c:dLbl>
            <c:dLbl>
              <c:idx val="2"/>
              <c:tx>
                <c:rich>
                  <a:bodyPr/>
                  <a:lstStyle/>
                  <a:p>
                    <a:fld id="{A8348458-D738-4C43-AD48-6F04DB3884DD}"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A26-49FD-B56E-698D8190B24A}"/>
                </c:ext>
              </c:extLst>
            </c:dLbl>
            <c:dLbl>
              <c:idx val="3"/>
              <c:tx>
                <c:rich>
                  <a:bodyPr/>
                  <a:lstStyle/>
                  <a:p>
                    <a:fld id="{14BF5DC0-E947-40F8-B4E9-EC47B75BA9AF}"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BA26-49FD-B56E-698D8190B24A}"/>
                </c:ext>
              </c:extLst>
            </c:dLbl>
            <c:dLbl>
              <c:idx val="4"/>
              <c:tx>
                <c:rich>
                  <a:bodyPr/>
                  <a:lstStyle/>
                  <a:p>
                    <a:fld id="{4BF61DA8-1B50-47BA-8709-3FA30D85EAB1}"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BA26-49FD-B56E-698D8190B24A}"/>
                </c:ext>
              </c:extLst>
            </c:dLbl>
            <c:dLbl>
              <c:idx val="5"/>
              <c:tx>
                <c:rich>
                  <a:bodyPr/>
                  <a:lstStyle/>
                  <a:p>
                    <a:fld id="{F017B501-B267-45E9-8681-D08AE22CE4AA}"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BA26-49FD-B56E-698D8190B24A}"/>
                </c:ext>
              </c:extLst>
            </c:dLbl>
            <c:dLbl>
              <c:idx val="6"/>
              <c:tx>
                <c:rich>
                  <a:bodyPr/>
                  <a:lstStyle/>
                  <a:p>
                    <a:fld id="{23E8931B-8831-442A-9DD6-4ED1216A6623}"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BA26-49FD-B56E-698D8190B24A}"/>
                </c:ext>
              </c:extLst>
            </c:dLbl>
            <c:dLbl>
              <c:idx val="7"/>
              <c:tx>
                <c:rich>
                  <a:bodyPr/>
                  <a:lstStyle/>
                  <a:p>
                    <a:fld id="{C0386899-CEFE-4871-A271-83921E3F37BB}"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BA26-49FD-B56E-698D8190B24A}"/>
                </c:ext>
              </c:extLst>
            </c:dLbl>
            <c:dLbl>
              <c:idx val="8"/>
              <c:tx>
                <c:rich>
                  <a:bodyPr/>
                  <a:lstStyle/>
                  <a:p>
                    <a:fld id="{7A245793-C4B1-47EC-BACA-F8BD90DEE074}"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BA26-49FD-B56E-698D8190B24A}"/>
                </c:ext>
              </c:extLst>
            </c:dLbl>
            <c:dLbl>
              <c:idx val="9"/>
              <c:tx>
                <c:rich>
                  <a:bodyPr/>
                  <a:lstStyle/>
                  <a:p>
                    <a:fld id="{3C7474ED-6178-4027-A10A-CA07FBFA01F0}"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BA26-49FD-B56E-698D8190B24A}"/>
                </c:ext>
              </c:extLst>
            </c:dLbl>
            <c:dLbl>
              <c:idx val="10"/>
              <c:tx>
                <c:rich>
                  <a:bodyPr/>
                  <a:lstStyle/>
                  <a:p>
                    <a:fld id="{9C086980-A386-45BB-B604-E88C2F1CDB11}"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BA26-49FD-B56E-698D8190B24A}"/>
                </c:ext>
              </c:extLst>
            </c:dLbl>
            <c:dLbl>
              <c:idx val="11"/>
              <c:tx>
                <c:rich>
                  <a:bodyPr/>
                  <a:lstStyle/>
                  <a:p>
                    <a:fld id="{09110934-311F-4445-92EA-5828EC408AC5}" type="CELLRANGE">
                      <a:rPr lang="pt-BR"/>
                      <a:pPr/>
                      <a:t>[CELLRANGE]</a:t>
                    </a:fld>
                    <a:endParaRPr lang="pt-BR"/>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BA26-49FD-B56E-698D8190B2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Pivottables!$BP$10:$BP$21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Pivottables!$BR$10:$BR$21</c:f>
              <c:numCache>
                <c:formatCode>General</c:formatCode>
                <c:ptCount val="12"/>
                <c:pt idx="0">
                  <c:v>0.3</c:v>
                </c:pt>
                <c:pt idx="1">
                  <c:v>0.5</c:v>
                </c:pt>
                <c:pt idx="2">
                  <c:v>0.7</c:v>
                </c:pt>
                <c:pt idx="3">
                  <c:v>0.9</c:v>
                </c:pt>
                <c:pt idx="4">
                  <c:v>2</c:v>
                </c:pt>
                <c:pt idx="5">
                  <c:v>1.4</c:v>
                </c:pt>
                <c:pt idx="6">
                  <c:v>2.8</c:v>
                </c:pt>
                <c:pt idx="7">
                  <c:v>1.6</c:v>
                </c:pt>
                <c:pt idx="8">
                  <c:v>1.8</c:v>
                </c:pt>
                <c:pt idx="9">
                  <c:v>2</c:v>
                </c:pt>
                <c:pt idx="10">
                  <c:v>1.4</c:v>
                </c:pt>
                <c:pt idx="11">
                  <c:v>1.2</c:v>
                </c:pt>
              </c:numCache>
            </c:numRef>
          </c:yVal>
          <c:bubbleSize>
            <c:numRef>
              <c:f>Pivottables!$BT$10:$BT$21</c:f>
              <c:numCache>
                <c:formatCode>#,##0</c:formatCode>
                <c:ptCount val="12"/>
                <c:pt idx="0">
                  <c:v>3200</c:v>
                </c:pt>
                <c:pt idx="1">
                  <c:v>6130</c:v>
                </c:pt>
                <c:pt idx="2">
                  <c:v>7818</c:v>
                </c:pt>
                <c:pt idx="3">
                  <c:v>4780</c:v>
                </c:pt>
                <c:pt idx="4">
                  <c:v>6316</c:v>
                </c:pt>
                <c:pt idx="5">
                  <c:v>5636</c:v>
                </c:pt>
                <c:pt idx="6">
                  <c:v>19346</c:v>
                </c:pt>
                <c:pt idx="7">
                  <c:v>6134</c:v>
                </c:pt>
                <c:pt idx="8">
                  <c:v>5792</c:v>
                </c:pt>
                <c:pt idx="9">
                  <c:v>15491</c:v>
                </c:pt>
                <c:pt idx="10">
                  <c:v>8090</c:v>
                </c:pt>
                <c:pt idx="11">
                  <c:v>4590</c:v>
                </c:pt>
              </c:numCache>
            </c:numRef>
          </c:bubbleSize>
          <c:bubble3D val="0"/>
          <c:extLst>
            <c:ext xmlns:c15="http://schemas.microsoft.com/office/drawing/2012/chart" uri="{02D57815-91ED-43cb-92C2-25804820EDAC}">
              <c15:datalabelsRange>
                <c15:f>Pivottables!$BT$10:$BT$21</c15:f>
                <c15:dlblRangeCache>
                  <c:ptCount val="12"/>
                  <c:pt idx="0">
                    <c:v>3.200</c:v>
                  </c:pt>
                  <c:pt idx="1">
                    <c:v>6.130</c:v>
                  </c:pt>
                  <c:pt idx="2">
                    <c:v>7.818</c:v>
                  </c:pt>
                  <c:pt idx="3">
                    <c:v>4.780</c:v>
                  </c:pt>
                  <c:pt idx="4">
                    <c:v>6.316</c:v>
                  </c:pt>
                  <c:pt idx="5">
                    <c:v>5.636</c:v>
                  </c:pt>
                  <c:pt idx="6">
                    <c:v>19.346</c:v>
                  </c:pt>
                  <c:pt idx="7">
                    <c:v>6.134</c:v>
                  </c:pt>
                  <c:pt idx="8">
                    <c:v>5.792</c:v>
                  </c:pt>
                  <c:pt idx="9">
                    <c:v>15.491</c:v>
                  </c:pt>
                  <c:pt idx="10">
                    <c:v>8.090</c:v>
                  </c:pt>
                  <c:pt idx="11">
                    <c:v>4.590</c:v>
                  </c:pt>
                </c15:dlblRangeCache>
              </c15:datalabelsRange>
            </c:ext>
            <c:ext xmlns:c16="http://schemas.microsoft.com/office/drawing/2014/chart" uri="{C3380CC4-5D6E-409C-BE32-E72D297353CC}">
              <c16:uniqueId val="{00000019-BA26-49FD-B56E-698D8190B24A}"/>
            </c:ext>
          </c:extLst>
        </c:ser>
        <c:dLbls>
          <c:dLblPos val="ctr"/>
          <c:showLegendKey val="0"/>
          <c:showVal val="1"/>
          <c:showCatName val="0"/>
          <c:showSerName val="0"/>
          <c:showPercent val="0"/>
          <c:showBubbleSize val="0"/>
        </c:dLbls>
        <c:bubbleScale val="70"/>
        <c:showNegBubbles val="0"/>
        <c:axId val="441343007"/>
        <c:axId val="441345887"/>
      </c:bubbleChart>
      <c:valAx>
        <c:axId val="441343007"/>
        <c:scaling>
          <c:orientation val="minMax"/>
          <c:max val="13"/>
          <c:min val="0"/>
        </c:scaling>
        <c:delete val="1"/>
        <c:axPos val="b"/>
        <c:numFmt formatCode="General" sourceLinked="1"/>
        <c:majorTickMark val="none"/>
        <c:minorTickMark val="none"/>
        <c:tickLblPos val="nextTo"/>
        <c:crossAx val="441345887"/>
        <c:crosses val="autoZero"/>
        <c:crossBetween val="midCat"/>
        <c:majorUnit val="1"/>
      </c:valAx>
      <c:valAx>
        <c:axId val="441345887"/>
        <c:scaling>
          <c:orientation val="minMax"/>
          <c:max val="5"/>
          <c:min val="0"/>
        </c:scaling>
        <c:delete val="1"/>
        <c:axPos val="l"/>
        <c:numFmt formatCode="General" sourceLinked="1"/>
        <c:majorTickMark val="none"/>
        <c:minorTickMark val="none"/>
        <c:tickLblPos val="nextTo"/>
        <c:crossAx val="441343007"/>
        <c:crosses val="autoZero"/>
        <c:crossBetween val="midCat"/>
        <c:majorUnit val="1"/>
      </c:valAx>
      <c:spPr>
        <a:noFill/>
        <a:ln>
          <a:noFill/>
        </a:ln>
        <a:effectLst/>
      </c:spPr>
    </c:plotArea>
    <c:legend>
      <c:legendPos val="r"/>
      <c:layout>
        <c:manualLayout>
          <c:xMode val="edge"/>
          <c:yMode val="edge"/>
          <c:x val="2.1248923884514472E-2"/>
          <c:y val="1.9096675415573076E-2"/>
          <c:w val="0.31208440944881888"/>
          <c:h val="0.1562510936132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8100000" algn="tr" rotWithShape="0">
        <a:prstClr val="black">
          <a:alpha val="40000"/>
        </a:prstClr>
      </a:outerShdw>
    </a:effectLst>
  </c:spPr>
  <c:txPr>
    <a:bodyPr/>
    <a:lstStyle/>
    <a:p>
      <a:pPr>
        <a:defRPr/>
      </a:pPr>
      <a:endParaRPr lang="pt-B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_xlchart.v5.0</cx:f>
        <cx:nf>_xlchart.v5.2</cx:nf>
      </cx:numDim>
    </cx:data>
  </cx:chartData>
  <cx:chart>
    <cx:plotArea>
      <cx:plotAreaRegion>
        <cx:plotSurface>
          <cx:spPr>
            <a:noFill/>
          </cx:spPr>
        </cx:plotSurface>
        <cx:series layoutId="regionMap" uniqueId="{5C722EC3-70D3-40D2-94B7-78682B03A4DF}">
          <cx:dataId val="0"/>
          <cx:layoutPr>
            <cx:geography cultureLanguage="en-US" cultureRegion="IN" attribution="Powered by Bing">
              <cx:geoCache provider="{E9337A44-BEBE-4D9F-B70C-5C5E7DAFC167}">
                <cx:binary>7Htpc9420u1fcfnzhYOdwNRkql7yWbRaluUlzheWLDsAFxBcQILkr79NS0lkOXEmdedW3am6qlQe
P+KCpdHd55xu/fNu/sdd/fm2fza7uhn+cTf/+NyG0P7jhx+GO/vZ3Q4vXHHX+8H/El7cefeD/+WX
4u7zD5/621g05geKCf/hzt724fP8/F//hLeZz/7C392GwjfX4+d+ef15GOswfOfaH156dvvJFc2u
GEJf3AXy4/OXfrp9dnPnQ3H7/NnnJhRhebO0n398/tWNz5/98PR13wz9rIbZhfETPMvFC4wZkZLi
+x/2/FntG/NwGUn2QmKZEK2TXwd9eevgwX9zNl/mcvvpU/95GGBFXz6fPPzV9OHazfNnd35swrZz
Bjbxx+fZbXP7CRZdDD67v5L5bfLZ/3xZ7Q9fb/q//vnkF7D+J795ZJenm/VXl741y+f4LO3HZojF
XfXrHv0HDCNfCE2YFArr+58nhpEvSKKYTOTDdfHr2A/2+Xen9ScW+vrxpzZK/7ts9D/1x899+A+6
jRAviNQMJ8nD7quvrUMIfyEISbTA/Gu7/BtT+WOL/PbgE1v8z3+ZLdK+CMVgn2W+Ht3H/2QsE7Dn
koIfPA5ghIKpiBSCU/m1Jf7ORP7YJN++4Ylt0uy/y08+jJVvft2l//MYtiUPliSJ4JA/th/IIV/Z
hgnwEqYo509s82Uiz9587uGw+H753pT+2DTfvOCJZT68+e+yzOVtAzvx8T8ZwvgLCGBCMM7+0Dg6
ecEZwUTghxD3xET/zoz+2Da/P/nEKJf/ZaHs5djcTmP43un8e2hMihccM84pU/dojHztMFq+wJJz
wQi7v/4kufwbE/pjk/z24BOLvHz7/7ab/AlQfIyOv7rlb6JjSV+IhGklMXjB9kO/sYfEimAlHuAz
XL8f+x6E/Qpc/3w+f2yOX5/7au7/t3Hwn2Pk3wjE7jbc7r8wj0cw+ftXvywQKNGTR79HYO536/TT
j8+BXBH8yGbbS77a4N9DyTcPfb4dwo/PkVIvtAYQAByGKfifAqQWP3+5RDAF8kMpg/xEhU4kRLjG
98H++FxiuAKXlFJEMaEZPDX4cbvEtxcqeBGVBP6fiN9Y3ytfL8Y3v+3Hw/dnzehe+aIJw7Yg4Fft
/X3bArnSgBGZBKSvJU+oYpAi27vb10At4Xbyv1jkRWVaJi+SMhpzWRSmpjybamrql82wzuRaJG3n
s6GaDMms8flwkhgl8usG26k6TpKubI/KQIaTvNVIXzpcDTesVGbNWtGPSZtZRVlod2Vs9PhTGESs
PrRrrrm9mBaEkyqtl2Ys0iKu0zzszIiUKVBqOor7g9HYxXAicud1vV+8GT4qWneL2XcotDITsie5
2+lmiklzi+ZBNnNahHKa4r7rI75oaV7aetcQFpercaGdpjszVCV+VZXlKl3mVkN8cRQVZna/aoxU
dRHLcXLDhaz64F6umg/6YkBW6fNp9ev4S+JqHQ5tbVT7wZUimWyq8Cz7MhUh96JPl2HC4dy1ppDn
i+wQPyYLX+VJXfNOvHO8KvDPahAWs1RqVTBxXiHD6Otq6a1L5bjm61s3IRqvi6Je1RXLkWheFlIt
0zHnUokjM/VkbsvCj9OlJaSsrhlGeXKoUCmYSesNA5uspEvtdjjmoU99oDk9dD2WYtfWtUJpUdKm
e1U3c59MaZyHPj+weVR0N9JpWE9V46vykPTdOB4n1bnkTAinp7OOK2x3JFbavJ4L138eB1/aY2va
cjrno4rzKZFJFS97OTa8T5GsivLIKjnGY4JM3V5UOSuGHUNh0ruqrMYmc9XgxUXPiFl2QfOpPhQh
6cXFQL035wsoHHXaNiPHKWor99G2ijf71TF1ZLU26FjW8JoTWozrsCsmOpADT3SJz5Tg7d4Pg69S
WF5tjnU0eDjqxGOxQ77vXWYaOtGTBMYvdzJx6pZa0visVtXa64s60sHIdQ/W7eqyzSoZsblbBAgH
xQn3Y2JtFvTUr+1uxmhB6KUE28fyU5vIiZ+PTUHjbsjZIDO3YF1kIV919SERCeoyUH38etlQG2IK
m0Wb11L5Zcxgr0eZ4bXt+33rV9I2KWrmhu1zR509TNG11qdu5mPEp7GmHnVHOq05nB3VqzCfhtnG
7pDU3Ki0pbGEYz6uIZg0p3hqwSPZlNwN3ZovOl1k6TCciITQOjM4r99NAs59k5ly8T4dKI5jnkJ8
Eb9gulYEogAuql+iKP3cZl2x0tc5Z87VmZqV/ODU1CRNplyZXxnX+cHBkvPubbkSMZDTYc7ZmeSr
Nn02+9je6BVJOKlSY3NTudB+XJpqcl2mEs1fYb30fZsNmJgPU4fXtct6CKEvp3HWc8hoXEyZjlNN
yjfzjHV/0q/j9dL1YURFOqioB6czS9hYFEOWtxMCaz3WdL4KqXe+XfrC2Act7bev/3rjHfz3ReT5
/ZebFPf7t8tfNbzv3nX87LfEPTy9aUuNv73rdzlpS0e/aUtPEty96vcn2e+7F/+91EhwAunqN63v
m8z4m1zwe2K8f+QhL35JrL8mQgpJ9qvMxziky4RvEgZAmseZL2ES8qLmmm6p9Nf1fWUnyPZ/kPrA
35+kPkjHNMGKcUk4Z2LLzI9Tn4VIl1tp6NXMF0Gn0y6v64jfDdOIUa1E6qeRJmcmn3l11ibNaN61
MvTleZH7aXjrGqqaE6CXPctaNlGzn42RIaRkrbk9hlLhGqc4Nyx5NXRYrzuNdWTpvCwivxMGnOoM
104OZ5j1xB7QnKzT3rJY2YM2WrHbVtd9ecYKG/KQFqZI6g9RYjSdqwblY3sWe2zbgHeQXSeAFTci
wYWPNis64Qbbv+8Kh85i0jV7bRf0stA44HTRRX3RTO1wOenFVrvcuPfUQeJwepWQv8ZVXS6dw03q
7EJ4imk7HUPocFr0wp+WXSmWbKXFwXZoDCkLvX4vFla8Hvoq8CNzrFnStZ3LK1yY4axu/NpmbShS
OtjB7+pkEaeQoIYbtay3jXPzTTurKW2WzuwjmfmZKObZpix3zemaRz6nRnj/c5xtW6bDGNZdvWKU
mU5VWTOOu0Dn5TVKuvHAOiFsJlmvXvuu7I8y/6nMl+SMI4/pPsjEvrIxZ/ugdUN3tXZoSNdadhdz
aZMDZnG9qwsqDk7YImbjwCd16DwZjjYXVYZ7NO67WvU8qwDH7Ean3jtt+3OI6uV7kw9LkgZs0bsa
FVWdctDmxnRtxvXCI0JQJmyf9Gnt6HDZBRR2Wk3q2rWk2vVFH/d0ce1hgIzbpS7xycXqBNrTTsaX
xCOTDVOD6B7Ag3zr8hzS+1z43dy54WduyyFJRUeLsyXH8xsSY3VuADvs9QpJv8jjS1EX4We7KvdG
l7O4cYKL4+KqBRBXAmEyWDefR9uyc9KbOY1clVcFNeouWueXtBcJuRLRxjMMRymdpREXY4PFT2jt
hhOWa3xG3eg/5qSTc4pRhXfd0Nor2tT01NaiBjOFcB5McdUs7GYVIlyNuFCfWSeHU2+nPj+VzcpT
CpH3Jyn1+mnpdXdTTKP9aBZJaOaaTl406zK8lFyJw9RMCGV5UeMzUbfWpDYZVQko0zSnRSzsu+hl
uaunuT4tWDuBrZUpcVpr33wghKgDmd2yA3A1vYpTkRyDU9yka0dQShtTnSRLEney9txlJcdNNiRy
SVvW4EtdVu6IiI+X0bJh15SuTTFzgFLzDh+6Ke/TkZufwLvyq5El5UF0ZX3WNvMb25VJWs7NeBX0
LE8oMTJFVLYpT3JJL/Oki3XmpRN7wD1JikjZ7Ppp8NcLKewNjRIATJzLKvVaVnulBscylK/4sPCF
viMYl3ulOU3X1SCaln5ZUmuLT6Wd0E/OLA3k78mea9twtl8AqJ32Ygqn1OfcpgXCfj84xVK2IvIu
FwawfGwcPtdc1ikZQj6mKnFXVWHyg3JVV2baCrFHVYe7E5GsMaZmrLqUkqTbeZdP4qTOW7KkijaT
Sheex5MQyDlExiPvyvFqjvOSRq3ipW692iM/5HdVnowZh4S/b8SME3iZE9m0grH3BVYNTYnI9Y7m
I/j14jBNBxRKsBCfP7T9anZekniB6MCOqJylO9pxta9J25WHypjiZCYTxDDk+k+AuuCgGj1eFtVS
vam4oz+FNlGf5qpqQ9YAoDQpxmS5CLpUe+F4fcaJbY95O5LXqJ50vp+VrtJAuNtDcPBprum8T2a7
7n2xyteBC3yboNFPh6GNxGRds8I5CqN9Wa99Tw+uV+44iyCyCvf4DKDXqLOyaZokw40c9skIEZZg
KXf5Kvx1vlD3cxVJPLE4Lq/MADbGJrEnnIythh0v0Wlj8+VCDOMC6L3t3pRj6H/uUdPi1K5mPm+6
QgIsdxPAY1Dcsl7yeFit4HClojddg9Vpn7SfW2KTt2hKileRL4uBUK+MPc7WSZeGNZTnhvMizSFb
HMjYxFdmFiIb2zoC4G7ZSzEAN6l0Z9/k3jdvlGW0THucFKnDej5t0AgppbKxOUEB6S4rPPnYJZ6T
VLKOXyDP5qsq4f0e+GfH0iA9q9JSQaSxc3A74JZ11lcW4TTUnp3RBembpo3ybCpUeF3NImdZOXH7
YUSNWtIQkQeGQGmy133lDrIbi89wlCeRKTr2t9WCxMtxXCFr5kPBzm0EgtXR5DoQUuGMJ0D5OlKu
Kl3DRHbd1OsIuQoVNg09s2OKpX8Fh/WK1BbvWyBCgLHxjAa+n6StL+Ls5A5ce3hrANhPmQykOynH
ZciWUvQmDc6hy9kieKoCunu6RpQsqWx7vWZiJPEtnSfR7t0SDTphwTKV5us4vdUFX15Na8Wuyrrq
yA45PQ+nEzF6gYxt9M8wEWqzWQm5E7pZf0G5X1O8MtqnfWiHM2OR39lqZk06aDDZGv363jskdh5Z
iGp8KjxwhqSYsmlceJIObnRZYdt5t1YVuvANzndtATyrm436mRY8zqmuubus0VTc5LKib0bLxg9F
nTc7AxwZpxPApOIgZdOfy8gnklWjaU9tk/ewdTRJIJZ105uyduQDUaJ/W2ovdxzUiZcGQ7V7tyIE
heUyFmzf5Qm7SeZinxjsLzppY5F2rjHTfkrYCKyEN/6aGdnumYphqG7s2HvZHrGriJ7O/z8FeFTe
/0oE/FVf3MQjBoD6zwnArxri7/h/u/8B/QsKlRkQmRUBcUtJRh+pYhxE5wcyoNgLwrFSW4mAw7/k
IzJAXkDtmUEFQcrtwt+SwSQM8VgFSxQHugFlOpC2NchqDMZ5TAUc8L624cq8J9I0UaftOkwS7zFN
FHDZqumMAQo+xrz7iGaxzhxcgYJwcqjadizeTYWMnqZRFKoLu+BI3rjdCHpL4/emm2O5nE7g4xqc
j62QT1IVRqX7rFI5M/REgvoxFEcuaZeAzFG7yNrMGNAo5rQ2YwfQuLSxhnkZLCjMy6BIrT4OpmTS
p7pzOZ3O3Jy3ld+rhOLkmkVnVJJVC5mST72viH/LSb7NrkF4e6HsPYahZ2smV4MGEGq4HfQdE+gJ
GiAX3yBWJcOwS7o8YEjdDMBscqxy5Lk4KKJF6y5N05btpx4aPEZIJiH6OdmVfMyTJOtyNcH7u65A
03Sh5rqBTahCyOEbL30Jo3WCN7DsriUYptB33czREZAtAWVEjnibfzGOBSzbllR0Hx+dxj/gf0/Y
H5g8IZJyrTgngrONZz42ObAVIesy9u9W1s8mOQWVNl8B5JZxAoGss14GC1lorZZ46kdgMesNClUM
5QlxuZDVyfens5HNRzpsokQiIKqBGAwxWSj9ZDqFsIHqec7fDlhLOBpzic0MKpuMC3L7Vs7bVk0A
yVt7jWjdyuliLkZopLnXM+5bVP5gW8gm+H49EXBLYMSSSwa7s3nm431ZVSzKsR2St4mvvHAvp35o
pvLY91Uh+bUGg+QS0B6cx3pNabV2HhS+biJwtIpF8bgcIENtH1NcdLQ7N7YikKuknBaGrtxcT+qj
Z2E01eXsc1ZdAqAk8vr7uwlSxNeLgK4UkmBwZ5ApWKJAX3i8CEE074Jol7cz7UorUjmtDLYR9DKv
lyNg945NZxo1gAR9+v2hyVNJHUICAXouKRwtAoI7hSLZ48FdT/hoV2beSifHJX8DUnKVdIcwyA5s
mDMANtMZZNbNB7jvXUkzjIZJd5fNKoaGvWzpCs1iqS3M5qnTROwaU8AWZDsXBtk+7HpLklJf+dFR
Ko6gs27hJE7WwztBqVwSCvh5TZgFFWOd9IfcVeXcvm4bXYIXc9vXjUu1GBHXB1bDudbp0Ja57A4L
9WJz3GGoYZrLvCTwZs3aEeLOMvUjzMgNavNKBNo0fORolmB8rOE49Vk/zVUYsiJRQHizths332Y0
WeCaun/L1Mnt1TiUBaxr5sMWWObWOvilahqzLW9utjWXhQa/n/3QweDcQ9eLvQPeN8blfGBzHtvU
ywZ3HyGINrDDUK+ASL1f8WBpu8trqKDsSFtgC/yn164EKBmgotIWp4uJIFFfl21RgUmaNjFTft2C
EC3Rrb8PkHViOjDe3IV6bj9MJNTwarY0sN/vcaVCSS7qkvqqOilz6su5T1cE3gABdp0C3Brbepu1
4jnAnjNdmgnd8ClsUc3dz7NDRUSAXgc4qzsvEmPLjC60d+SwgBA1kLQYZS10ClhrHAAjDZF1H2UZ
EJjp4VVma9OTV6DFbqdpDsbPr53DAxQ/TDVM5iiKeg6AxXy3GbcQkpT1+zBFpaq0SiIp87PKNts5
i2HUcjyneAH6ft3k1MCWft83xDdBN5HQiwGFJigjC3COJ65hZY6HdVXhnR95sVZZvq66A2Z0H/NQ
18+wZXKqVjg0sSkJfPimizC7h1sYCLldt2OlC+hagwIHB5B52oMVQ0z6eANyAnbDbqz7Ck6VtnTb
l7aXRB6FK83QpXPFesFvSjILENVSrIfWi5vgBQ3razyXg3kNTFvM8qJL1gWTNRVAqJLxnN0nUMoG
UV16nBgY4P4LlMu38+3vTzuZFtKTl6Uqt5gt+ISWmIrCTXAO+kV0A3rVEl/jVqbNMPlg3z9kOzKD
DFSnCPg50MEOaRy7DLVLA/aA9FjCWvsEOHjIDC8NxoemtCBRXphR9cMdFiiC45IAWuZ0wcg6tmiH
6tAN8kxU3OR67xxZm/noBGmYPFQk35xatGgFkvZ9S29l0scRWGGpIaliiH8MmgQxf2Lp1nEGMUlU
N4lcuccHEAWWqsgoyAoDzYAPbFuUc+5KKInMuu7KVJHSEnHOFhYhKq++wwX/m9lta2aEpCa1xhQU
5G+A3lq0VBRL0b8VAUQVvF8nv33UQ5cP+jK0wLZeQ/BVHuJ1wMMc73Stk3Y5zlRFi+4W0FBLd6nJ
PDJ5pNFPncqavJ4gu7i5CeWcdn1e8uQSqVLy096UfijuCcef5ugnKVpBtRjKIdB9qaF8K/FTL5pF
RGNLO3pDlr4zKCumeTVFmVaAbUHuaPJSdOyUohhie+wXTDl9833zPkErMAPwYyJB3cZ4c+anIKHv
iYhrF2+gHl0l4n3E8yyWA9LEwZGvElZNIEDJPoCtieKbdZPEsWXe/915aCoEdAgrLjj/ZieAM3Mn
u669uY+NVEChrzoBz4e0fwigh4JZoD6mN4cArwc4Amrnhnu/P40ncANYDHTNQBuZFDAbDu1kX2d8
KD2G3ko2gEEG5B3UWolGbExn6Cam6hcZSjdU5yWfk8Rcfn/obywBAwPSSTiGowC78AQ3rovvK1+t
7Y1FhWybVxAsEkgnU64RfDwEH9aM/eJPmZ2m5V2eE1H7v9gBgM5PHJ5Au7AAr0ooHE+w6ZM9iLXy
Q+V0e+PtOINvs3sHs2UD1jupQ4BwflSV78HdHkCMc0sTpwvr8zLitGrEysoDqewWsiuEARsWYwEp
zwaxJQTeii9run8xAyBpB6h+Lvlgsmhn0avUdi0K85sCIT+WVyF3waM9dBhITU8Vt7yS56BIbkAj
Qhm9+yiQ2oBDnywe9TvofDBF/xqKL9spbnE/lssZMKR6KtIW5dCmcygtpjCV4p6OBd27DQjJGLdM
dR/+ywlO38ehXzeQM+jYlcPFJGZW5MeK4C1pEFoYJlMNQVTow1Zr92+bee0hxxBQwiHH32dAj/sl
JC2o+1WAa1VTO5gs9wKo1vm6bjTxgEmOcvIeCVFXL5vcBzJf5rWgkI5CaWCNB8FAM5ku+tatPaj9
S57j4pCrPJ80iP1VO3U7rpq5nFJVj3IJ2VpK1L6FffGQaddiM/YB+GQFUwD13sIU/D1mib2jAtoI
1pDYJYOAX8C1lQaIeMfo+Zav2mmFsizwuJXDxKCqtgINlKoHyf5czIuFW+g9VUXgXXDnwwME3BoO
SgM5F8gkYLZtg3O2GHh1omQBGNFZApBqCrxn9Q6D6De7E0j0GwJsIsAFwKLtrOGD3p+ooZEb0Aqz
hKLBdd1Chsd70JQhhO4BEGy5mswIwXB8trTvD2sBe2UPzDWLEVXaQNtGPf00J7RazPk4evgbhozW
ZZJ3+2L0gEdw0GKtDlCsCfEXkKi+oHcSFtgjVHpfxlSVVY4ZtBxMAcgUMg2cccmKUg1Zcu8aa5Ar
xKcA2l4L5Too6U8KXUCPSl/IKjXD0mGQcFGp7C8O+ACdUqol08M1r8M6J2e91htuKxu+JubEqab2
Q0g1yKNcvEMcr1N3hkpISyStG1wCyO7ngeHxkA/OrOfSm6poX7p8mfVyAx4D/S7dzuU81/aIa1ls
8JXybi12KAcq607JvT/hJATYT2daJ6ZdOTEP6wSYxqjcLQWrYKDE9BtReGA3D/Ym0m7wqLmHU1wk
21sesjIa0Ra5dbIg2JJ7CP03o6eiAFGg+QkDVBH6KVXr6o5EkArt6/v8AYoBQDsGK5qvRZwnyF5c
Rgtz56iywCN9MoFvf38O3yQP6OGCtAFNsNCNJdnTMnRXJL6cejRdYzrW87XFXlaXSwNk4h1qGHCd
Q6NtDWnt+8PypwiNwGjQqQNiv4IeMPF07aqFOqpPormBDsR1XT4O1jaW7yag+11465QYpUkTUK8q
lNZ+hCaUV6WxGixYlwb26zBBdy8wq0CnshygjcoNkZ9yg0yCj3CKWXkLxHKLBWsRQ+uv9MR7sCPD
LdEQuPtCAJJiJq8UtIusCarpNTSTqeIGQ+F5S14VWkB1yaHtZzjk/Ug3UA1FIyC1D/jRTHYGUPkw
rWEZNKR9XpItItQI6b6HMjOitMrmbux8vSPNUGKoaTZ64KRJc0D0ZbIHfX+FUjcqGtznf5Gfv2zj
Iz0FlDDJCE0EwGEN/95aHR6rAdB6E0WhQ//aFrlW5kicLnQJyhJtZ7SHAne0wyXp7KBxRoiFYsge
Ql61iHNd5WFd32qL+tGcxHYFp9q7rk5UeyAmAj84GahgsFN2LQnsAySPHEpiiNTd9NosogcDdiW2
ZTzSlvcVORibtCOwTGDUpD5Cmxy0/u1qljOL/4Lqcfi7h68IAHSkagkyjIIsBq0cT/EAkV2MRtbj
ayg/SNLfljPvAU4X/TCCWzFPYNCUqDjCAWmKhW529Hwl/a6AsKbehNlAmxz094lNECB4AH9ogdrC
Db6dY1Lu8JJ3oQKpYdy0nfL+xRzZsuzPwgi9BHGvUQ+HLZUVhjB2nmgogBV7GwzAxFOZ6wWOi5uG
DjY7NGhL+oShquCfuwTJWZyTtYCZmLadbb8bClCy4tncxqWq91Do7rlKSYRkn2etpWRuXdrlWI/F
9dwy0EdPQEjREzokAHIITbtBj0SZVEBaHyuopC/LZuUWGsK+rD0UBB8gRDrZ/AUZe8oXgGfL7Y8c
tk5hCg3FTzBiOcyFzpdRXzNeTFP7Ewgn1Xy9WmYgpG3QEJKkLScoVh9myjeP+n6oeRrhQHDGcASA
8m9s5RuU7jtIaUvl1DU4W72+E/chdWF1AkeA2nqCEYEnQej92+MyQbe/HYReMYGfaqoC6oJF5Cu/
xhzBuLwdNrk8Ur+loWFmEFaSWhD43ffHJezp2d+qCXpbMXTugpq6gfZHTbW1LaCnMq7r9UTg6MMa
Q+dYkT2wAsgDlvoz7+BPV9AeutXmVrzqaqDGRdqXdnEDKAm8THrojpg7qKJD60ysfwIlR8U4/gWD
IhsufxyfKIU+ZDALUDoMk30an/SM3VhwZq/nXI1AxlVlt4PAezmonwFqlQaK7qXLoR43DSCNZY1Z
5vIOaPYIlOKB8eVt1NDnY4tQQ+MCYy3q4q5vk22jv7+3TxQkRSnQTYEZ7K6SFATzr7cWOqlKNTdO
vBLLMkMgkYXdTtHM2QLf2i/5uYjd/+bsvJrjRrI2/YsQAZMJc4uqoicltdTsmb5BSDP9wXtkwvz6
fbKA3m2REdTuXjFEkSyYxMlzXoeoOEtXufV6ayPpYwMvXS9h/Pv4YN4tbNf1wxBNilnVmPHeHIzp
xqYWSuNL46ucZ8lWwvSwnhwDPmsMN/qIsZnz7fXjz3XeXwURCIZOvE08Wu/QlShdUnQEgkoTIIO+
bwZtUO6mWfqkPLmTNCjt1qINDk2Ln7Xll6O1TUfPbBhTNCZ0XXO4mvlFOvnGYR/AZ931/orgw1kM
3uzqNVX5i5NmG9qrYKlb+jPRzqXM/+fjk5LvVqIXAgSbe4u43eAzP9/aSKzZJnWhvxzAN9KQyP+k
nH4Ns0sebH7X3Wkw4605N6Xfl+ld3rjj1J18uzJtSTrOPWczDa5Dx60ZD6uWdQwq+NvWobOxToDf
vmed7GkEIYg9sURueYNsya6sOKgzWar7YBJ+6d2KyWLG+F3jULKty96TubM0WHguMkPQDGBn1y9g
DuO/kVf56L63YCxSlCCr3VXerW/lQq5x0vi2bi5Vmblh9KB6PVlft3aqxPTjuB3bqg3wt6nV3Lhx
bFqPKVE4bcrJpZVTDTdogcztAMisWc0HZF8tGVvgWcHFtQh9rY495anyWnN8feTLdb5lnA7rbYq7
EsW0dZ/Wdtc6DBsLQ8cp0KiLhl9Uv3e7DXQsHiLwc4m34d3a9GWWbiIopy+68cwTurUA3D+qLIlM
49bl5hoGTpVM92Neyl8W3/cfbx4KJ7KlQSSARH5eRfRaeQGb0n05EGPhNjb7S6lCn89H8g6jIGTp
cRRVWnDTf3H67rsDkFR935eGYYycd+efTaIonK3Xn1M/NcNrUdG/AUV7qSrUSc7JtqB6V3S86rEH
2eEGuptgjVwQxLTMbscIjEDNwLOKgsw3k84ybEmzUy/H1LS2EWspGSUKm3hC/qCK2JLXTz1WFtol
QyUNqZpqebcGuql1HNmTKvzz5KyB1cVAAVSNPK7yJqutX1TId4XKB3L1PHApQ9M7b1uPpUIIMsKR
fz5KFFOf4JYfjbsHKtD/KFcEMPfoQjxWy+pnzfJlrodfzllvG1LhByHrAWYOn4tw3xKbibNUMl2r
5VvdTFYqY2oZnzGXqqJURyHr8eN69g4CF4HpAHCfGjISr+Obzn+2pI9dRqXfMpHknndCH81cHDsr
ICEtY5tF+vssgjqJJyR2PVw/ta5akIQBBQ1xht+BLx8f1LupD8kSl8D0g1Aw77escakmVP119i2N
UlNJVq/02O5LqEra371Bm+Hili+dpbgm9WKbBmm77jNsa6J8ltk6m50XKIjL6G8SEGPMLXP39kJZ
p169vQbF6Bbd7RZwL37r5wSW/zRWtWG19wa0p3fmKRz9lW70oA9zbzTL3EcXNd1XTkTnEWejXlE5
1D58aNwFdhI89VEz2esptYJOnkcMTjzafZArxkucRDXDsp77K5w0RKafRajncHihssxMv+wY6cdX
9m0vwEMPd4/uAV26j+/+Tc+nJie3I+iYr8cAXw/BpG/a3NZoJgO5FoirOx7vXzVEP++a0rBpAtaO
kIyQYvuuB3G7NQ+ToF0+Y6WKlu6vJoHkwsOxOnX5/eNTBNb+qVnEZegjlfMDAjtC1zGw+8/FVSzI
AVu21M9Z26JWiUsAZg+Foey6oTnLTOilvavdycCCpbRZP2naOYU8JajZ+NJVScsPJtDH3DHPHhbr
647raMdDEndKrjypTNDMyJN0bGZ47rLw/T99V3l8D0Wuw7QH6mvmRzWJKMkeBc1o4T1Ms7fYuJdQ
tvOTbI0bhxHCQlhfnRH+azg5hVL6dXbyYlsuuti6YjrVFggiBpf9QK1MmRMLFtf8cpLaQfWSVYzu
7n09DwDg527boNriElhoseNl8UYcZQe/2sAf4aJC2hdF1e/NfiFmpqJl/aNeAGLEyXUmZXufIMh1
vj7Uxej76gZRsBT9o7+McMNfUlBlTqARfY+Q0EfvyDXLx9ooQbKIgamJnV5v+XKH9txsZJr+3a/v
5DJ2IoPQ8yExT4LWpcovnlw0R525Sa/KpxQylRu2GQzVvkcAmG/J50r4uVPctFpUyXaaaFtBrrNq
Bnv9kkA6+38mFRJMccm9RkKTlaBRbEnHPSi3EgARzb/om+S34zmO7NIHe27Kecy6S+95m+e9KHsK
u+UU1SgUx3uvdDbEGNaQmuPbAEOROzlRNdcJDe1kbrm1mFMGHZ2LPh5tsGTvnI2lxZ2n1JtGopUt
HPq+hLCWmcbPbZxIWZdkQhpdn1s4yCHDRSV6LqJwupEVip3Mq627MllTvnnwRMtgO3bykJNXEyx3
6CUgzowZMRjTZ1u7CBPiIUmB1m+RzmsVvHR2j1XhW5a49Ti8un4p+fQONJyr0QVKzus9ZC0r8z7v
erPeq1CY/9PeGonTlHeT83Q0KQgraJmel6no5Z1VREt6SV0x+vmnos9KjlHlsuNXf/E8X7eg/zP8
8TwHlCyeag8/Ag/R25abTyf/Zanaz5pOQAznDYGS5cVDLVO0/n3TLrSO3uRDYpx2Mcah2gh3fdaa
KUfWQMKta3Qlrt+lffBqoU4J03/NCUunjQmZsSKmwR2YRhwCFd/b+BKT0xAByLVnJhyrCWJsM2g7
7pdutLm6Gt7P0EgjDjOUIDvhEtkZ4CgqX7ahnIJMvd92xZ7kT/BzmR5DX8ROki9Of8nEYFk1DjiN
EiKdrRKyFCInYvRhbvCgIsJkrfi12tIGNSdGydAHB4HfF00F2R63A7gekHredElwgaSeu+mxchyv
jv7+xRVLqhWekokVW5/6Xgdrfw6nTfCFBIQprOPNCebmj6ONS71OY/hYPFnrJW4tVj1Cmr3Fy9zS
DKw7E3QIb9wwMeIauQ3J8GnrSsRqcZiUHQKVpkBtzVF6O8vRjhnK3cfBVOKMbmo1zePRQ45bmlj5
dLJqZTA1amfdpp98f6rRMsddpCc4mqN/PEQhhRzF1n8uxCZRLpfraEgqt18NEceQ4w3JWWoQrfwW
iGDl1w9tS7I3r32zYG56OQi8Q2HkdrRL7Ps2FEl38rIEcR7emd4v/j06IJLNxR3lVrX3TUkDE5wO
3iBiya0e0kwL3cLDx08CWNjbnQ2khoLoBRCYIJdvmzWRTT6915R+atIWFvHCzoQb54ZdiStwGUEj
uESQiqbobBUc0svxNEdt1tV4HEaKWX3vhn0pi7izlVJPUyKt5ibxZcHvcuUWkGZPZ03sZUO2vY6o
MWi9AGRBvlSVG93hvA7mEwx7uHwJBAIg9DBRbb4XicQwEU6CbXmOO3K6anHClRzp9aIViCMCKzWY
P+KrjiE1LsfMYdZxJ5qxWtQlfwr5uyHBmzAwk1nB3Auqj6jQqPdQRnm0Sv1cGPDCmpHpS6boq/iM
QYtjLGye9k88KfDsccOcvD65QYQg9jG0rIFaXunqKnFbUg8X65guSa7ictG02De4EgzOZ8uRAcye
M4b9Lx5kbPm1mxHH3u9t4FKXhrrPjUClhXJDq7PdqCGt2/py8AflhMQsP63KGmGNF25D97j3rZ2w
zenLxTIyiLAe/Lx90DOlr8VMUzNXtFYZZijV7Q08Qz2mW22a27GITK/olz5lRdjdyvf8yqaNgLC+
omEHVjn0uqS3HJ0q9YP7wu9NMzstrs0uFSx9k52BsKvorokSJ1ofCgxV3KrjgIPeCTmsaQiNDHdE
K8ln2pjlzYVzxyQQcd1U1UALm7VrIrCMlQqjR1t4aao+SbtBq3sbznZRuTdun2FafJxLYbDvPFhS
jgtTl7l4qok0O3eZl0uqTgEaxNy6cfNqNUh7G6zAdpPi/9y7IlVzlH7J9dylw71btH52jy0yYo/v
NqX4ABblwiW1LVHw2xT/ntZgjSy4c91B0trtKbdTaxheB78zCNyxoYWexlfyuAZJw4E5LfXVvTsu
JsIUsQ2XEEppm254ukOe9WGzTDdw/Lprq3FoY4//FDnmcHIPPiXBALUfVa6hOrzA7ziuJawNXzgt
BmNG/uYH3W9rXi8YZ/YhJmgSowGhXrLEjn+01Tbyu4y75q5PYskX5G5XCc9BpJQOEQT2neOG27TE
anW6Dtd1CHz6FeN1WdJOSXcw3JTvGgVDa7V94z1inGqy6VTuLNnxMNp5E+gg7vrUsbpzu9rmeUn3
G7b4wiyyfRKNOnih8m5QlcEt43Ffa0pv4n5ei7EOH10iBDQG+bZMrxvTsWFUejYMgjOhHr3RlU1B
ugHozWV/GrPCS75CYDiz/dCDMK/+xeqQK7Tn44zlPHTNFC9qQf34gmfHlCSGwXJy8aMp1fyormVk
ZmVRD9gGumX5zJ4cBApvWJFuSfhYYVWdl9sgS6Hb4tyuMxyzriX67lwhM9fRy8Q8wpqctDT3qwj9
Hg5+3gEia+2NfCqSrEXG8hDKESnRzG16tafNKX1cnTtXo7VtQOeD/XO3VVJYgRINzOxQUKCZmqg3
lXqFV+IeHxrkclCm9lglfCeaas6Rgziu3jZZI6ecdr2t7rduDD+jxJDpSePy5HCcQhhkd762HHUC
NgpOE8x4c7AdNr1rX1qnQuOJPjfRBC/U1pA3hA0INyy6r0HKLbMvpeOiHL2USqWBevgbuQYd5LiT
0DJPZJkMnXmgd3KiTzJTmLymctabvPaX6LsoB5fq5JaY8uLJxy+r42IcA66qs2Ta18XpeMxma04s
T5KnMWzATfFSDLlTfe74MUbS2NmfZR3mGP+f87Y0K9gD7ZfBfb6E5gSRz9qIXgeXLt7+W3oZbHDo
bhnLKhv4bqej3Cz9wmYnuglyxt00iukEMnXfS4UqNywXg5CWa19TClLOlhKyT/ZDrqOuxAaEhbD5
nESbKVi90yUc0cLsxP8dndlB2li+TSrAqdVuUYWvaxCE031GK8cdOo6n3vc090oULoklOu+3436p
Co0NQjRVCEYkJkLLFOwMRtLYJgrk6tPNXGfgQs+HWKxKvd6UyV1BpjtslAjJmoGO57c26ntL3uQ9
4tW/0tkGREpyQ15l2gPIWK7QVTakRi8w7yjEiDaaNU15vl5kSj//Cou01fNTXattKO66hZHHxr7k
Awad5Ig1Yb71s9o8dJ3OXVZDamjxHxWjYf9jjbY2TNCKXh+T4wSnEL6JVWPXV6ll1ZiyMCJ76H8c
JQYAmwfAiwoDgB3bZVLN5pORDAmu/lGxazX7nPIuSSh30LbvQvMUufhFOXztIzBtPmvRFGyCusU/
Cp+7ky1V5ZnP6RascvVF7RskwQ3mLiB2Mv3LwVznQ2L4iHTLjCz0GB77sjMzvmy0ISlS7AP8q/Vp
HHjMi9rs/ioczTZwUInlXgG3K3Y4XPGkdWc3N6Guqy4IVhTavfIA6m9cK5woDlJhDXOxJ18J0AL/
MeuzXATYl7uLP+plMZ9S9JN5RKsq69j2A7/SPKm1kOa3fdj97TVfkjGR9yNV014eXFQ+6FaO8z4W
0XExjidbitYw3uNOkYVL0LCyjtM/inAU8BhigaQRw86czuD4tDEOouXglLkIye5dXXH9bua9+WuU
3Ni4iTIo6vZxmTorqJ7kUJezQunfJ/NfoLEUy3OVJBM9rTv2gf+n4Jv0sjucgoPZ88ZLiTkmCWIS
PwzQkQplJmHJ5gEoQWCRGWWRqoT8WqLMrcEsDkYwGnqnj7d6kHzRYTDzIazqgblVtEkzRc9zjjEf
KKPxPP7iICvzJRI5IjYwUJEs3z2NiPVPIy01YTQhkSo14qyQQ4Sp4nAnjwif6oxcpurd2C/csvu9
UrmBbDD+G8iGzCKzcncEgQZi5B8HZoBL2/xEN3Rm4ycTxMBUk0gMevjxPPF2moBShQUAb7Zdz+Xh
foOTZdUwNM3Uei9zzjbTxlUVLMV09kouzQ9cKGbljO68tTlqO114xeO+7j4+ip+ZCJhvxNcm0slF
i42F2DOQ5T9o6MHg3WUabS9p1Rpd7M6O2hXNH1Q8OxMd9r74g8z+Ne3/M/bPx7tIDRjCAwe1A/5N
9+eP19pa2lqEy4vbCMPPqV4EXOmDAgCkou9K8xoLbRw1/t7vB9fa8H9Bmbrm0/4JdQAzoFlGsSw8
Frn3Fp9FYBLQmMmCYZQFjU91YvSe+3MOxkGghKpHr5gvumtbEIBonrhRWY6vGXnnLj06ZnD0g0lQ
fIZ1pv2NM36PzjZKSiNsLK6i1TS4ykGVxbD9XbVhWuvfyrIxA9qhG82BFf36kgJHrb+iHd5ddWQe
ESy5D/7Fo+i/4b8CMih8YY3uc+jV1IijXpYZJYBZ88qPF4s2bWezV+l6Z8YRf5mn4uMV+DMozhKA
pIdrsH2bsGC6gzfPQYEetR9lQkSVXIzOftG01mwr1yFwm/Nr/W1mY8L5+IPfPYASc7zjMdoBiztg
XD+vPXcKsahFQj3LvcsKBuC08vGgcJXo0TMcDaDOVZSJv9J9WPv4MN6ev9FWsKUH2OlA59+pFdTs
6DGt5+oZ99GOWmY+twEIO6cl4gHBVHBu6uuq//iTnZ8trVCvRtCBtB8qFlYgeAto9DpP0fQm1lNG
GAwbbhUkDLuXsOi7YYqnnn33B1pPQ4ssO+igwt5swjy0ZisXSZAm35yuKNCzf3xsb5coxguuheSR
JnfOk28Lgz9uyACCxH46YBW5iysnFTGk7Ut0Johj+XKwQbXvm86BuLRfF6nrSvhnXXChihGruI4D
WYtW722R9I0jU7jDU6lLsaHN3a8Jkktt/7amUy/UWTlTYH+vSt+0MyT+NM73XuF8SE9RjxEGGDoN
Ir+4k7oi8OAXCp23S5mEEyFJ+3OhLaV4J9Bhm9EI9qPg+W9T3L5QO4vWCUgqLJiTwlwyHGBSRdLk
mOyY+hcHIX+WNEHfuh4XKgx4lFFEvZM00Qpog+auz8XQVuzNuh/bcHiOdFQlr+myEOIVT9aKje/L
tjsBD3Nz7qMdr4g3QHH/MgVy7crbbuvt9n+6ZErL75nl4GYiB28koMMCFaBFxwu9WoYRb9MQjffs
uCl1GGgTJkcg2eKKH917X1PD8eXZgRGaHmhpmy56QjffgPH2P9BBIBD7W69x1PQeUxJ/Us04NefY
CjWhhPQ2LR7mcx/2bjZDw2LI3lgPYUgXehQLvwJ3+pribMozE/sUDPoCxuwR3RNDGRhrpiZUBCzc
1r3VpZxBplR9W3qtkTqk4WhWcuVmGXkRgaSX7c629MZpehh6cocECYRrZr9+/MA579YQViGeOQS5
IFkOs+fP5ZAYi0zMMIXPB0rc7adP68dATLCPbychPtC5imDxBkghDGu7FPvYuPrdkloWymxj9kaE
RxRvYjLSwd0Dd5x2DS3V/m4vbmrP574P/eRXJORbDhLbP/IOqgcOJERCbwVrHpZzAGB7eGIY7GTz
H7z5mdfcYARiOjo8mIdbbmssY0LAysk4upe8TAdGwfSL6/u20yKLnSPBbuybpOkweFNE7MQGPmJN
Pc11GG7ZH54kZaMkUawU1teQPptGk+jDoP6XSxFjwS66iBg+p3SZrehlCUQ9z5eGTiFQ8XHwc9Wa
gQe5bxj+yQztjfcbBZVVhLMysaabj8/hZ3kE/RlKFR9bl49JjCjSt3pdvaJfCqDanoLNmgaEAWNS
e+nZWsC9svj/qzsIbMSo0oNNDoxd23lz1eBMemZyWT8dhOLRwfd7f06OQM6w0PsInd1faDPe3i/K
GKGqUehIFGfeu/681L0RbszdU54VAcWyZvj2//z786sAoejnIBoN85Y4GpP43ccX+93nIwkn1/Xa
jprsuTdn3lRrNq2hkz0e1oiZomZm6p9cW7UjET7c9y7O4F+plN4dALcZwRPOEJxcNlvMzwXBBz72
iTQYH1DSXSuguA7Zx+aXWpNB1lh/dY+DdcjH4I+PL4A5wX/uuiHJfvQlRhcErvBuUyuXWWBFTdfH
ggK5fQtDNYY32egngDwc9GCNN76LWfgXD6r7tiuiE2QviFAi0Rmy5t6cdyk97W11OzziLMp69RKI
rl1fo3ootvuDTG8Iy/D+mJzBsNo8N2bcRS9vRpc8cQuDfxNhxeA6Bgj1thNWGSC/m8El4QgSYWfr
mQTMLgU3WbOGMGKRZHmrPbbHIS6EMXzBqhpFxMeX9W1nhTyWhY3IFO0d3f/bISeRSbe0rlM8Eknq
XXddNy+DmFiAoewvimRNWfzt/ZIrNMkPhYlO22bGRtD4i5v8tqQQPEjfL0JzVAyBb0eRuZqi1JvW
4jG4ynnyFDEaoK/p7HYY8OOTf/9xVC7YO4yQiGJp6X5e00UuJRzmJh+IJQkAygrXoL2i0jSwk+h/
3TvKN2EZXGOARpQ3PMmhtDHUvPnIcUyWPqJHfDgEwMXVr7ikdbe9qnE2XJvx0evqMVsnnHSkl/qj
6F5cggy76gaTdGIPj6JDJ6GfDrTyMFTJFNU62Eo0AKguVQLKdCiL2mSOsNu1OLs+y01NVRL7/FWz
MazoMnDGJauhsLp5NDMHnYpZuxXZX4BeWQJ3gwkLWQeo4FWPX+0SL6m0obOCvDZE+pSlAz8e7oqp
tpkNBVmgGASabZMKjCzf+9Cm7Fu4TF0bG1etXbrRwMlNa8qCMk9ENuh8s09V0kPxnbBRoQrKd+KN
VENj0NuCxhwozhYDSw544/iQYyho00YCS+pOmVMyKRF/W6TGwjcA/YGkJXIzD1ybhBsNFlG/Bjrc
JwoSGekM1pSszZtwsEQ6xfNgDat/O9Y4ciJCLTcM5zs4Y9vzzHkXcCSbdyNTLPaf94t1DCtHOS52
j/EBnB1kQUue1vZ6oC3gmma6c6+Yz44NA64ZnPiqQbUbaa/FbYI7cHVOu2TumARDNzIXM+i1sSof
XGgrZpPxkV9B5n/q7I6xQDQiF19ILZ41HgcQTkFnBozZ/Q8dckgI20YCyPdJzAW+MpmSCRlj1ZIY
i+qMswQbza/LtXFcLqBFGDENNfqAobnpeKwi/6F2uzl6zFUwqm8FGRFYAeEX5Bad99YKO1BDI2Yn
9VjDhxIPkBLGNggBUNjj9P+O8CkPThOEi99ftN0ZhDzN8aW+qnXKYKxhPawUMT3CTB37jgTYvLRV
iSUn5lsgmBO53fJ2SBvDqzZAClEVoydZ5L+2ndWofGvyPqWljy/4fIDwB9RFDrgBlw4YOlHIEn/U
ldCmNQOCEC+D3RO+euo3VW6/z8PKcXm95cx/1ag4icvIii2Trwt/Z3uFW1fqP4AZjniFFNeKcES/
7twby+qs9TUQ22JNn3DvtdR9uQlDG5dY5kfkjCQhj9V53HnggyEgXcDoL7EUXdmmMDeTJqmmHouV
Wdl3aAu7ooXNCeAdt5tDDEA1pBbcbnXkD/pLEJaTBfe0I+xUXoO1DHsVOBq4aPVF/geBl07xZV/W
yl94ZMvrg6ttMPb0vOnQHduLnmyzDHexQmLBd9x1lmvp8qR3Zc8+qpeYQlmYu6azcN1C2mgxybXY
zl2fSDgCXHWGvzgcXX5RzulwsftaKiDcKkszjKJDol+C0ktnhF6HnrNZMjbb40z3JRauPjYwu4LL
xpq5eBvZLzuauj/qZRiF1h9aDtq7RHvpOrg/T8rGlL+ru3K66ljtq9/yuExHZsBQVMYmUrJV8dk7
awLUCy5xAPdVaFOJD+mqQD0Mik+cTWq/LhPdBdzZkXqQpv30tavdILu0ntQ1EP5OcuwMlR8uZjWq
eau4gaA15goRt59mqBO4MlF63lm0zbVb6Aaxm6bqXhm9UgSBwc8bmWD/4wj6IevQUOIDOicK/Hpd
pgFQO2qLzDEkS+9kMnsmudzfyJvZC2XeJCFFtF5aycNYtpldFqcmsojeiCNLoFLp94dt3v/ele0Y
vHUNfycjjLsbJ8VK5H2MZdqxWQW7hmm/NX+v7WvVG7kKFPkAbTyXbK+UGDU4PCccjByJTdbsAsWU
Gc5rp+8PUcEukRHNYKafdDHMsFb+dXPboaODa/euM+BRHnaQURWOeQQFURHcV3+XhpDqr1mXTT8S
+Zyeui7nnka9FRQYJhuGeHVqrMF4YhwEH1zvvYjjhRZ06SQdmBEy22f5v72XV/b9fy+2qwFoXreR
5143pfl5bwcuiI0zF6DZO8q0sllbxw2y7cWAHu5WZVv+WzGuBVqhY5sTwURPM4dEtiP+2bGfsp2u
cPmOq6+bZ5aGFikE0LNHmwFZVe4RRdNeVzqnQsl3owwDbV3QJEq7ReUwGa6TPh1C719dogxWX7ko
2GgT9n85O4C/7J++927oiczgcAD4Ja0S66ikoHJyiWqokXhSjaAo2N05TJy181xY4WqbwEaKXdlN
XfjngLsq+yOFXG5iBUxi/VUVfng4ratKm139ICU7OAs2xAPSnkVKO2niHJBvFMokA2hXs2IP+1UE
Q2dhA8OIB1CXpFFTeje8iyC12pPYJeyjIAIMsKmbzX4CZiyq8IQVJ0mbM/GdWo0XRbSuii7TLlzf
l2205xAcncCx3ROYRAW4z3tXoQQkJ25rImKqW9zlUKa1Z2031dCa+8sd4sCPgnw0jsdCBwwwmH25
Gh3Pwc82Axv3l2NCrGS9Gu54lyVFFqEG2LE6fFAuSpZrj6v2purQeGHRMXKjaE5NycRzaFYMjBnP
nWxcSaNFhp+ps14xKRYM0phs+TrBP0/tOd9NO8Mez5S4THNtXDgQn8RjeGmdkbJ81Z4gAjNdpTj+
Iv0hf5Ed3WCjdTYZud+hDet6zdQR7ioem62AoxrhqHny9/0ociOEWhaaYAiYvTrtzdOwt4eoQ0y1
OJjfdOfZiW5C+7Izv8fy3PKrxrGfTcTC3pDuQNW4d7bojn3S83Tm1C6qOhRJXEmKPLjXfVFzXggv
rNCkAu2rWaXIQtGe7M9cYQTOfQy14aHtHEa0Y8F9ODV9m9/kduKLH/V+s1sfrfnrVJCKQJJBhsbw
i+fbhnD3dJqO+luS6ka2eBKM4Z8QRiMHYwQwgoNd0WMVV5Be7pQ0CE1dISTkmrqEjAi66dPBwa+j
rDTauQT/V3ZSozCMz2F2KXbRnEN7wf3vx0r27WebKFV873UOlYDirURRC7N7rdbHM4ZsfhvUOQxz
ktLvD7DCSuepdE4pwRSZH/eFviJZ7JJlc5o0xWg+rTZELiz9Lmr0Ksl6NZ9DEEQcrGlVTdSpq3Dg
6F7LxTJrkRxks+8eF/mwILJD44c9GblZtryMu4QIQ2ozhReGkKXtziKv0rH498fz5FuMgvBDsvxg
UkLeDcBLsd74dzbpL22eNtVDXXWIsxFi7/38ZvjidWeyDpvJ/9MH4xRihAeeAfaXkFdvobiq9KY+
bLfsoaiyPuSFGNIOEPl3JLCQRNFbS91ceB2Ike98/MFvyRAgfgbaUMCbwXqIdypYywoJw6yb7K6Z
V16xcg+wOvnpQ0TGDBJuJA4qCG83VwwOOppNZWPVnES+eqTZ+Oypg/tUXkvLZJM8Un5CEajm7vPH
B/mWyYW+DUNAbC9AuWK/jzxaUbsEQae920MsuMsRlyMubigM5GuHS1dZN8TOdFlQxMkSBuHXZdJd
1922FSFvvJCgHoDyhza32vSEaA6tcVybd6ORE7nn9PVZXfHeGRaX1VSxkkO1EDFEp8qLgmriXMBx
96dFXlmBj0/TucKf/8DI4M4dH+e8eQcet0K+hU9spD2sTe3eTDLbrJDWKW0EmXm8b6onxm4i0qAn
aSqn9z9tc7Qk6YWw3az95O45cr5Hx838GAyO9cNRFBWCqa6EyhGLd+ixwTeR4PLeAXTg2dkmB8Sa
Tlm2tcPzAJe92qeat9yIAt+sbXwfzVypgEwQ0m6Y7GbeWkVEIZPLSiHsryl1yKcMcS40b1zp4ggH
g8vmbvaIH0cuUFt1TW+d0Nhtjr7tiNQZczidUXbPLW2gidmP2NO+EzCKduGyytoLXsstkZhsA2Gp
sbwkekMR/Ni7CX317abIOHhBjbXWDDAodboqbmSZt8VttUZN8uyYqRvdrYyseTgj0Omi9WUdxtDr
sEPnBjWQVriR/7/yggHIfHvE+7acvTnJrfJy9FpyHMPF+mNdiQ/ipVjeQDJr3GI0tr6J2bYlsYVt
NKzVTUn+jRvc5qGsqPXzihkAo/U2rVV6yfU4QgtcNQb1zqgkOJ2C/xC3kxW3KSNID2hX8r4EXg/R
TzPLbtuDOA82bUbjXOD0tlae4bNexqBPT5O3MsmfqIyoPu9rYovU8A3d0IY1yu4jwiy+MBkWeU9a
UhvYI3G/qiu/q2yZ7R90v254r7rBIa6+XJJKwW8heYA5O9I796EpDzPFDRnKRK3lkw47E5+0exWO
SNOjF7C4pbQJ+9zGa7OMwXkqO9NNa4xAaqSLnaWqY5cOT/93f5DSgrj/r1ngz9gM/JXUs+E8e60m
xq4IreL1F48YMRA/49BgwIDAlHZiqAWSgbfEGJa9Bh1BJ+91m+WejlGypm3xzUFWSS4mlTC5C8jH
kbCbvFm0ioaO3A43Ce7miijU8+IsOXjYhLvx3BGP9DTPUwc2p5z0W1UpYnEiUafzsxvU43jKFuE/
2FwDxcPMfpmWD4hdwfHKE+8TG+2zGvi/7LZ2S6v9VPB+svHB6ki9ulXYIvJz1ub6ezKWa3HjyXzG
Bec6w2/EIOTtpe8mm2j8LZS8qwJv3nzvo+Gsblre0NGd+yQNplM+LQhSz85ULs4jb0HpXkib59Vf
Nm6fIFZ1Np9npsEtbrKwO4POtNFDKnHUkKnTBE+EBjTRZUZNHHKyZfC1apTzrAahZ5wpnvun40f5
Q7XI0Y9BiYqXoY7UeZhy53WpFxLup+G7n2X9q+W45UslrMWJt0kgAuHdH6BGmrivjGDSJ+AquPDz
IsWW81oEb6hH+wkPjvXfSKfeLfmG9XnFDHFB15yeAt45cMe5OhfbyqhBLfjHN59QlXhEAEJQV7Q9
TVvCKz4i3j7zu12J7QZWX7Qn7VTjJ5333efE64bnFN/NTblO8rcptLxb3mzSXtqiM0mGgAePkHnN
rc3kcHbAbk20TPBM8lB61xFo+s3upPz36obZ78k4DV9WJrSnlPix+2ocpjJGhSjOLW87oF+at4u/
FALV01Ys97Y3qccWLdSn1h2dyzYPxaUshEtsme5S3g/irP/twrn82isxf66FPT0QUpa9zAFh9miT
iv5S1cP2iKMq+krqVvXgpIn8HKKOFnFBmmuMWjx8tBG//l5JNfweEWt3i+LGOoGTJHdyUB27CaDb
CbjIEoCmobgT2m++dtPMi9CMBv/GW7X1PXXz9ilqOxAPhsavKLNdZPaDdzsHrfvseql15hV+21/l
kLQ/Uj8nm2dNrHOrywFQKnF+OCSo3QXtWt55uVz/F2fn1Vs3kub9rzLoe84yB2BnLk5UlizJcrgh
ZFvNzGJOn/791Sl6tyUN7O0XaKAh6+iQLFZ4wj/cLqbWXbtRWx2NeBjO4zGFxhQuM3jyBEOXpBH2
HUrF/rRH57jkKka418hdL6vKnnGF8Bvv4OdZ+CdI46fAFf03g+PtCE4x2GQIPUDyctgPk0x/tNmA
99qU+bdO5Hln1pII5MlaHoCysPPoE8xDnR/h2e6EL8rnHlu/ZAMzWlwxNUkTgmpknZgl5C5EyYgv
MuMqQmDmeUps7aI2G9hfpDvnDtvJByESKKToaT2hMbNsxDKkz3GZJfl2NEvQ885YUikJDUjNSMGB
Eh4seKhjXn5jQy2sjcn/0g0HT0ZtCUreZja1+vOsef3BgbN6nvVVz54RL9kHJAq7DyOHDd34tjz2
yFxtfMrQDy5gSxOjDmFk2VZLhpgMmfr5NBzyqGi/GF5X3sQEa3ttpOu8CwfcozYRpbk9/M+nMUUP
cOrFp3gxu3MU7b8PrfXkUveXTi/TQeu9bLsEZn0g8am0c6Ors+CKWl2BC2SYW1vCo+qGiCIODrQ2
wwEsgMmRHOMUCXkzrNheSzCwG5pV+jMIimk7Bg5+YXalfdEizCuAaSZ2ueGu8h/uUjpnaazZl2KZ
66/Q1rSLjJSGxWVP15FtjRd90qYgPlyn2KFsUX8ZOTsujdlxPyJTV38oMOixd2WcdQd3Ht0n02iL
ZheGWnPhdY6HWj8B8QvWF/EMJrLqUNowERLbx06bXNeT1SNqE7bVrsocr9wEHqxj/zNNe39rts2M
OCAjfNEPhbnTxQg0fXHbe4GI27430zg5UMXQ7yM6AThd+UXIAwn2EsC899DxtQ8GGnAvwprZfoLE
uoKLkiYbBl6/GNFD2/tWXzxCz6TKNi3+c2iJ6GMGpKHdCAlR2TAK1YMRpM4hnQxU2ZOwyY+R8JOv
tttj16nN8Te7BT9gh52HIgpuJ727mPlmCjHf2LRQbg8I/NUXiZmUO0S2qILZWbhLkyr54VdxvSXw
9T80VNKQh7Ojs9xfJhL6toNYY0aXxTJUl3Uy33Dj39PWLb7Xi1HS/EQlUGQWe3dtdXvguQl/RY/u
IrO74AbSkr2fE6c5WPUYFRtnTPAIdTTnyq4md+NV+le0dezLKZvgAOZWdxwDQ0LeWbu7pKnyz4tt
xmh/O6IFe9MFZ5U9NI8uGkQoqWVZcqPhhbTlEBb3ZTMNZ26gLec6u9lxnOfwzOba6c4bbO0+9ocB
cT/qnvkBk6WkPGaRH6cvCl1PlVAiipfERykiWwypGZIstSzEKcpYtRCoJdsEhXGiSDOIEvhaa7qo
lCVU1WOVHVlRbe0o8Un3K5I9Y0Mhn1NlT7/LYgqH8PIQSN13qP/lwXbKo3FJnjyIs8SxKR4QfMRR
mlYEVzIpVf28Bb2YvtzoVQ9xakMRgf7clHRR/Sl0gmIafhZasFbC86mAcJOeB6VT2t/X2iutC6RA
t22Bqu1u7odhuQZdEzVnTUh7A3WqqJqrDavOLW/Sou+GfhMFTpfue8T84r3WNlaz07SSgoYWlrP/
oiO5Gl4gWW8UkJgyQjwNf4PxUNN+Lz/YYx2mnzsnEl2FfEkrknvEPEOMJqsqy039kqbv5LhH5A+i
Otn0SMoidjwioD/vOxCO/tUox26zzCF+CIdwTDm4NohvSDpUO9FxWzucaZBD0esNIp2dqhgFJyW0
elkqaYTZJkX3guBwhrFdByHB+fFThM6s/Ox6pL8cXcy6yxLzPYEfFD6m2F52dra4zyMiAeFOsxc9
w/XCyMq7VZW/WGiNC15HRG9QdUkCAHA+OUjMMHrxYLR/krNKmI0+jzJdmPBZ5Sd4F3CPb1RonOia
LKOt7QVQ/dBBN7DU6vbDKiG3MrqC0M5ddx9aHH7NDbEU1fJxJTOpxonVm0uRbhdfa+foiMJXxTVV
Y1FbkBA8V/VB2QRBv+rUK1mxwsCQJH6VeS4hYmDHJbVUtSRi9W9rO2YlXonRlJrkuFbJhrBCnqs8
YqVDKKLroIhgNSZllNjIgmTpWh9hqyAVpDgwaw9J3U1m+bzbUgGX1+rh2tkZDNk5gzAalrncfPzJ
OI+9wRm0c3p9VoL6jcfQiCPZ99yYt+EgGvFnF7gezo7kxVDRNgMdYL26WCIsOIatCRG0gsWCDj2L
XHlWlEi1tyAMY8WX8gVtcWiOui1bF6EHAoWidWhgRLZpzAFEBornOA/Nx5U1ImpfsjHreKTcu7ZA
Vb3O1X0GfaUQdri90pKPTLKDbu8nSDi+IOAeCVqWoV86HrPHleXFE3JWIhFi/5xkHanRjcAxBFmC
ZVwQXjkaoulnhPZVpbW2TexS942nDSayeKfq8aCYvoNpLqChNZFRvt2UFjERfD1FgFmLyJbqw5Si
kj2onxhe9Zp+lmVpVlNALXCdoiU1xIF8oSEBS+5cpZldUf9bq47eCaW+UmnJLGTZ0J1iY0qPxQjf
mtgnzJqZaBBZSG7FNuF7QcvD3YuL09ukAQa3VE7HWqIfvs1KwbBfaJgIGEVjHBVScKa2PyIFKHUj
O/AzOjaZKZkDbDNn8nuEG0+Eu7UPvZL+3HoYyFEmO4j1apOjqzY9TeiCtd9WGqfAh4vdRSErWqpS
CXcxtjX+XiseIUjmYN6h/DhPX1O2Bf1RR8EXP1+0YtLiALV0GL6StSXPpVQZHumXB0Z2r8d5j+Tw
ZDXU6dumTu0nXNzS/CpxEXc/NORj7ge1l3QunX0aaqe6ehcVcA40B9JovKF/+z+VdLXo1jbjSsTA
5FuCUYshkSNq5h0bxUp0XinLwwkljkMTU7KsetmvR8YBThtgicJFlEfhjhtWrfN19CYj+C5iQulv
mdPJRL9R0LV10Z7IEaoK1Ia6RHVAuZeNoK6CpH5fzCIsnisTibIeR/B+mnErtRFUTrZqP1qliBTG
BgljeTsQ2IcFN0sfREzolXZFPnjSdaqCEdCHGqIGX79CFuv9GavwkPRx+qw6o0YrIkbKVtrwy0km
UvUP1ImdAbRi4yonW572pn9iyFsUVPjHMdRl10jhmdQevR7zs0fDpgqy2XppHXAbBTRvnAE+rNxl
mEES56LaQObsSUOBHGVWc9pFgKudR7WVIUwsmXVrN1z1nVtVQNGRRwReMCrcftG18oP9qdURYtoD
qkuR7al7yVs0plmu1GpAXa6/XcV3mgLCDM6FCt9J4UdyBtU0oWwmjx9RV/LhlRQxjgfy+Fk5G6I0
J0EzZDCLCccTtRG7wAVY7VCEJewHvL1kxiQDUhzxLgDVzOtS86VTbbc0GSV4wcJ8a3lyhxkt+/Np
pt2FGmhGARgbOulA7nr7tetVTylki/PBzeVOQGlQxjyqgzpXgeQRlYABsFA1cpGw06+8AaXD+FNn
dcZ/m2I6LFoOslEBLdR7W0lQ68tWxD6B2D3fWzc4kdIiGUN5PCeKUeEJ79QQOHUgUU/o2fFKRP7w
ayUNDgOC35O0Q3MSc7CXbOibszApW6vfIxoj8vyC8qdfN0ejxe2KfnTgThOKlW7B5D+i3pXpsFY9
qjnDRVbEknU4IC0KxL4HkYCc0Cazcli8Z2tPbIUHW3Yj+zngomVUCkXfiqttXuZV973NDdGbD1Zj
F3ayc/Rh9saDYcxSAkxHGpKRUT10MQSSC/ITQ0cAL7vnmOYC3TsdOVreyoNWqTZEJKCSEnnCWa+c
RkJi+a2oEcoBRBxBRgDVqRsWAkNkrHSllqkOL7pkLvRpS/JpaSQq0b5BLKUHYwzhDlGdgedATO5C
oOzLrS0nSJzd6YvkOmM/bue7QSOl3AE7wIPpBk8MUtNdZMWTl+1WX4SVyxX46FaYH1O0jvIA2O1p
Ja/TWC3oMh46K7yOEm1awATh/iDqr60BlmovMIMZ5h3tc5unWCMdS73/pNA8q/uG48lpep3galEk
BFM7C4AaFXvXaxPGSrcbueuuHOZVCEBx4hKFgEAeRQKy1gHMmlRC5RzCTP5M9I1coWkYy8ZaMnny
mK2akwpoS/eEIWy0FKkclCjbFHwgGkhMl/gkstvbwQjdeoVJrH3oFSZE41M23FfG3qr+sAq+aS26
o9CVlNbpisupYA7wmi1bJ3X5kGVIVlk3gqAPc7wyhRkBKZgjmL+LRLEgt5WleU+JfsKTQIYG0iAb
HDyASYaodBFkwsCkIzpCrW2CaqxtlwxQFxVnUIkFNlOnMHqFFkLyxE3ofNCsxGt3PxXtMMPivRjK
XqomaOHGFE1GnYhDAPHKudSgXXAHK2naaQvZrJ7xAqIPmc52ZmIPmjknvQEV2lKEaXiBCpEpmrll
kq1zpqlM2YgHzCPlbrqwQT3/6AchPYZjAj3rRA4vCceIyuSyUSAyP9flIlvHFelvuVIAF8hlOIWd
XL36yHbibIIWGQ99NzXVWBRbdbZRSpdYi5li5Lj3LH0pBbBFK0UXdZ0za+aB2P8pAWlRgTxft/1E
yWGuIEt8JSTRdk2TZmR8W2NXQi6m/6Ey0ki0Ep/WpXHHmKlDfl3T+MGpZycnTg+1EtybDQ/7Gc64
ENWXg1IFWDdsTfHNeXipH7C6hxUKhLCidTwFb/BnS+66a4/VnrH1aaDN8o0IgJykI+HYyiNn3bJB
Ism9vdfRcAPCqaAJeYqsibNTupIAGuzqCOjKGo3z6hR9r+hArbJwTrqME4Odb9+jWMbDqIFWUy4A
ocgYqX8yFSxIab6Yim//820q5GTUtPLl6/ZEvWkDAJwQamlRjoB+30siKkBEjuqZKl6vuZt5CUBu
bnR03MpqE9HZooxPyUlHdEzBaNV7sDpfvnSFbWr8SHJ4Fbo6UiH3epAH5E5cKlASDOtPlA/kK1ox
WoBn5QFttE7sY7mAB7aDtIVaFHULcyrFH1hJhCsEB0I+crqWihQfK/hvg5o6ERS4TY3r/UTRqVvu
qokSwAq4VDDCGGEcXtGK9VIQHlwO5FRX54CrChrUKE+eXssiAUutVcux1+dJykXIwZSAFcUOB0co
t9oAmgPjHZlCZmKrid1geLKOgt6X1NZYGkQVkFelvIGE8NBP8mXMbNF8maCCzbesYuSrlsSa9C4O
aAluQmnt94pt32M0wnfKdE3eyymGWaPFIRgB6+2kqC/AuC4coxbIjQJZk3+Ba8FQRm7+3SliU0Wb
yPKpYG4dqoMetgscN7wbklGpP7DKGxQa0xZVhZMu5ziZEsmjgt316MabkyjTVvytOsY/ijBMAUvB
khPd11Q1mDDuqTSicIiriIqKotoTOrhQkX5kVxIKmaqdIkv7oaI2SngTaheGsvFC+I78Z0XGrOcC
rbZTtUzN9XXstNia5N52KresK07FmhOQEJ5jlWtY0SAgPiR0VYVPIdzq+hswc1J+j41Mvl5V7tKT
6lQmUzogqw+AXmVDSYCXtdrSIjga99kNUjX6Mm5rfQoMoh6Zzoi0kYA1FWrTU5Cwm5X5Zi1+NUtZ
Lh0JIqC/8jSF0i3DWAN4uzyZVH3OsVIZE2ehwTRXGEUO8lnqOkd4Mj2tOhurrAO4ULm/q1TAV7v8
OtTwKORxHteZfOueewLze1MYm9O1TznRtbeucrA0TGJ5Z7eK5KyIyBUium5AWB3IuETVv1QCpE0A
B67xuDEcasS9NQp/PUSK1pRM5J+qFH81WwC0dlp0CpQIzkgOUWtlEDCxk++BrZZ7ZMQlhfsnT1cB
icjFZKy/JviSFc1HfuJ8FB6RZUqWqKbDWsLEznFGRgqbADisxQnztpZcqijtPBNrgkk/xK4mz8MV
v6cmshKTxsitY/AQYJLvRLEBiRMdIPOW1raryFID47q9Lti+BRyUoZhv8xpld3+jEKtL00jw7Er3
WU9H5QezGiSsom1JTZpi7MExLs1wYVQFscoBtlsz4IijRRL2ue573igkxnBVqqqVRNlPXOspRovg
W7LK13qKIKmTYWUzyKW6pkqWO8qwQSgjmHWzWuWsVq5DqSI34fhSESwG3EJAZeqd1L/Al8vyWw5S
+GXVEciCvCO0wiS9wHD8uJtQUgkzakzr3bZBAhf7doXL0lmWDxS586Q3R7T9fWPeUaOTuto5UCLW
pUL1ujL5Z/iUwBa2W8w6amO8agvVPp6KRQx56qDA9aossKI11SLyUkr/JKW1LcOMRnelwA8ce/mt
XlHS3tmtMOe6ZivjoG5PJJuVt0a9dOFxnaWRU2ENTAYlFbOoSAoQrgQRS3kQ+Z263/MHrQprVvqF
hnOoR0esS9Es3ipaSLigvGWejU7nETquueSKKVfxgXFK8fseOGG0j2vD7rIHtjsZmKO5LAfc1235
So2ZxgjFUExE/RCUhwdLdt3H4xxyDh/soO5RlVDSBSu327ZlEF1luNCJDXA3ubmvMPR1UXgROn7f
Amq6rL4V8BwqYY1WQUObMp49VmZmtRlxlQLQKhWtFV8eTG3U7wu/g/NH3+kUiq4l5xV1L8m5vMJY
RX2+Uq4ZVfGwVKDLVUFghL1g61sxlu08PGkxRV4ySr80jOliMbB1wWzCLfJ+ua6A/U/ODXQxpOdk
rXQJqzx+mRqdGOrgZaWZ3ncZ6Br3GJvu4PhQnIyox2bIQ1J541BF7vtt6nZz/RKZlRimHQzGJbsh
1TbynVthMdx/apErsf2dCeEFOVlnWSxvX4UUh47L4FXuTlajjOs2RdbrcqgBRcXHICcTv5vjobfO
y7kU+VPJNPrT0WjrPuVuHwwHtHYX+pppMbuU44FOXYix7j/rVd2IG1hxYXEMB+4PFJUFoluw7lD8
cvaIINhHan5xfzc1zK1DYYazfqyEPi6XJqowu0ykJoh6YXrEBRHbL3ATOxDzpoPl3e/0cQL/ZbXx
eNE4gyuo1JDfGVflUpYjBK8qdQ+I2wSo/5jLKC79JF/05mC3QdeJTe/jf5Yc7HzU8GJKhNZfa142
5fMWbC6I/k1CC3DSNk4ZjpmFz5leWh7dWg2NwG2/NOMM1MlP2wFTMoBl9rQVCU4/6SbBVwr8dsz+
4O50loEFod7WnasQmLEpNlqcDV5wgVJU0rkbazD0adkN9KzG21y4RfMsnBJUSzDEzngJi7QXB4R8
zRInulw/S5CjQNkZtstthZVudV5T8bSvg7wV2qUj0MH87rMpV98r3XVTaqAaHPWvxQLeKdvH/TTY
w6YFZl5RGUbt4Jubj/ScECD/BA2F9tXGWSW3TuhmpoiE1Dsc3HFHrdFdks3Ye5b46iyEV5LiNlFt
W01zVOHQM6JIuwIZY7p3gGQYmU1jB7Ow8KfI6EUh9U8TKpkLxz6LpNrpvClgk6LeoLZlDRAL++oK
/l4DZRXiKxZCAnVj+ORTaSc5UCGSiCQl8KjkZ0xlraR02RWaeoK9nl0rOLH6klT1L9n9ZAlYfYth
LB7PhKcSXZ21l5EW1uizwlgH4bxTIOX1wFElT9UiDVF+Ou3N6GsxWT2Q9Pq2F5Sywf8jfYJRjLks
zsdwqBvdv53spdT8fdYZNC+SxJMp0mKA9HtpcYkSwIhPgej/5GwyOJqMmt2thXshHrvKD8tvSZe5
4Y8Rh3gIkvqgFx+6vLPRlWglt1E97bzWnU7/pND1yTwmVJidXO9MmkFt/uRxks17QXWx95F51KLJ
2iFLK+sTmdLISU5RScRDmmA48KZOyiunTyv/OE8d0MxQN3Hcu62NPsrh+dKNxg2nd0gnWuyJjbEl
pIB9e+taZbh87gk88CRzAVIOW5hh1Av2VpfBDHk2czM1tKNo8wR1uHuv5eu9+gyojxEMl3HTs/1p
cCnnWASIYSdJhGnltq4G1KmnQneqfd/UTb0BNGVqUNmwI72ppqAG/DSPUUoI4PjZAeGr5uB0Y5wf
g24GnoQegBcAXI/Nh0zXav2mhWG1G5x6omWU518yyKtPiHdnZ8L0++8cPl218xZ93oeBE8LdmWMu
mntxd0kREcX7ZqjGlyGhBndGXifuY6qYN0U6WBd+Ogz7fgxYiB31ZftHhXtxuWsxpmyO8ZBP3xsb
SNnGX8wx2Y5tX32rowp9lhkM0A5Wt/fQQFa+RAfVvkLEwyo3y5jG88F0ivrGdab0G3Dx+pbdLect
p3aMgGJhfYyrRjvzQvZ5GKPzcGbmxggXmyRb/wosml0tr0T3iVg+umh5+XmzCUVvebsIrOe5SfX7
B8yL6QIx1hjURxPAV6EFweBlVWt+owWROdcmaV6J+PeYGtuYhna9aZqECrnhDu4x8oj0NgltLffc
cZYkg+TiRylgMLP9tpQFCKTIdC3U0ujfgaPIESGZTYhYZqrX11gn0C0uvdzMdikJEn27Wpx7RWLt
UsMar9IwMj77uvC+ojqUfE/irL8A+WjdjpPBLAvc8BBUpg5+KbcvzLHN/G1H3X7amHrYXCC1Ib5w
tnEyDJCWvmiGXR7iiHVHqvexB3n/OSQfwo16TO9KPSgOndkFR8fRp4OF6v5XszDjpzBx3K0TZMlh
1JbwPk7B7nijmdOJ7c1pi6RLfVPaFltqosXDDoRdUR+twkt+TEIzHlq/jad9NujNd7Cvk7cD2UgB
0I61odpUWcTOEqJiua0beJB4L6GdlWtZdeN3U9Pu9d4sit0QlBZAUz0ZjtDEx+c0IBfblVGrb007
HACGTPZlijDztcMZf7lEPbjBeHYejLLOD30aYhyPUv85cncRmMhuHMNzsJt9tGdfEg9+P0dXiL22
/r4igvswRsn4w6y6iOxt8OnIW2nVNjsexHqwpOvpnT5hS0QnOvX1bYUi8jWXhbQahcuhHrrie64h
Mf2Y+gOO3/zFwZf9gT8TzsznUtPL8EzXBrf/GMyAmZxrf5w8GIWk30vgPjo+b2jKtvIjSXREQB1A
L4B1GqiQnLQ+NnvqNSI0rP0yUwqGZ9kV0y18qKy7NkcoJOfAcyrjnDpaZnybZ3wI0q0fjL7zFMGz
SPuNZ7Da2FtMSsbdbsI+u7jVdbNALQnEKJL9xS6bNTdYLCiAWOiltwmGACCJOjIa4sELxH843/Nm
HndFGfbe9aSnOp1ooev61ThHtHbLAR7r0ZyT5U4gPeJt9Mxp75I0gOOOjYEZBw0ARSBpm1SnwX42
Q6cTeEnQK9rhddJBmOmjWj9nGuTWXdrnzvJbO8PXOGEUVVDpsCgveIBUsLx+o6qGCMlsOCC5zqwT
ZXFNEDtOuNUO9L9euXu3//5vfv4uKupCUdy9+fHfj6Lgv/+Wf/M/n3n9F/++Tr43ogWZ8MtPHV/E
zXPx0r790Ktv5urr3e2eu+dXP+zLLunmD/1LM9+/4IrQne4iehHyk//XX/7j5fQtj3P18q8/nn8U
YMgSMLDJ9+6P9VfnP/71B/4pDOp//fUC62/lE/zrj02TdEkb/2Mr6A98S1ANUl/7v3/78tx2//pD
Mwz7nyAxUZ44aXqRU/3xD4CDp19ZwT91my6t63hSKUOaWJei6eJ//eHq/2TCWcBpUQZxiCv5VSvg
LnBn/j8tA6kWSogmInYe9/nzLu8UX0O9P4Zl/fkfZV/ciaTsWr741UyyfduF2IHmjOdZnu8ZJ4Oe
v4gyjqk96VEwB4/o83nTBoJZB+rVpZh+XLpqISTBKsM4/mWo/k8XRdLHMWy2PKl09lZvxqpRi4W1
sjxGGgcGQHDXBMbFjcDfcscp3bjNXH/829cEXY/8JCQmF7OyN9oYMB8DkO3T9Di6Ymr6bVbWzr1N
25ie+TDC89cHoxh+/Pqir3Vt5OjiCuhQs/AwszCst8KbPgeBNfXR+JjS/g/gjGE8Aq8DF4izbsos
iIeRZnyy7LxMfyN2YrxWSDtdmndK/RYd8ICX/GaLiAoTbogNo2+qLTM7tqXnfCqGyKfeWlTz2dQF
9g3CNstyPRgoL5zZVWDnB7MKtZeGugVtejjhztaMjdE9/HpU3s+5wDKAx+mIUtKJ89/c2qzXk6kn
on1E1gIxFG8QadGRAgZThAMGiNVjipSBq23+/mVRUbBBSyGI9k7/pcPHjzZl3jx2mpF+d2yrTXdL
NqZfZ+KPQzkN0f/HFW0eFPlAekHv5X2Ib5CR66PqMepr/6qMwlzbe8Ig8quDLgh2Y9zDC/j1U77h
o8kXj36gVHckT+DVv5WxypAkyH2tqB69IfRzxDCqLNkVQ9rhxetgM/pxrJxwRv7B8aYf+NWExX3C
i7C3Ue/3y3PnAbljMc6iRENuTL35k96NpnWzNPgz0P/PjOyqhU2c7wWMS/tyHmq9gwdYdemG2nTi
nUHsX7y/P2d4Iya2qRjZ6bCzX6vplEVHjoVj1aPVaNYDOYz5yM5sa5uxKIEOJ3aGcMavR/K1gM9p
IB1kIbGr9W3zvZoOyQA624kuHuGo4tlj9FZd7OhCGt96tD6vfn2x9/ZsbsBeARYFlrvNBvVGE8/P
MFbWDZE/Gogr4jJlzIt+sRSaNZ6l9ZzPB3ea5/qoxxEklIEQvHiywKOUL7W2QPP9zbMb7x4etzjb
8FG3k4qdnDSvx5saVkHs6sSPaUVm/1HQkXA2LaulwlZS9yWH3c21YfQIgru4uG3QxJzOnX6pgi0R
xgyHY6AjFW2bNjXKdFdYuf9pXkzWHA2+rv+NDN9rpSlekCfPEpyd0dLFsPbtlrLQ258yHBgfkMAY
IXlDhLI3EuDszpseRCuUHHDYzVOc+wPhPmpn1XmpC8fc/fo1vtvwPTZdJgz22ugwvdvwLThdCOfP
3oPml/EDIKIoAjFQVuV2nuwh3GAXawKi8KiM/ebKb7hjcghQ3kNLEeaYwabzVvzJQdhtptYTPYp5
lrUxT5s+14ahlxfCqklkREtG8IiEoQ3orNPIFGGJTD0pSFj8SdpeTud4tDbNQ1djxLHxx9Kpd6Zd
zdoWTK4Du2hyvIrWRDgV0bFASVr8iTqkcLejjwfFHoJk7Z1FiVlb29lwtWDLwTeE2GNnLdS0iWbs
feuVuvdI7dD8OOStPz/XbE/lxUhdJ+Ycbjtwlo3Z5tkhr6KlDSDCF9ZyQCqw7T5Vday1X1ASD5Iv
Nuhj0JeoKGEpUtbGeJ1Wujfc9aNu4X7QuppVu9sElEJXIN0D1P+8Sys7aYF/FB0610BCkuIuaz0c
W6CEktnd1rWeQYosoq67ZQsrB3y0uzS/7aohtj90HSBCVBnABdZnUVP49ZlHzxohnJS+wAH4PEAN
aL5O+lBQ0TE3ozWY1vMMEguQCrJKIsL8Vh/sYGPaadGyZ/l9HmXk1KAZdryzJbjkbbX5WZ/URfoV
VhqCbCH2QvlmyLNouGhMGowH3GptSs1ho9MN1c2guEqCmfp5XfelYR8AhQWxONo9yMgNAnGjXW0K
hCLwQirLHEOLoBbWB1zE6h77zqQ2zhN0P83LGSRI9eHXq+F9EAI83TItYjzTly6XbzjrnoYbJSsB
z4++8N1j0GeUUpBJn6YPBUnfzFz1ymFfJFRntxgKtOKY0I22II0gA/IdcfXUufRCV18+ja4HQ+nX
9yc3sf+lNLNkuD3mDlg8wpDAfesfWCdUCKJuCB4EdazueSmNxN+Vy9A0L2YS9hO4PNiJu0iLO7C7
JUX+3zDc3+2y3AADhBIqgSJGjW922SJO9KLKxvABhGya7NNRozDfTV0CSCDA0OTXj/v+jAnQXseb
kfwhkPuBDMz+EuzXuDNVle74Dz0l5OHWz+u8PVoQ/EmJ9UQz7xqBqhdhat+H4LvT0tkamIKVZ3iy
6vlvTvR3W6W8GVJX0g6kSumOvb4Zi/4C4ULvPzRW5aNNmLvLtKMPS7q8obnkR7sunoc+24yGYYSP
f3soLDr/LhPToSWIVMjrq89eNwbUu8yHQnOj4Db1fAKaPCt9ILs9nBvtT9EUxXyws9HXRli2dfBJ
FEGdPCGU0Wj739zOayFIORMRv6RPQrxuU918+2Z6JNCompTLQ2uaTfdQW1FoHRCvwrsXIhAI7t2i
x/W0jwerdG/rfirzPbjePjoUhA32Bcx9I3749U29O1MDbIs85qdMTg3chF4PkZVM4B6xUXoAGtX0
96E7h/1V21E8hPHILnJOxc9NpOeHVuwIrvP+GIvF+t0ifb9G8E9GgoIk2oaq4L9ZI4vbLf7sTMND
aYQTIBS7X77guG64N4PnauVvJCvNd8kJ6CP0GtmuqPK8l3NIBlH6RFr9wyQiPF3LwXXnHYK6VC37
rhvoefYwMO7CcA6ja+Bzbf44aDAX9l7t9+XHbjJM7B7yZc4u+nDJx7NJo/qMhH8ULRdJ4VGUq0Vs
CbGhvaond1U71LiDQqAwXzjPSgPCIFi1swCS8vgUYZNtbUPX1ecHgFLW7yzj38d5WCriQ4DzoqWz
CN/GeXMDGBR5uvahx7tKvzHGwH3hZsbPVRKN2YL+FaifLTW0wf+aTlalY3U5BelFY+eed9N3Ja02
JLUb/MHox9fn2BEG2KLOpb78LsBhur3erF2WLPjmgDY4u5f9ejpGIHypHWoV8Uk/fIoqy+6hVOvm
Qxp6XwZHt+5qimV7eoefqaxY579eDG+0SOQKdR3qB+xZpAQ+zfHXl++q2ggqUKUPc2z0oNDthMKz
+IolaH4bTWRAE4iJM7NxIRUa1XBu05w515MigkMRxr/LFt4vCtdDciSwTVfXKcC/2cltsEG0IZv2
AX8pu0k3flwO1E0mG6OIXYu1V10gU+V22QvB9pLsXaMm7LNhOurHiSmVAyLG5DnoiLDG2bttcqqe
m4outHPd20z632z2709axg2kvSz76BghvLlfrBXICZqsekjn1HhJJJLiGo6kg61nFmNf+NkFo9ah
O9BM6UsUloX/m3rI+2XtsSUwbTwPbYV385xMEc7ZFOUPVDuGA0cOjna1IxCfyKv2pi0okP96wrx/
Q54LeJANVCrYWG/fEF441aAPFRcsBwMlB+jkL2kcVeI+4fBpfxNI/IfHk4hC6lvEEoi/vtmr3bB2
EB8PsgfaO9U+LaDPt4S9hwID2LMQpuHZ3386h7kX8GQYeL+t4CFlSzm/mtMH+rXLp750s+AD4M9A
v6gC0tGXv3015LhJj+UWhRrQm8N6LCH4J8GUPMAlNC5TN67oXeJZ2UovpP53e+J/GEu2fjOguEpw
+M4lo2sxJkWkNXlI0jH2dkCKwu52sSb8VYyKJ98OPcCJ31h+/odQ2Qc5RJE4ICTR30UAFoxL3wmL
4L6NnMI5T8Ki/AE/wXcOdFcb/RbVBHf8iFpf/FT3jT5urWjRvD3AI5FfZYHvVDepbxT6sbd6Oqa/
fgH/8e4sogCZWvPf23AJCGWA9YHn3bvAflx6LYBRbbjZjj3C9Cmt+bbWimE5tCI2CAlsu7KuZki6
45lZ9vVdHxZddiUcQsr84Iem9psJ8v6V+Vh3BCgey6oFMdTrzbnOOBumJvLvQyqp1j5HGrU4Hwrh
RJ+RlgvaI/2f7tuvx+TtAkdrmwwfpWVqbDKGf3NN4DaWlrht/FAYSQOMQzcH8lV/wPw2nLXs7u9e
jSeU9urSVt16J8IlUCTU4tH075tCJMUlAkjC/zqi5LjsPTMrKNn9+npvo3PH5HpUEHXdwLrlXeYG
PArQa8/1KrfunwALjAeNjczbeUDKcNm0jLDd5BgtW7tfX/jtq5QXZkgxWeZYQx5d/v4vOQpmppQq
F8O75yyqPrVZYveXhQGrLogM95ve15r4zRXfpUXyklQUdXIQdk+e9vUloWdDOFgS7x5aj5dcuoM/
uIg/ej5qYnALvsxFP9Q3BR6HT3pfFMExjnPnzzkuaPv9+uHfHpPciSnNDnh8SETvRt3x59hssSm4
96vBOCxaMB3a/8feeSxJjmRZ9lfmB9ACKPgWMBhxbuYsIjaQYAkoqIKTr+9j2TU9Febe4R0tJdKb
kVpUVmZlwAAoVB+571yKXmeFhXG0FNCcjLnGEDSDtfv9ld97CILNjiOa1fw2EEyBDpRwON1T7c/9
tulFe18aCTCnzGEgMU4O8YL5d8By2FnAwTbFPE8f5Kfv3D0Z17lgwKLjo7p49QywFWuDIOjUZXb3
VeiVuG3W/JOLQdy2KbV7gw2ElZf/aSYK1Q50G1oGzrOzB8TF8YIAgElBxodPGCH4yRZrGDVHQHvT
McVhVFO3cd/MKjBsoVV/vPa49rkDRydXcOuXZV8CaHINZdonvi0zLRC4Dd1L0XULQ9LLkKst35vl
IG5JzC90YtIuC9beUDRJGUm0PmoevNnToNlRRmUb9WmSEPT++iWUReJbg5EZJ9cZ40gOqntq6zS5
Gjur/fH7BffOpej+OKx3dm73TbkywcepXqiFnxKn7QSi1ARRdXGeqvmSTlXTvPz+cm+2lXMZir7P
eXOhSHpZicpcd7VUX+qnlYHU5clupmnY9vMaS4YIJob2Ao3kLv7ge36zi9J3O9daeEV8WRSZfn2e
DUUrgsRyORHeiOTIEImYQloNdf2olc18OxPGT9Ey6fHwQb7y5lviytwvaQvpEg4T53/+T9to1Yul
MtxyPqHXbwFIoO5d7f3oNjCOcrzp502nTQ0mxWVRVft8tc3mo6X9ziM/7yXUWLg5TuWLzzle1ThJ
JKsnGM/FjVHI4X4p0qJ5ndCyrHfYdsqfnTbMEswI3HIcKqR6oNQMoCbvM6cLzsiOvxD5pdmmSXuv
O2oNIwPXLfHZ9e9XxzuL0SExAK5JQvU2uYuHvpiSqtFPDqLXcu/nWdUEiYku/rC4XuFEf3o50zxH
UVwPK8I3T8ZrpHtu/A8nIr7UCDqRFFYATSHTN9hqo6D748ud7SBQV1Hwos508SIoFUtA2sN4apxl
7PcWsyOQBy2lW/tWNmb+wcM8bxL/nKhjoYMTJ+ky25l7Ltv8uvQQBTezptnDqbMrzYkwyHSwxAY9
vv39bb1d4gREBGAIYCAc4Xzx63XofGNzu1isrw7XkB2TQR2YK71qb8o6cb7MhWFmewhzKt1TVpo+
MkL7e8u4vE8L/YVu2cgR2VR+vX7bV0mNuqg7gfvWzescbWAWoubVQCChBfU2zB7iW2r6HeyYBXCz
u3VTaZvIhpjiQYQ0aTK0qsYfI9BZDXywZWnhrjV+1bwutl/1O3pJnbGlz5mKqwpzrppg2yrtD6oJ
b1c/owEG2yPtYpMs6+JGQMgkWRPDPMAuyv5iZ8L9Uakx+at1vTH74Ix/G2ec667nDFWQp9Kuu7jY
sDrSkSLpT3OnyfXWTQ2bkk5iVNPeaAVK79TDiG3T+G2VhbWRKVoCKXzHK6Zwlfpgj3q7P/NjmK62
HGwqSS4vltCAAYJOQtadsnrIt4lptJ+YSnIicth4U0xtew0Jz/jgc3y7LwLv4ns8l7LYIC8PBQqK
sQPtsDsxg+/1wYpxsoLg5Cb3GqPTt2DK/fiDp/7eJ0kvlzIqJQmdCOvXpWqVCEbrdG4JqrW2j/K0
qLyd1dSL+OBC7ywlzDVxBKFr/ndh/9cLJYtUnWfUfBNrOb9Iivkh+DOKnVA0PsoU3l4LFQ/hOnn6
uaR0WRh2pKqssvPVCa6EQ6WS00IGhemOFQFrbz/+frd552qEpSQlHA9nacX5Ef/TgZr19tjZjlGd
VFUvcSBbs0R8sM59fOND/bM/2NzevZyLNJ1g2KPyeLFnL7PBdDrF/tPfc60FEE0U1AEuUaUIU5i4
1kcd/7efAlm94dA9189h0mU7ZsHNsEsZ6DohnaUQjFiztnbt6PXn/ihTLCimRjoFW82yy/KDE+PC
HdRCkgVcmrBTkPi8s5VTeeDQmNr8VDFaAEvXgiG6G4RSSYOjA17F9CoXBhYQjC9DJNvefGSWxLR2
NGCtrAgZXGvT8YPv9J1XQEeGyQW0lqT6l6E5cwX6gNdafrKEItdhBtTPgO3lGj2pRZtgCn/w8bzd
GOj9cJpQxDDf+Up7p9OlbWXZSaCr3qLVizPGFbAJMgyouIAz3Up+sMzeeeseWlJ8cXFiRI50sRtn
9PTNVIuHk5JKbdmF944W59vBxYwOdXCzhVSUflRMeuc+CX5Y1+dghC/4Ym1j8uFOheX0p8R1W8iJ
ZRNBvzN2SFOhzI1zfq9pbaGd1eXpHtfm+QomdBEU4/w57tbx2hxm83Z0EDaDGm7CVmKf9OevghfP
XknB+CwquXgutTJMilpjf/J72BrIGHxUzau4mhw1MZiwOh+Ud/6uMfwaTCBt+jtHMM81/cugyaKE
ijPX1J3iqWJcK2v2HB2Alut0dI72JPKgTXIBkQQq2UZZTbJLB5F/sb3ednf1mrcvZZypNHD0woRx
rav1CkWnlBtfxkvEv78wD5Fbr24KYicEL5zdgtDLH8Sk+0mgxePyx0EFJFALCRo9XjKfy/2Eod+K
jINy99AOlrczW2YjkaPnTMvNk6ad/nR3pjNEwkvJ1kRjfSl+QenTL0xVVSd+CbUwBb6F3XIGYkA3
V9c/SK7e7gykNWSuhDKEfW/sCtFWlDPuNhXJZJqjekvy+ibV+Q82SvmY/vE+RAuWkIkaowcX/lK5
in+KjyEnMr20HGNKMLFfDQNVANgMQdJVRvaRTuBNtIA/O04DHpkjijT6Xb8edSV6BwAFunYsOjH7
G8S07oCeKCe8/f1be7MRcCGKtRQZz9uPcZmkzj5yfhit2nFc++UBzX9BopBk92WpLJrx3vRR9Pnu
BRk5ZpflM3vTS04ybHSs1omPsnYnIxz7buqjeJVSRhrb6xJigwr5/fd3+Wa1ULQ1QPXSUkZp8ibI
NGxgNyBJtWPGV7L1+nh9tK1B+7Fyarkf7Ftv9nOuxSuzfPqjqI4vX92aMpdgV4V29BfhN5tVNY2x
X7zBiSOwdQwdDsR81Q4FA9OOv7/Nd57tWeODAI7fgHrwYsvEHrNnrKiLjygEBoDYTbwFTldctSpJ
D6MxfTQDcf7zftkxEexwXJLT0jahriN+XaWm3iJ98MDVug0Mj6hk3qPdJHhO5bvS1dzHEvq1Hawm
EMRjjRXKH79VbB0JWZAPGRQ8L+NBNdKJGNbYP2aYXrmA7bWpCBxtHLe0jZri2+8f7ts1RPRO+9JG
k3kO4S8eLpRVJlES3T+mRNjGFpspAUZJL+fHHtJU8dEJfX52F88W+QOfPo1yPs7LZ+sA/PVxZHeP
jXHmuMuCqeIALnGcRZluds53MKquiCQKNWDaIDkrcYjnuqvgFFMv3KhEaBg0tKhpPggV33kQ53SN
9JGamv8m6G8BAbiy9hy6je0cLXjj7lw7SXeFO7jRHz9z0iXhsBda72SqYtASueSLe6QNkuvhQlGB
oeoMNtG0pUovkR7++QUJwakoIDF4u6RMYwJQBAjkCPzFSAIs3XG+8N1lvEL+4j///mJvP1dcomk2
eLRTqdhcVk+sWF/OinXnWFpi2IGd8kNJXLUvp97cL4mjf/Di3u5MXI8WJqkhXXiaG79+rkaFsYkc
S+eIu6MWAgoz9obQsx+pMmqwfL0ftmld/g9uklYqUSZH5zuDJown0qsFTjnlkzHeJUuZf2tNrX7G
71y786rZdT5oxL93m4gaKTJTTqCccrEr9dNY57xG+1imZ8Ic34qW387gvJaQGmnr3tt6aulBpvXg
/P/8jZKooOWhyG3Ru/71CVdt1eSGVPbRSNAHwx+b5LI30EPLja7m9aZO1ZT/aSREs8Aha6PQR/Lm
XprCmGDTbAsu27HArTUacSndsn3Nd/Uqzf/BAuIqHNyo5ECiXmyBBSYMa9Ha9tH2pNzBoqb53WqI
BQfLqDZaNdGJhT67/f1Dtd/uhBQXCWItPsy3VvWFc56hsVv72Oq2fIS4vGCshRV6GoHj+cih+L1v
knSMwIsBGQQ+F+WoCu7C0ju5fRzwAdu6mABt19meX1VfxSFsy49ujhf15va4sfMGTxOGBsll/sds
5UpFsrePjGAXDgDHqftEobAXuEzhxBYB5NHSazvJuuau67VKHpPYzZcNgZ195mvpPHpPd8tpm1VY
7kbYdeTpq5EhDtmXeeMlR9nlOiOuWZINWwfR8RDUUvkqsFudLqtIphjldwYzft1r/SB64HLAjwOY
1NAmPS/1C4Kyjk9Jtq2T3UlJKzrCicqzI7KkSuwWd2jTT/kqWisYBHrrNOxAYeBDEcde6+2SBQOG
EtD9gDgBuzhrFkfhzqO9MdfKarclRAD7R2WsWjWj/vbi/DDQDRRbp8OQ74fbFOOTmTiNg12RO6Tm
K20zZu43lkdq+K1sACB7UZxa7rpCvkS7jmy8oiuC2mqSeBAXE1WTbELZEuBQElv3Rq/pgxEaJUYi
T3oLuLY6T+s6J6odxRgMuqrUjjPOJOXPzkIeHCCegL53zOMMCOr1oarumYM1tp3m9DeO1w2fOSqX
SMh2DQy5st0V5vRX29r+QzWhFwjgvioYY1hsc6D0fS+eZa+DAUDM0Ty2OBT8VNXaxncWzCfQiHPp
MZflxJXYZ3mbDwFD0/W0xRFz0fatnZ+zLOewDlUpP5XEPPOrPg5r/4JCvvyCj0Lv4wflMu+usAqx
AgrXRsLHqro0BAI6b7OsNb7AbJV22FqylAEQXU0GQFfshvqvNG+RSBryVJYGglMp3AdR+vN+dKaW
mFZMSrFIzbjZ9Kslj1lFaQYj2gTGwyDLca/QLHsYD2nzvh2xP7ptgZ7NeGjWtPnKVg1LgPmTMs5q
44zAxS7xXVhIy3M4kFXNSEQyjHXkc2GPv3aKOCyLsjoomm3yvnGb1bwfLMl3aSRueiMNHAdAEK9x
FgC3xkTY7errCQbF02Dg9rGvY4adf4xIeuU3a1BjfyVq3y6jqYXBHegJzeHrbohj+4p2N4NWmjva
4dxla/HksogxNLGydamCGb6zulkw6YLGU5ewpEBzDvlNP9h1PAaQL0e5rwkK4+1UZkYbVAkI8KiR
dd/dZOhzeHcie5pJ7V793EpMLGjWQnEYw+TMwXVPoYR00TCSULVT1KbVjIfPAHEBnwR7gBGYKqYY
zgI7K5T4Rpf0pdvY2Xh1Gj+Cm87DCQ5PEhSrcWIfH5i5TvLBCMSYld+7dcLEqZ/ncY0yx4vv3MUo
QKWMZRckujcy8A8waA566FM49iT1GgeAB9NXHDDrJ4bOS3lD62pttkBNGSuHYzusmzkZM2MXN065
HOeWOlfYJs1YH5FPcQY7jXtDu9yqQk9k7C1zncWPU0adH68On1H1WCmBdZe5xNdFY7RV5LSOsSvT
dOh2GFv4WsTVszFs67H5bPVWU235I5Zqq/lxHEeCTa8Jnaafrs/7JZrsRpU3BfMMkApG/nubjYlz
GP3BzoIcb4ftOI79sdN9WV3j8ajhei3WISM2UNWw9215zRzifIhLOcWRsyzJl6IvwZO7o+/Vx2rg
l++bJmkf3blTP1WHp9CRPKiMN0OnI1o21ToVGyhCFjL+1lnVwzolI2s/EUl3MjBjBUIB96DcMDVW
daGbD47Y+x1dj59+USpwIs6MVbeOnRuBvbtqOMvWzlA/z5OgSxW0fTwC0kwTY2SWBuKECJCzpNNO
d7BLxlOIJEEPJcVL1NE0bZkpZuTc8/YCxHURZebcL2KH0es6/4jRYpRhmdWyAH8wDdN2wmTZw6Da
iMWGGYDqx+8P87fn67nTgwcZQiokxJdpTaVPdAemxDp6Sqib1meWEVRkpW8T22Skaa6rD8IjlJAX
ByyBPNMWqBaxbWR+8bL3ylBQmYD5yx6wN1BRU6z1Ua3JrEKxanF8iAfnL5dk6VYhptcP4zQXX1O9
x1LEzhN1V2G3u+FPbp+ZPajwEZmlt01zX2seTUF9ZvGMdJdmZC8coTE7fGoOnzGVFU9p4iGXLKzy
thQVxWPckfwvjaSbiHjI+IF2Td1Mw2JhMtjHQ2iPsobkiuMMuE8zdzZabKyvwAudnRGfjW+SIleb
rlfdlYG3FjOAMxkh7YT1L7/XnE1f94JzNxv9L5PBPDkUJthdh9FmXBLJ2GjeqzpbH7R1GJ+tPjU9
6vlTou1Li4pq5AzG9Oyq1l/DrqHVEy6Aq0iA6HuyRHuj2eezCQsqb2L5NCPE3Lh1W9wwVdv6SZi2
ogkwVNKh9qhRoq8Xpocfe9IYG0dn1A+AgyOyyGrd4krrCEznbtFVpBCefM01XWk7VP9ruxs1MP5B
ZenreqgxU7ryZ8rYTD0yYhEIzHzvCob4i7OzUmMGcvKQOopBt25at7aMgJm+b8mg+Q0jdUhY9kCs
iEhaYz50uisZMjNFBhK8wK+DCN3eue2y3I9p1T4kfts+IOXQbzhFs2tybrsMKEqT184Wm0C4YtiN
vD11n8Gh/PQTrTPOlWD7usYSYjtSC/JDAUBwUzfSwT3F8+/U6pvY2gvVPCEQcQOG3voHBfzoQMjS
iluA/tUXbbXrY0cqcTIqp4vyqqpc7PbKwWJgYbHDcljH5BbWMQwkxYsNPW2oxy2kbP0rckXG9Smy
nMa5MnbkB0mwxqN/1iYOTgSkxTjZRqp2zrR2hwJ7F/hQBfyTwMfjog9np/V+5FP3FXy9/qxN3XOe
rsNtb9G/0zkNfxhpp7MFZe2uiB2xBV+SnlJ7gEc09dp0M9tFUYZiKuo1oNccf1L92SRI9ypm77ia
FmlzWlkhFJDqNlFd/J2JRS+CUz7dLtO8YKQ5DPeF3nxzpinZN2Yc+0EJ0WUJCNBncQWqswl6bG5Y
V+hCmv3sAkrzCWspbRS2v9U1PEVxuPODwZk0CM6J0e0t0IIvPUnnQTg9KFpzqfoDBiFwQmKmCiNS
Rz5kkSgvWhXEslB1Dmd0rImXjMYATMKKiQ/LSIpoxvwHBDmMUXBUMn3sxq4+imYeD7We2BEkpqkI
4batxm1v1+1u8GeHL6Ua7mWTuUGhL/ddPoorqglQrKtGJkHKINfWMMt269h4Hs5pXW1io57wYfeL
HVKm9RbW7sJV8QRzi9oq8WWxjGcNSUfAGMqZCtHgBmVCDXyOneFWGIa3Lf26+lwCD9KJZmxO0Yn5
YZhtXlIdRkZH040GLe1q4qVoIZVDe4txVnc3eTjawsH1m0f4CesPvezM16W04kClYxsfMmyCDnYG
wjyM1+y5y4trrOiyV7MqxMHD6vDBrqs7zWgwvTTnNHWYay3tT35mWjeGy2jBhPcIFSuReN/Z++PP
SbOY14pJievMJd5cMSRC/kXVbQeT3X6Uq1c+OYXsv2TxdDfr3nQjpim/doZ0eUIFLuHyWh2KDqFM
lgoTHs/9WGkiEjWQ/WxezmIyVIw3pjVNwDLJmLedJJIS9ZRvwKR5x6VwwDxao/01aTAoCJdqWDGY
qsHiYZVBVDPoqfaSxt3igsIwURQLrfvEbLi/wXmOKZuus2mAxnZOSGJ0u7GzRm/LnLaccJYTNu92
Wr/3ceVu8X9sbkq/1LqAWdBKbJQ0suk6jxcXH6983Upbc09WY9tE5V4zbAcxLycn9bSwXPlp/dAT
Xs0p1m9F4fpz1MqxOjiSvxXk5/ZnkIvWf+qS+WtSMSoHHDTBCbusamBjMGK9Q4VdwT3xRNPdWIuJ
hbxm+a+TgQlEwDcEbFqNbfaUQfx8ds0EOzNnWL1bN2m8H0MRa3stKV81HCvqyMHMCEBTumh3My+W
n1JqV6Aauz5tX6uOVEwrDvi7phnayDC1ViEnqI54tSzD/w57UaX4mu35CtRnzRrn038AGJPK7M1Q
a4z51pmdfMBG2gLpSHtfJ8PCMxWj81KFHUJYRpQZUzO37Zz8K8CMKcNA7pUmRVpHVomLwBMlXk1s
RgTgakvixsb7L4Iz2grhPd03dykEW+Pa/ovgjLVpT1jVjFrR19cL5mg6cLD3QY0oDBdoZZmWG/8d
RqON3CnfAqqTzZU/YrxBPKERod7pZlE1XylXKPw57d5rqtvSt7um2FQZw9NBC/fKClScN11ojHEm
73ChdkczHIe6zH5Qb3HgmtX2WHA2OoYa2mBRWKwz4yfc8dCNZdlftVW7qA3hERPOAWX1tgiZLFBx
WJEa0vglGGoFE5660z0BKk3dQFO1fEgHWj1fC7TykrajqBoSNlPgDGiYPZkxQ1x2BHu0MAMdsdGy
Vz3OB9syc2f9xe0mUe7NSQgsPvnEuiag0OdqUe9jhB5ie6RPOxIfT6PutYr4lgNxUC+eyGOy99ZS
T1hp+fdzpfThlk18Mk61REuFRU5LShmhuTLTW/CyVCoWcPsdyLekgLeTYyPg4KXoU68Lzcle/auB
RQnBOe8ssTEoEpR7/JzneWdlnZ6+6D7aMOo9nUR60fgFbIfVz/C6Yvi1/uyvwDMZAyQbm24Nt+vU
tW3iZvwy+0o0oQ3KFMPRdOSwxVjUxi4W3yZ/QwILPJzDzXWflxwvYjZfo7NxHKBkEthjNixplHWp
22TRZHWawCa1s2iEEMqsddQ7qcyuzQVbpEg0pVWdqeTtemdmda39EC4GK9dN5+ntHRw0Z/jaD9Pk
3WQWBnvbLD7PXBcmJggbAGszs5VePTWf9bjDFZo+fmI/qFbYbuRjhKIOGPbZ3Q02pAoDWVZg8gST
sHO+5fbUpDep33nN9ZBPThkUeLBN3+12rZMrFOVFtZ0HbbU+1U1mvlAFcmVYKj0HrwqAw9m1Dcy0
E76Ecr6hMGRaBw86KoYgEAW1oHe8qiqDCcQgF/a9xgJMgtvjC7N1GNYKP2mtK8vn3dH+RkFifPWm
qXtlNLZsw2zk10aDkXJYB5yu0gpnhW/yAyI/U2Eg6C3r1yJJCmxBcb9wP8devs4vRRM3z26iDRNq
H0z90o3nxEV+J4uWEY2gadcKlzpfs4ZP0tcH5/PEfHR+FSNtHQ5xavrprmeKGmPnDNSbFbl+jku8
zbNrtiZjG8ZLPQx52gRwMwea5nZDIoP7KcKMbIPkfvrOQGTJfJfuZY7/2Rgxy3wYFrsbFW6H9YQs
UCZOv8/aFKBEILgXM1Ju5aUHibXVsGtXM00+4dnZWlGXG8kaabj7aiNTQY2rfXOYgHTOnkYjOYtF
iv69qrC4DCa8Mqw9wxdD/0TAnS17UCXF+FO0rZK7gqjPZAE6ORFoCxCmexQTgr7DGvP53q66W/1s
VzyAzGBqFTbzYV6WDbuVj3c0Euq+45RZMZrRyFsAo+4MxfhKoEGTbuwtZahVvlIWkv5Vo4CCRpWu
DesnB4F89r20OjvZZ2XVm9AnAWM8dsJYjK9xDZUVT9s++9uAlQretmE4+oUNny1ALFZOSUcubXnA
mTzzwF4StRoUjpT4hiOUnu4TbcRycBwA3gYoOjx1nw1CfqZxwcpkm4wpNtlLT/g8q3UQMHc1I9lO
6byC4x4Hb7oWDHYZn9bCHd3IwoGheNBKnLnZ7jUPICbNy3KrOxABDzN8RblLzLpC09lPeg8wP+nt
7RQnHoXKylRCHiT58Y1XAVW86sYZ/CUxKETVgK9/5CbPhHfStgyM2E3cC2bNAjXao7rHw8EZrqqF
xjveGJ7XEX6sC1c1YSNZB3PxKu3BH2SvHbSSJOKFxmHf7xF7TF2UelX/UwA3X/FjZK/erDBzy9D0
a/A/9I6senoeXEwYbyUbmhaZTum0uylxqMKd50YYvxyLug16XU1dCCBcZbtFgUaUQa0tPRlQ23fO
QZR2Kva1l3slyV2rTZt5hO5yP6jJn3cZhnb9V/q5i3M3x9TebmOx2m7IxF6HE6RpShHZS50OhwKA
5hA6/rI8jX2VW9uGHQFP74K+2sZbvDbeGLlm4Q2NVFC/F2Ia1qjx3cS4YWAxAyjqyUb53/nQYVWy
F/X9HYT60dxWEkjHvuzT5PtKTc0JhzRp+hsDP6k5WEym3J5tt3chRs50TRLY2CnVFL1XFsHrQvv/
cwW0xnhBV22R6gx4NOwytyaKbyo9Tfe5XCDXlKMdm3t9bRs3wt9zshyyYjYpDpOhVA/D4JC2hGRL
5//tglSxaxLNDRJPJbD5juMyZPUaXTQyOu3sqQmb6Smj76aRQ4nO2mkJ6GrCAXehgiYTj7kLQU/O
EBQegXMHop6b/tZRzYvr0MRYVqs7SsD4eOspzMDHQwbQpn8SMsmO0LTt9ASHntwqKBnpjr84JfjQ
HY2MZCGNpZK200u9GVecGuqM2qOUtb8DHtL027JeJNgYP4v9O2RRMTZR/YRfLMCxNI86JmHmOdBy
81zK0XML8XXjsotHsocR81eN+VCXnyiP+eoTQffilJtesyc+pCuD8nLihhNGyIV8rHI3tVn5k8GR
/4/m4v9nT37AnkTy69K8/a/hk3c/p/8DzLvqJvk9/2fy5D/+zX+gJx3z31wHNSlMLDigFv3Z/0RP
OpAnmd8+T5QCujjjNf4TPQlfkg4CjvYmumrU77b5/9CT1r/BTKFC8X//ifEn6MlfW+XnoTt4DC4T
60SZtAsv9dsxiQdGDV63b/rCvqcqXX2yGAQycK3t4itOkfl5drX6A1LYrzXg81WpxxJ2c0WknW9G
hUtvbEcLz949DOC/zLKb0FCacmvkevosyjj9o6Y82zhqahSuSEhcJnAYsvi1Kc9scGMUDObvC7un
pwY/Od8TtGY3i2z0q7gvhg9q3JdPFS08I3WMo3BFkAuXw6xCZvFQtjFezMRc0TIU3aNxLslbOX8z
AAjO+KrRiN0/rb+H/5AG/dcY0fNtugKV9DmhoZvMX/x6myrDEBsEAaU5ffI2qybLsBpGufOnwnvq
Gk7b31+Pxv8vhXXmVZBL4Brlcrc4yIESvbgitYOVBZbtZzRfn4tiVi90I9R9P8Q2pu9eThrt6ONV
MnTZyVyHIRqzQm0RlS17Sx8erMIHIFyzP+aFlnFuFkqETSutK1JL40nzphxTTNx+2k1qpNZVkYNm
p/lhPnSoBrWNQJ27YT4FA7Q0bfybVKw15xJ/M8uFVgZ4Saj7LjHtvem1xUuRNvZ10vH3sLaG72cP
mn5rA0+ITK8UT3qjUWCxUn8nS+HD6Fe1eKLKQZCta+ldmSTLQ+Xw42o/BgVOgRbPPpq+DDJq9Weh
LfXm3HW6b2kLbR14mqRp0nCPPEOB2i/uNu3Imzc7zTxIeU73Rn5zLev5IcZTfrfmVvzFd2Bx61D3
r0afmzEybIsDg+kxsPITt2RUPUvI76f4NjZ6a4sjkHXgJJO7LPVrPSg9Gn3h7BcgZOclqR9XaDfM
zTIB+deaEKmEWSymbeX23oZzuSrDWV8cXDzn3N9Z+Gc/VDXrd1dZffFCImQspPmGeC2kNOpnXSh3
jXLP5TcwLaPa22LE5X1D2bV+TOLzP1zkxOty4O18ntxYp1IXY6kYjXNBo63D3/NYLiysYG0K78jh
6x1NPSnmLd1snnkxlws8Bbt5On/HR6reqgxbzXGeWvuc09t+2j8jfFwxjuqN6xE0z7ZzF4u2XCb7
CBa5YW26mt55oDhaSWwnmywTt75jnLvOXzYM1qeJHuW94Wv1CcFMTLSaysee3rMRcI8TKocGqWY5
rdadUpkdUDrhHAdR0lDurcoXTFgdPdRmkHRBao7duPO6uvhJWksPpMKvIqztrFYbBllK/VqCkqxC
pZNt7gwJ50wXCVV4iE3tp4wi1INbiRr0HINo/M6iD2M6yD2TabP3gl4rNa6MKaOOdiZvbuZhSL6i
99F+YMcjomnwnRch9BJdSF09ogiNWfQ+ZEMQPCuhxmjjHUNBjj/bJMH8oRuj9UlvrTnylfSOAr79
Y2Lz5lkwIoyzTN0zF0CGh/TvaV5xHNji7jclkdeQg28nbCsfCTM0f9/5BY+mrll9XlnOD80EfCJw
FM6CoCe4rU5i7dJwNNLK1zL/BilhehcPtbpvSgwriYtgfweUSu19z/TH1WKOfD+2pN6pZ/atQbU0
GvXJv2fPm7LQ98ruR+OigKAKmT+WdvGXbL3+BhO9+sai4flltYG4beEz2ddklgpwu+seza7PjSs9
Pf+MUhnU581OWUGy6Cw2apX+DkuKOYkmV9Fz/nu7FLKSd4XXzw++Ocgd9iZ08iT/z1LnwwWEZ+/V
yCtzrbkANr5gUkCXwObbm/OFld5mcZEc+Hebo2VmUgUxgqlrXjVfs9F4x7NnMQXXMjGupoJRiiDJ
z7+OGr25p58i2miQgzDPU8HlDVPiwx5DcjOoMAa5Z94g/oJXavUoPSw0Ql3ZHqeY4hM07CJRYe+l
S9Sa7CvJKkmmWr2iQic6BJSYhX7pbGTlQeas/hfstOpHx3GXYW93C96XHgMfkbHS7QzE7Nh3JVOw
h6KldR5Pjf5t7dr2VfSCeB3sBX4Nds9bJBVdjA1TE9br1OfuPm467tga9e8+kKGCb9P1bvS8bD6z
W5pAKeF9XmdeX29gf6cZO47e0VmP6ePtSJbVvOnVMj9Ybpcx8sGayMKxWuTOBRKowlKcixqdxrKK
7KKK5whWlr23cUDqth7+aohK+rGwNpVcWDPxMLl5mGCpWIS+tfLDcMvgtVpz/xkDbfWo2b63y61C
sva7tLwzy4WOeU0EX84oqgILGwUzNFOywvTfmTuz5biRLE2/SlnfIw37MtZdF4HYIxhcxEXkDUwS
KTj2xbE48PTzIVJtlVLVlGZu2uYmLWUkYwEc7uf8518Gqd3OaOuecojboI41azrL+XYK9TQpDJCB
Tl7d8CNB7VOtModI4JVLmvdpFihkcI4hg4yognJMIGRj7LYyiNU8106RHH2yXOlsq9u2HOqTO1Zg
NkULIX6Iu82Uj8Fhum7rvRRzyHkebEn77Qm3bar3CBrl3krn/gmjyWHr12W6TSYp16oZnWNUVERJ
wdxYYV0k6XewOASbT7dGHqd7E2B7jXeXfywSXwPUqPsnhhvpfqb/ZXhCcouRjB4iO0bHKy/vmLAW
LmmEWmtU732EV2Qper6Xx4+pqLqjhsj4RYuH/jBgVrEFhpu3XhCl5yJvvbcUJuZm9h1igAhGL8LB
wQ3AceUcmoS47KDTjzjaWBHszNGJojc/k9lrnA3GChPgdFsYxdus6/MDTB3/mE2m+6k2pThWpMaE
/mgx9W09kgGMnnQ3hnIVernoJq9yg5U6ePJWb/HZ3mnoDIqDmMziBReAYjxFUYm/YEWEiX2De7mV
bDjNeSZL8MAkJD+hVeugKBI9jIiqqGHYBfqhrvPyGGBasXcDwQpofYiPrDXb20IUEre5k+nOCqnQ
uK4gYfcbM1b9R9CYHAcug+zjnBrq7M6Dv/aVZt9eF1Mw1KXGHU/JTkla09xAgM/WXkrCh9+PGd46
gLurkoQ66lisJM/QlKozVJDkRDRDAsoTO/qhgR2TbXVufXLs27o9xW1u72YNvzRF2V3uyZfFPxaz
PLhoFXjBOcIN7MhpHxyY6qdPGWdQvMrG3GVQYnUnLH1EvAfCETdZNh8cvfPD1hU2s9m4FDdGpE0H
yGD9DommfbIGfjwlU1yvOm1wzlM+O+deNHCYsm5kYN17Rcjkzo1W7dgON8rQ51AY9jcUlxTJkb8H
W3weZZVuCRNL12Cc9Qn+bkMss/8mRPGtEGRw2RZD7pMkiMhemFM2FafwNgzvUx7EkYMUViyGpg2z
ZOGzPqHy2Kcl4YbUkSRZDaCsnPOkQdpy4zCJWTLglOYnu5HAqhOGzHN7OyjFTJ7MVZxzGaOMNWVV
xiYyrON4uBNOTdwdSkIyjIneUp/61tF3QPzG2aHDCQfa82IDuqmefIu0EwKSC4J7tOaiSj97KbXp
o0rHJa3EreE9UgiQriELyQABUBIMNe/Evjd1TG2prY4ZtD4TXCRzvoBQkm6vJc46UJVzA4uNBVRY
Ay+i424YUWzDVQONg0yV5edhHJx9no/ZSqsCf4PHiP0aM2lIhvZIiRGfpeHlp9i2xmNP5miNhBeX
RZIBqi9ZbbtH5Qfd62gI81KlPtZTnHP9a+F01ZaI3PQejha5dUabW8eOkO9jW1n2BmJKu2wcrvcB
pUVQhQlzuIkZeB7ghH10DvWgTWjWK2A5VIoxMYP7qGp1c9PYmvowGqRDa3KeJSyBaQzGeisEWbjU
lgUDmJVdjECMkox6ICI+dxblxlpazaWuUGgSf9U9VOTUb+bJj9Wakg7IiMf2YTltB5ioRfQ+wcwI
fVHHX/MODYuReNVHBTVnWxJSfcbeWTCfNjuG5rOfbHyrLx5ru3VWCsjti0/S5MaJdFITY72RTDJc
c14xfq8+NRaobqoMSCZJ1DLSn0T0XlpDz+B+TMCgLXmwo87bwvYKu2lZWe6MgbqKygjCILjgFpPh
hjuTzCEevXA/sVdYy3RxrLTc5lFbTAetAKV1jf1RV3j2Tg3mAJ/J3EYt3W3uzyqM9PFjilVF8lMl
ThOZSyfUoLduqZEk5BbfgKLLUPMMgPe8t84GD/qm9edEhUqzfOYXabGOx9JeJ56yqesJiLKaMS5W
hJAz3Eps4xzMsFpAF9+wZIpO9dQTVlABShJfRuiRNsOhSto6/+zrTfyVcTDXiSCsYF/bQ/tYCjJr
QA4dcSEq2AzjPNbvNSXRvwbafNDj1t6NlFd7B5z6jvTbvWb2+ocHhe+BRQ3fikx35z6KTOvoufm0
IVrOOY0drVRQl8mu9gfzxe7bhUZrBYVYBeTbFStrRtK6JltMH3C7Ns2XBrltseonSgNfT+zDIPr6
Fn1r/TokdHJam8YlcV5XVlMKh6QCbHhM1ETXqVm9GdZj5a/xw6u3UxlQXkmYy9u5ote0IKmfrEz4
92kHh7rqm+xTZXkJ5rpuUWJN7pEdl1ycJvcOBM791v0FAOkvEqJrfw6pPMCX/crZ/1X/2Vh+TjZK
nu5TkMeXhoDgl6H1KZgGT/9a0wot9zIlmSBvYky0Zd+SO8L1u5SWkx3R4Quo0P6oDu2UVw//Hj34
V+ABHiU6nCSYeQAzv2gJ2lmlsuuyZN9FCVuBKGIXHgzWHcXKDNLvXm3I91LRfVscJRt9Su2DMpne
9X1Tb3NLGWI9Mre/SGk4ewM2yFta2ZSkgVnmz9DFmBS6vXU0i9w+mGVgHVFr2kctju2jYKmVq87C
oRSoRN2NPol3IjKL79di8/pe3sAvunO69EYjdzWJgWjXsa/oFlKlBWyliUaNmNWudbje4ypvqrVy
J2dPXqP3G13SL5DZArUsBiGYVSCBAE785WoVOkW3RnW/x31Q3WH9yxhT0IqAsWCmb/Mlf4PuLC/4
D/nZde0ATNB0Y0SG6O1XbMdtrZQoKTfZRxnX148mEjYbFOqUSWzFhh8XIDUoQNbCU95vBDz/4ssi
RTWBBxl4g44s6/ovPg8adhV9tZx91/tfxkZLJ27lt7Q01UJm+eE+9z8Gcv9/mJ0EvdLG4Prf4NfV
8OVvn75V3c+5ST/+7gd67QR/uKgdUaahwMdkxw3+gV67f9gLMn2NcvEWVe0/0GvvD3NBwQOEbZiu
Xi3M/js4yfrDBmi2F73mVSRl/r+g17+sURBPYnUg5GFshQr8n0xzoGzN8DdtY5cbqpYrPShZnzY2
K6drMd2MwQKeDan1dflQv4Fb/wnkhTrmoIJaQFBg/V/dQXAO0lulQZJAFWo8tpBtz3Ft+mfcT9wb
WwsK9hbX+41FKXfx5+fSMk2HPZ1tEx3qvxBfkmEwRUKW/c6uhomtKO6Yq7Z2dRqqJv6sGLI9Wr6I
nv0+Sak/5pQfOzQKlHnQoEyoTJuosCsJy8Vq3dUE2PLFZtq7F2QynHC/MS41+k61KZhOm6u6A2Hw
46rdB1C/HlJoJPOuxVrnkYl5dcIqnuYcB/k1yUHOlyGOjYuZ8M/r28khUg+5Fvh0/8Kxzg2P+kM5
0jQbsgV/yclVWOepy4FYD92wMJ4rqG6xcoJnt8g0UCK7H4vt0HX5HLa5ntF5gmQWYT5l2boHuQwF
0pu9F5UpAe9Bl+5pFuJDXhct0sbUtzaNRPOyIhB8QJwzZOazz0zyea5s75F5oWfdT3ZqnRyvohxg
+w2ecTZjFfmtIgowoAjoVANII3Ewfa9MWb/6iZavpswszqnvQ4IqWG51rvjDzlAPcEuiiWpBl/Ku
jnq+ma9zcatRr06C1UqxlRb6bWvKAG2BNdg3XmlUS7MGt5F6buArGnVdi6PVV8232KeN4A0bovJ4
GNoN3hFADLMAmcp0qeGskBgXu9FycYQnEmwGgyFBKOJ6ga90KjhbI9Z3A04q/TAfovoVejbAUO7r
l1rD0gDOSqkeoF1xlTQPUAOU2bik5AJYO2I33Y6KTSyohlN279gFLsiUl2GJHySjedv2tZo4OpcD
dIohyIb4Bwf3ZtS2jwSvaLDSoxI8uCtTD5y6YyEOGgcmEaYWmNfsdc43Gld5scjD9sMGCOdG4uhc
rpbbdsnsCQ8arOEatC46i7YzfG5GT1InjVCLMymslsh4lMvlnBJySvF9rQl6JImmEOsWIFZtqwYk
Zk3ZSJYv3B5AO9MfeS26EL4ogbRwon2I0GGFavJOJ3YJloleuy7IXWYA60WjuO2gQNnbQB+LaAMf
x/T2lHBuc4NdpYE5Jw6V7lnXzLzYINutYRddL5pbRfplHMDCdaX4yDrsFpyhF5SomB31sDR0j4nF
Uhu0oCSUUqvLcwc+Reow0Ee8mpYglt1QxQXRLFbufOHLsBbkvKD+lQ/RMijBWlIohac2FkX4Y9EL
MjrD3JI8Nlhy8HaYl/Z3/AL82bZV37u0GV6kEWXWtlA896IW0oXPFVkHpEksBQKrzEd/yo2L5H3W
k8ZjzPRG4+r7tabuUugMj30d+WdqLvMxRpBlrK/PQuK23C7TJJ0TtVQGJ5xQyPRS6zySqWZ67hHt
Cy8L0xzFFu3ZuoEqAD1oUuoBISK7lgluTV61NqmHUUqKrwxNf/nJxMAh1DE03Hk4iWdbzfV5UhsE
xTEVfsUNzyGBRLcmDBm5xnBnwTo9irzZcWK5EONVsi9HO5vDwTb5b6uz1PGdBITPGvORsFfjwncM
npXNJODgmUHwnGDD8SUd1PBCpUgrpuPHkZ+gGU/PeaXK+3ge0j3cc+JAba2J2G+Y6DOnmCFK6FG0
SLXKxFpldOdW6EV5cJZu1qxHGOcVsobcOzYDEND18oCO6S/MBFqQdIJwVi2B87fYa0M+xZZ6l2Ol
sgZ+Fy9T2Qy0E2760KAWDOsu6OlF4npT1AQJMwSCzBhBdZQAI7LdM46IvuVMO0OAZXyzrDFay8lE
nebOUbPPhwCaUuXM032Zt8Rat5mDblAfnEug/Hpc+6R43yiYpPBMbCwWGg6mcoWi9c5pZvkm+r5+
TQzqdQcrfjSEMmKLHrRWb7bXo6NzCxRqjMEB6B1TEqajyoi9wbTJV193OFN9iWs82E5kM7fATD0H
U95g/rRKkB7s9a7snbVR9M0bmIB/bjVs61b6ALV52SbQ+ekTz3NS22kM9FFq4AJdsEHX0mrr1rJb
YpCcptM+qUGqu0S65nhwiil4HvScD9rTJ50lGbxsCcuzENiSbTERJSueiD7T2k7GzM5e1uyTy4pJ
AGklNH6nxCEFZulzUPnyvV/EZhuRkRaP1LYami0GYTwJsEzVQ4PUrwpd3MT6UEa+cckR1J1SI2jx
Thgdvg5OA7x14jUyRJyc71LCWYpd4Ed8FsKd2v2IKR98bzuLk/0c42ayIj6xey+buX5dFBinkmyE
AYi7yN8MQ6l1pBxGE1rSBxvBylzgJE7ev9SMv585U/w4jJ1dDDEw6cK86pdK3ULmBOdPRYxR6uG7
hqHrTaEaLZxzcxw2uZ1Fz//+DX8p+XhD13MxfFyi/OiDfh1yJ1C2EhwFrF1cymDHPCDYsWnS4nuJ
mR4i1zvoKtXPszu1v9OR/Vx4Le+MhcxCWqBfpSP6pQOzGVGLAbIOZ0sCF7Ar7ENFHh4Ru3N7glTk
hVD0ph1TiN+bY5s/S9iWboxyHhcgrGvw4+aT/NwRuapGSmWV9k5n2q2FFrXdzh9magijzr6JvrhB
Yq78kOrMV6Dgev1a6dZy8A4JPNqE4eeW7tHbYj4YfLcG31yDiKk9Ugf7nPbdsLbkyOaXoVFoJbOT
SSh4qHCeUHtD3AxV1LX7xOrFjplSe5fETvmAJf4QyrinhW+N0V+1lXIoGEW+V3BqW6+5H2Cnrf3G
fGPyWSCgqZMTPAhv17dm8r3qsuWgkW75UZqlua3nqDr6yaQdomSAnqgc6NSG1n1u0d+uDGkUTxIH
xRuMk+iAHQpVqAf5NnMr8MloslfRrJFqDgHLeCwBdd9FntjvwppsQNIYHiBSlne7yXhIbDhw45rk
PAMOgqGe0Ae9AigG20GMjR0KYsh2RZLKdc5o/yRct/nSFZbnkZCUA5p4adPua2KaD53hzKcyHhn1
F+TwIOxIijVQd/zS+7Nfr9wRwJjIsOimdCu9gkdO4YYRRPyqQJ2+OCX1iYLuiSh+agUgVDRu59mP
KZWmEgFt84Lh3RjKzDfCIpPqjGcQH6iCZJ1S6oXK9NgrB+g2CK6yCXptgGtB4w9734vl3ojsskWn
bCEAnySO4Ror+HDtB1DTwuGb8aPs+1ntRN5nX31CdE56JtAKRcrdZDKyt1Zu++w6hnhLyEBa6SLx
Nq2udbuGIPp9BVfxHC/uyk5pffMqlbwlDF/vZmUgSYa+fE5mVk/WV/ASPeltRpEBx/hZepxKnGz0
AW35KtK09BvJCf3WWlBcz1CIaPoAl8wUMsfxekcHwZbuj01/yJw0ujV4/M95iYZNFFP6TLImErTU
scaVPpXJq6NZJLE0BnpFi7q68BzxuUjiol23yJxuR7+JT2OJtZ2lYW/Ikdtv2k5ty9oCfq5NREGy
OXs9oqbIr6Z9VImFbcpDilrIStZpXBXzyq2mYDNHJuUH+hf3QcXuGtl2fuiQHhzKNFf7rkS76Dna
GY/p5XvH3inHjdRa5WjuQ3ZsTlvWnfPqdt2aTEH0UWap72t9pInxY/c8drl5E8wTB2yZBWeS2Y3H
QSBMXSm8m6mMlkk9KePOutXT6FGWC18kb+lTIsuS73FeLN1KSdr5HS42yTZxnWGFumy4bXB13sNT
bc5j1BhvUWoVW5si7BaqQvUxNWa5xnywfoVE7e7GGd5lK9Qu9p3uw64Rn+eTRQ6lp80vqTtQ0DiO
+0B0GbOXDFV/IadDRy3RhJ6r2dPKpBd4zmzbf+xIpHxn8FjcpLYsn3uBrMkzk/phgGu0iYyh3MhG
EKYcR+4OHYHFUe/XbugmRXSPSCY6to6YUMl3rzW1/gNuzflNHPcMl1xni7JPO484EX0RGcVvOebm
xcrT7FZ3G/+Is7064akxhTYnF3l9wVwi+40wuWevCD0mvYc0tvutNjMrioM6fvLzvt6gYZofh0aU
r7LvnLWI5vhrbDK7Pplo1QAHdQqAUWeSHBqpqo+QivxhbSiKFXpxTvdrGcTOqR6wfJtu63maPzVV
n38eQdSzMMBa4W6Iro2nuRztHHxvYAjQuTMoOclSxEYuEibc/IJzAuXmARsKJlW2bK2wiz9i+odP
gZ5nNzmh5ZtudsfT9ddwcjQukRqZyMFgCZ51pmo7PSrIDI2LAZmrC/ypNQXPCBrj+7qaCZaIUIis
3CwZPwVAdFsG2sx5YXo9enh8fmIIYK6Z6eLLLX3qRJGPD8y59RP7HNcC/rT9pXZclihGfGAOHUqa
HySHvA/yaGXVcXRvzrZ1KhwqxxjQF2lOt4QsmmPMXYN94b05U+utnanI133euw3TBBO/XEIl3/JZ
wf13U9XRbPEMo4CObtIKmU5AuvKTwnsi5GzR6aejJHpGNg1HYRSSJwHlSR5ObQqSodcdGos+e2hi
B/auDmXIb6SzBfNsv1HO69+o8Ngs54EvdZ0OLAT+hLOjm6fQKQXmK65J37xiSBw9d7VBA4JQMngu
pQOFIWGj7gavOimxnKxInPl6qgYaSazgWRSe2W0xNgR4T7M42Ives15tJrkX8ILqUg+2fzeJOb4s
gXe7SNO1teaa01dHBulRrxmbep1cevbJqV8B0sfXjkcHP5ixWLSjNawyb8EwiNjucBRAebyOmf2d
e65gheDVV5+crjEvRZQFwUbvCog7ZCNze2obBkbjQ8QkZbb1107ds4TSgc7/z113KfBczaV9Ldrg
bDFiOl0bWdDgkVJj6oEwXJfb2Jblc8pUEA5MINN01WQLq6CZTYaBcVa8ILeuX3OtQOpdDcZrU0/u
WaiKzqmhSMhAGxxQ9mXJXNdpvTRKkWu7SFAt/1MyLvbUmFrp9Wpohb2z68CiIerizTAB5JS4Qx6H
jqQBD7bUB96A4zpupb2mF6iQrdHspZoGqcoX+aOSRvlOeK3+lnhy2Htq6g8O2dxhP9pqrzNO3BR6
DsbDC7M2rIM9QGqBFC9wMNS7gxekqG1x7gjOXY5kJMK8LV+R6xac+0o0r5mkTYX97qk708nrQx4n
hQ5ONE8bW1jOFgOC+ANpSIWkkspG6jyr6FA41u2+6anlJ/XJMsfuUOHXeiNVH+wqplWn3K2t954K
/RJUqXjDXcXclzb+ObOnqdU8m8FaaxLGghi0QjZfTgPPR4fdW5F3h88OC/ra6uNE0e5z3RhpHOVs
hzgABJ9xKFCbKGkeqriDMRLZ2SGy/Pm9sJ1x8Ss9tGNWXuIkN1KoYPCVNkSvdocZfiAGJLIPQo28
l2NnKf1+NBFuo6NPzoQIBawIO62/eAlGqE0WJfO2k9J8vq43M5cUZ0HsWweoOsxZcAAg4DbSIEI0
WCYwW/Qe2KrRp4DFDXsAmOiMU0+9VxSK3zuPTQSXUx+TmwAJGOXYFH2pIfWzAJ2RCVHUGcaHlpTx
hn0Yc/zCMy4TPU5Yz8zgoFRpZwKt9U2T9Ta6cyNr9maRjiunTq29N+X9SeDkXwJelLtRBNgI2fn8
3uDfsBPULxeZLMhDtaAJyB2QN5uai5+UTw85yeopIdYWwKJ00ssUMG11m+y+8yJ4MikqBi9Ow1E2
7CrZWG4gqiAFXrZ6WJMBJCLfo+z2m7VA+fR6HVemNMKQP0x/rctG3fUL40oZoJViZlui7ZXvrsqb
JyuT/KAV7cWxg3lezYMdPFu1zmkzj1X5gWpSs14mEmjkpVmetDlgInq9gtJiQ8vx0L8Qhzk9dGwe
DyLJlv3UiRbYTlvQI0akxXSEvgGwAZG3ffJlB2BlSLpQvSMie9sHaXPQbV28DU6vHhS0hUtfI+fY
gGrxOUZRwbqBQSrfiZsEt0lSpJ2y88oXu8qC57G2wFoBi+TuOpDqFlC2Ux3HB6mAC9O5dc21NKyY
sXIO0Od1gXqwBR/DRqb6OON1gpYlxSRg1Tk9jYACcTHWPZJyP3SmmPNbpCMFq14u/58ia8tepgmX
3TBOaTaPlRkI78z2q+Tlima6qqPGAaDkv4GZjc3zZDIOGJcjxvd6LtG8uHdZU289aliH1KsJvx68
tYqsZEHNM5CXAHI3AWwlZsF/chCTXNCq1Ayjg6Vgn6lBJHs6KweeYFbfZ0YBo9Lj8rUT7mSrbkIj
e85cxv1P6Mx5fHK8RIoN0oSlBhzZRjJ2rfhgudz0GX3J5yRu6ptgAfj62gfpmL2WGUC/yPb7rt8X
7cDdzjK+FiaUtBxqweSNDmwsX+YGWc9Y1TEGrKVKrQ1QvsemfJ+sstwGXTnf2G2T31e4fbB3Fwso
dC1+OmVTyPi2egBPBG9hNKwe4hn1yoZZDrB0Irns0ulEtLlyS4VtaU5op+MkVrQULb5I17dv7I4/
5y8pH+aEG3kdvVwnDz0bL8+UV79a0gou+mQXlz6IWbYY8jzrgqrYVnwCIbIK+sXQARpBd6K2nqhn
wgk7DD+8np81I5F3LZ66V7i05i7yakJQrkTepQ2E1DtkuX4qW9/WVm5ndBvLicp774pEXjcCswJd
m6w4OP/ZJZCETiUwBeltTKlnh2Y5u/kj3Xv2fbYaaBu2lpdPRrsgZHQP3bwbRsTrZIOKfsV+pX21
MFYAQbKHJmfrWQAhj6zeYVXkLm3OpBj8jPkk3wM111i6AbJGOw/m8CtdpGttemmOKx+K1LwagdYZ
XoxA6HEZdzdpEDWH0VjGAIy7opPpdM7DYC1gJvaFPBKWw+DZIvS2ONSJmd2UywppFyB6cJYJjmYV
YM5ObfE0pohdPsH3pMQpNSoAyOs6Q45iElR3AjjyFKiFiepfP3zSBTFJRzqr75mAdmM81NSMAWQU
xkyejunqxgkK3gJrolTtceIy3V3fCN05lewD2c6rsvpOq+eh/qQTef+Fsw/UDrssXipOouD5WowV
pCoV6ykrWb4yCazD9ZC1dJ3VCQ2Wjx1QZcGhcxVfdyz76hR1SXzjouLbMSLVb6GngRprJWWUlBDo
rxX2dU0jf6U75WCXaOMBuiPyN+j5qvwGemZ+S1hASXqgM31GNGtc3AaK2IPGOXVpG5MDo+4nAHAA
mbuoKcDCS2/mcuH7otMSm73DJBz8KYUD6HCbozJxvpgl5cCh1jgiNwkzJXEXOxqTHkia6q4SpX4D
o7id7kgKBAaydHZO4FbN+Sw4cyVmQ0zTjojLezjRwjTmcwnj/tAv+zIkbNB1vIOYW11H/tdb3dVM
Cqm32elLnCFw+11gfJ+Twj40GoPPaWjYvXULb/mVFBH7pJNXrFBOZhK9Pc4r2x6C57akhIL4RX3a
mBG7ooOkWNTcndfrjlpGlGJs+qP/6PVkuHPXnOFBYJW6MaxscL7DNbO+aoO/EHJ6p8C5q8z6aNhE
lpjugL5kQOZ60TSHggEZs7JaxHJzrck1OXODsEpn5fvsRGnfMvARKVD0PC0LzNAxMOqiKhN3QcLP
LLuggZFRXYZsI6jcy6GjLFYWB6CxtOLjHDj2SpNG5l2G5YmKnLk6eVrMaioTzPlCOi8W+ihSFwAs
MdBVV4lfxCuZR6Ja9YxFg6UiG/cRovozJsk8307lLachNpTteiYS69lNBtWssinVD1raTQ9Sev0O
45r62cAZroLamC8AMdDKdRunj4kedbNJ87XJGxwGKMShV4vxxgrG8r7qRbZrEn16pKxkbnntXCbb
AVnIq2BDdG5WrNOZvTnEAk1sesDqi056LS8S4QxjQPk4LTPAS68zO7lCg6g1gF7YTt5RKlou8xg+
TEoJ+EzFwZKBa6J9F70jX4s0U7shx1ZypRUJV0ifcwc4XeQ6XO8EVjZb9lNszMNWoh4/U2m5N2Un
+lOJAfvOsifx3LZtd4YRUr96w2R/xsQu3Qaj7jz+e7D5n1BXHn5YTiZ+3kjwTPMXL1Bk41qvB6O5
c63OeCOZwT86IEvGn7Xdv38vAyrFz4QbYH2IEcQxkEqjw4z6GeIdU9ps1SfZjmduJj5gUJUWsuP4
DlHsqV+uDM+JvHsvlV57wqooOakmQrSQiwxtepVWXnFPVE+xJ2yp0R9xpO53FQ6B3oGTPzI2rMl6
JxNn0QNH9fAnXeh/jELzTf2vb1U9tRjRdX/ffVSXL8WH/M+fiDV///mf8s9/xx/V+kv35ad/bEqi
RInf+2inhw/Z593f/5PX//Gb/7c//NvH9VV+oxOFFrNMAv7PPJvXPqvKvz1+tG3SVe30V6Xoj7/9
wbWBR/KHjpsMMkWAvj8JceOH7P7rPzRjofKUVduJ//oPVKMugRhEpTFf+0HJ+UGugd/331/0x+iG
a/TnF/8XoxyD1/zLArRdnOMJ3PXIlqW3I37mlwXom4I0a6Fbr11qONlNQ5UgL3obDEw2gyqoEJ+N
eknUTttEb9TUVOF2Erf1zmnUIoWafEv7HRHs+qb/oKGhDnVwNPZML0C/STSWsbBw/kIFi1DrxCaW
uC8pOEaVWekm4dfhpeiZUW0Vhh5P7jBmn7LcbI5dn6MYB9eqxZaexPgqpIpeqIfdvQGB5xORG51c
Z0XdNfuoj4ztaKTDw9x4+nNtdj7QhPDbYz8FwsVcLxqesIvq69BdxArr2IR9CjAeSzukHgpukqpO
vBAdWT2HXmPZ6gNfpgA5Bfxts6jnR66Htu8Kvwsei0SIOmwbp/mWRx7uMhn2mdAZmiDzw6B1nfFU
jzo9ZZ0a6T3HlksSVdvl0WcIzkO8N+3EP6eAKiBpqd8Ht3Y9+fpNIsaxPSbWBEW/HolEoq5JO2RE
yo9DJQDFz7GNx926iAf30AwlHq0jhK0VpUokwhZjk7WI0TswDa62c6P69tI5zgAAWSr5iG6CeQ8E
cHQkpYzULUacYEVzmzzw7GBF5xnDYOK/QSEUzkECnK5GtHEMqqgwy5n4DlgaXvnoLoTfDf7m5k3n
I23IkSKI0DGXulIBoH8LejuCQz1M9YXWx/VXo0utimxRt19U5Tc37YCnTDijg4+xZWzNbSlr86wZ
Y1mucbrsL7PH6H+dt0EOXixgqa8sq4hk2I5yvAyywXPTw0EixKwlj0M7dtJpNdsCoKKnWDjZCi4B
HG88i2tTaAPiIYQXc4kl8yrRsuCUQUplrmlbSIo6/C3EewlTEysGT4nncmIoiMGAHWkE8pLxENbx
gJ5fyLFda9pob9qWTIinCeOfVZdhDajyaWpW0l7W8gBpfrFxrWimzAyJJeiYwo1s1HxX7pndJrdB
lg36ArkMTyW4cbcOmh6FhklG09e0DqbPMFXwkhVKeylwhj37kx2x3i3p1Dj9YDIZBqzq4qSZNtY3
vi5BJfq2HdqtBg9/JlipyRmYRKP2rWklkyirbVpjhT6qecGC1X3zax2b74ApF550SBBuzKQykpCb
YnxLTChTq7Hw/F2X6H22MRctH0691p76SOFXZpdn/oVLQuAM1lNZVLm5Mvu++A6alX8DmOjBqrCb
7EOw0OQWRKg2wCw1/TsNenl0fZYHRCV8syLfE0TDxR6+nc00rg1LRmeAE2/dA/U9aNDeXu3Wmhjl
JaWqQg2CwMmJbPVVczoZr9EJ47qQ4Il8MsrZCJlcVp/x5SJslhxpuXK0zL8bbIfUOU3E8zpzhojn
OmrPTavnJ6jKzjHAfviTL3XEBVBQ3G3GyfpAPJpZbMpa84+EFEDjiPRTY6CEQD/WNDSo+I/cNKWj
izAwQEhHX4iw9FukMK7G3VpLfB/wFyoH/wWUCztq1RRMlzurXf5/dHB1c6NsI1qjsJmvOHgLtfPz
/2bvvJbr5rFt/UTsAhhA8nYlZdmyLFvyDctyYA4gCaanPx8k76q2vI9d5/5cdKl/21qBBIE5xxyh
cv3uIQiwWyohJLI7oHotd2PoRcWhgW0Hwld9GaiMT4yAHvvADxgeK/GAUKXCgNqPzhZ8RM4VLtz7
kMI/OrZ2bEprjbH7DoBQHlFWj8fZb7XedWpi/MmVdpP91nniW9o5Y3GDVQtKIbeUw34uUXhp1YTu
ng4Xoz3O+7yjsWQ0dBebyTkgMhFXJH06HyIEUt0BJQyZIRqRBp83O+Rbvp4mDHnFvqhD/3odhCJM
yPXTJ7ptheYU69a9u5btelJxLfAUVWtN3NyACJsasJ52/ZJPyGYy5zZrg7A6m6a0eMQnCWcWNdXY
p8eDf5p1rE5hna+PdRJoRqqV/8M1M37fBvtPn2ElA75J+z+6YgJjzB1zVq1FeCRyzCSH3Imnb52v
8SpjAvGpTdyJMeJcVnKf1ECNF7AFIHxAm8BYsnWgq+8xKEZbnA1ecdcTJPdNTVmEZMIlkqbIH5nq
40yKjs5nzptpeRxit/7ey2nc48hXPqx1OpBtEnjqg2ihPUZ9PVyCNgNewHXJKOyZcEbScT6zac/F
Fbrwii6PqRwPDnGuV1IH4hmZYZweliGdstNsHG9nEvVcbVu18704upVqk5eIhc1T30iEo6YOLLBD
Su6JC5XV2HhtfXXwwKCY/FVDGh7GMO1oqgMa3B0RO0i8GHRGMCmz+EFrL2ZVOR5ebr1Q67BvnUa9
I3p+/NZ7IUqatPaG97wpcvLMwcTrk792uCaMa4jgGjD6nZQOxAIcXWIoVI7XxSdTBdN5A8lwL2fm
UGPclyGTNgY7ZxXKkOu5mxRS3QLX2mho8M2vy3hjQr5l31xk89DdJpCRujLTSq8a5SgaS9Ymkvl6
eSfxGwMCmhMZP/RRWzFVzQDYIQOBauyxApWXiOb0PfTc7NYrv8ZxSdOo6GiOqdTeZUZ1BWKcxhOW
LpaQe5C+Lnz6BQsa4zt7GKtpu1tBZq8V9m0F24BZt0MWq+SwZti+IfULH+A1FPKgMVy6LRa3OcKZ
AtBfcCDYO4FvfrSkxRnsmlUCWdKvaQd73Ng2FHIzNqxYa+0rIOZjjjUFNtZp+YX8H4KxIM3VX8iv
wx8qqIua4NMw00fOnuqqIIbmcm29DvbTbC5wCsX5f1u96N2U9nqD7tLa89l3GLxiGbSTm4yuJdvm
O5hVbXTegbXdtNu43LsxIal7I5zldsrKHkff0mzvVjmU516UOCAB0Evusc55CN26OQmxuLfCG8Zz
FqnuzxCbM5v0MVo+B2+TjEx48jk9Q2N9hOMKrUrYP7seev0zznP1mAGLrk9L28HbqEowUzLqwGGQ
OKbDp7rjyuxWEmKJIoBV5nKCdYHYU92EF1vchU/ehi+rVHX7hUa9fMJzNejPcsv344O6WbGDZJ7y
mNIAB6LoD1TxbXwg7QK7e+LaYf4k2hKOZ4DSHjfral8vQZZcDjWl0S7H3/NGJ7zdMW/EuOzQDqsP
U4xwkUzFAJMAwWQOLSpQZIL93xQqhhgQFXaOuwmkQzXJj22eOh/zdSrfRysmzgXS/mvU89I74Tgq
luOYOmMPSIdweReszvRNpHV244Za1id2sPJzSBDUCiQzam+PX56ujqJR27k2qiSArjFXaNprrt42
Dhcj7KkerK9KxHFJQPcJKZ7QtXTd1N1gqDZcmTxeF2g/8XJX6i67Ldpa3m3R4FFNm4ySNo2eKqJ3
9amqJzD3MlNX3aIGfZDziO3/RvIALseV9y7IIfUc4EQ2xQ7ACuFuRbaDPG1wau/V1i8neM9jedGO
6QliU3qxdS5DunnGyZEU5bA8JwVCcyJMKNjxdhz6z8qRAkFe5FXHcJnnEa9nvhy7j1udOo7oZu+b
ovFPEf7m6oJZCxEDos49NPZ4Ft/ntR4P+ItNpyJGZiS+VqT8gUpmEOKLQ+FHS7xrG8Fj5vVD9oDY
lxXCwL9lm/OQ8u7XiSQCkjmy7SwrSzkftsH1GDYWhGnv5gnk5EKO0SO0HPcLTxdu/2E+5pbaztkP
kJ12p2XJ8y/KJO1ZnWZoD3UX3ifRIs/ws3aj3VKM6oTHXAcVaK6vEJf6zzMrM9+rjgBdIgrh8F/P
IEjIK0W2zXwGN5OuS2NSTj28zGyjvYncXooba+/MUAOFe3kaa2OnEy8khB7q+HLS9YgxBx4Zrn52
RyKK9qIEpv5B9p9QZ1HY8Lu4eCv/XEVgnRepJxewT6aMZkVCmnkMxMuuoU+Uq6huZyOKe/KV8wUr
OaJCT3U2re5+CO2sY+qX5n3fSUK4m1wm36TEovAMhmMUPHuD0e0R2u0Ax4wRevMR3jpyQHx9GJF1
wHXQr5AMthcDJwADTUXWxDGQZfe0NK24G9s5j4DEu2R+6F662iSsI+9jmCqn+k6CbRU+kGtikivE
gmmCqDmmRGCul+R1vfXm3i0FpT3QruLgxl8E0k1xWbsQwG9HaphKnWWumgImcGsGQe+clrZ4CoYe
x5t9ocZV/3hBEP4/2PIPsMXHowCZ0f8dbLk1zdfJjP8Nsvz6nf+x45L/IdVHgW+8yJmiEMjvf0AW
V/xHMVGA5RlIvMB9oIZfmEvk/QfJDbKDEKmRoGbDCOkX5hLI/8RuoJBCkdMowG3+nwRNUDl/B2HA
OULfR9HkontDGvlWdoe5IUYSaendw9CnGz/NU7RKeUXurXGCI8SXdniixFnND6EDWV9JM9FxH1tU
NdRapZqGVb3rdF8sd77KylCfkriC18f545JyczGVYVqW53Pdl5b+pVrMHqnAy+WObNDJufew817u
Qs5/FB0NPMMShXyWjBe9QqF6t2QTviQ7D10RvUfmghPhWayIBiKXY2GWpBSAqS01XF4b8kZeb58w
ttjcn05Tr7Zs9BnuEJXAHq2fZRnlCwxwJ7ZfZSTt14IAhPkVFAbU8tUuE6k0P2QfF/wV+2WOnfvS
eTXeAnGgTX8h5FpMOPt3lPpXNrJmYczv6YwcY+pRjB80dXaVHDvH8C1Q4PBOYVjX4e0Mn3E7U5CJ
++mUIcFuH6N0lDOtUi91+45Im9m51y6FF57gxdS070pM5IeTKpVf3vRjF/BNG5XG1WUpiOn4SlaL
w6XoDJF8N86q6+WuC8KufZdL0oiYiq8QFLKd8L1q1WcqhxvwXnX4JHyPWHb1VebqMX+sx3XEFtGE
rdecx/0CG3fuV64jRjuivmpLzWfoOsXumg2Fo5/yRHAvo1orNnDZpmHMrzl83CxIMFAhUYS7qFkb
0HoLZeaHZGoK/dNtlM+X7ZbU7dVpXcOAwrbEr+jb1spxxH0E8wroYJzV9jflpDgcceJnGTg1Zvv3
DHoiuFOvf2RaAMGnNGdmnu8RWpXbvMuX0Tj3PSZErJymkFxHvKC4KvEw4Q+EsAmCTL4Papc/S7RQ
LGEsSO19h+CO9P9c4rzDAoHQOPHv8W3lwv+6I3DuZ/7MXwv7o8w8b83eMdMfFOHqMXPJ+phnK6YX
u56ygWdEJHkxPCX9Yu/nEri4fqB2HqXLqZc3bQmwFXFNZ/JyljsSbKQKWMdJ79w7PJLkWPo56TnP
zTap+gKSSJt9ifs0Qrk+km8VVe8F06jhydVdynfXUBe45VqjaWLEsvJAygFT1qcozfgTbxTGfoxW
qdGcMDOLMAbFqtnvLvyxxBt3h4HOaC6pTN3uognGPnnKADblVdoOef4oDTDgcUQILK/GzcPsUs+R
ap7hQa3+E+qUSh24dFV1hPHCi8Lja80lIcohlCrTrM1ZPFqp/aKLKAiBnUIPX5rT3IusG8UBtto4
Hv0+aU8l1GFRn/lDgOZZICA5I8xXV/Bb2WB2HjhHcRATLmN7LKyjT9Ah5V4M4ySoFkYGzzIogoNe
1rHGEHUitwFh9+fcGdrP0QrWssnevGvGqNpnnolIqkgmRcOkWt4NQkpySyCX/9UsEdarVRh8SdNM
3+QRQ7pd1EoDLVfA+97uSAzR2Mldke9QmGvBK7IfrCIcxsfY7yPvuulBFvujNpkab5MN7oy8G116
VHx0SmgG9bEYm1jpkywAJwObIsAE7ZQvhWa/qtEkcTtfb2Rg9+YfpQvVmAkgJHkHRrDJmvP/Orv+
N0T+d4mpH7HgoTYpGSoQeRG+lchPyQQvdPKL+62G1XFOYoeAqUQ0GHthTl1a3qwkoWOJ2uALzH7N
dkph5uLjxQIER6SM2/UkFTn32+hm6bskwM9p79CM1uI9zBd2E0h0kzkGW7Mm6/HvH//36Rl5u8zO
rK2lxC8dStfbJL2cbh0v7aJ6WGLdhwmUktiXE62hG6TuvVv1axv/P6nk7VvyprwnAfYwDMTbgZ0P
7bRfhz5/MCDFJCWtZFyRhTUuU4HyCDbLjCDRev3+Q5VCufz7uR1BsPfJSInxdsJOk5nh73OKCh6w
IXl3/OhHOJefEIGW+SOmf0ZNO8WktnnKZieEN7r2GwZxETkOdHoinHE30QjhAYY44vFO67Gku9bQ
n+aPc4I1gtmPKxaJT4iW+JVoqIiFyJDeatyqksI9lM4ioYipOWzvvC5cvdsYF0ScJZwANieUxMGX
y9fajGG060LNdlEH4Va/L7JsbBgq1oSb4IcCCbPfUx2xA+Kh5bG3LC5GTNdKOh07D2l05qgYOrBB
o/DQpw23o/ADptJ19lOh18d3pWkWiIMpSEKJHFikW+9fTgJneyzPmMt8Kh2fF8Gkrmk/LSFP+F0V
5VDtXR3x/XAvY1NykK71pMTZT9N7OOzxPXr80OA9AU5sP3Mg1YqqoGlMc95svP+BdMRJTAcSsLqg
2kGo7MLyCOehl1fbxDZ+gi8Ym2PaEPNzh2WbmkjTWkD4SSRaiQRZvDF5Mqk38l6vb4zGS5tLt2z4
nrXrQc3Zw7zkj4ZcB1yfJUzc4kZ4vZE3jTsWJdITTXwIuLTNHAoDgOt9nZk0uJt5vtu7yFn5VlXh
zd9TGufoa9axn92TsqEVfpBLMF7rZkqq+6E2mTibtCE8A7CtJAEWOQDNHXxGPJxvg3yZNRGImMbc
Ij2f2nVX9E3F9UyX0BxllfFuHAxLc4aErzN4Z+B8SZKClk4JqKn4GAUbpF/tTZzZW5rAwbiG1TA0
gDZO4zvOPgegIfrLRODCo4ZUfF5M8RJ+aMkPwtJNwfPMfmaDXpc7cAs9mH9o3OXbQEz4RVL65NNC
kiEw1n0jKmOaOPE4KX1vQxt6ErXScYvXs2bVkN0xdRqi8oraWIvu0BnYTxzTNU05Uutgs2dumYiE
ivfvu5mH5e5/j0cjPlUQBhJ6cRArDxnW70+47+Zrvk1yvtdNCjaKIgT44+j2jk98U7KyiITjZAV8
4ApuJjbSFddf4XwfvyfOanYYr7wshtzLOn3rYz8TQCSUL/0mRRe7cN9GQLOndqqr7KeY+l7f2kMn
eSriKpspf701BG/0CuRgN4wVN5L6Gm2mAl6KrIX8JPQa9M9SNMWAaAnM7gExRoOQVZJl8wT5dRgv
aOx5/tDyC289/P0SWRHaf81qMXugr4pcuv8ocOUfliHlbCiy6835sDibvWF1WDG8Pe/R50bhHlu9
cNoOGG7bH76t/0fqq5YG+R+3StITvvkgfgQhyw9CAt84QN+o5RapG57aub2vcW7h6cxH9M3Qdny+
9nsHJ9k+ZpZWei24VcPV6Jjnsfd23OBQ7g2cWSIrApDG+lqsS9MjIVcLpKQ58ov2I1ESWOSRshQ3
3O2/X8K3J76M0FB6VqPvu9jPvBUZRsYYoaYu/bCW3UZ9GGXCdlUaulJMe1dtADq7PiqJxThNLUrm
fxxkv5NQOEA5q+ljaY4F3AJS+n5f5OtY5H3DPb/b3ALBrMcAkU5m27b6au49+kPsBGz5rFrISTdB
VDDUOzCDpu79x4X485PE6KtJTaMdd4PgreENyp5RRpOTfKhMnizZxyXu3fqK7o0uA+2ILei3fNsc
+OGAhoTDZQSEjRfrRtzfEUot3WXYMNq9Yu4wscRem9Vfv2l02vBAod2hbtulY7/qZxA4mhWCFxhm
7BEi4932DJNeEokYpCgxPjFuxGbytRE00tAqhDK3/ZxZ1Bhiv5bk4XQs2IlCdfTIlBzSXY3VEIfC
zuVV+Zfuy/WskgECI0TFBUky7R/3smeww9/76K91Cjzr8g9i6z7+1HIK6GfwYYdWa1MZ3fkc+OUc
M7OtaSrqUtk1EceY/5Oz2aCK3q2zNYXa181W0wRmeqW/yyKPC2OA4PkP/AhppDI7oZ8uY5mgPjhP
hnSklMxr0pZPfKOKZ3b18C6Lj0HZlfPHPMim5FQK2qmrZJkiPm+b+m2Vf49z01Jq+mZF+b1H+zWz
RDLT2qU7j35Im8wMywIU8BJsh2zCZWKDAC/uKVsdcnr4CtgCbuaHGVpU0XtXgrU1h9knW6H5xz5l
2TO/7w92A/fYIsBY8Dx/WyauxRolPkSED4D7djMi63HInWegWmf+knh9kTPs6X2W/tzZSNukogU4
xm7srHgtQcPgK3g5dk/vopWM4IwAUaySWpYgEmm9q0XXJOGVbanmcDdFsAN5hJnu90cksGkHC0EV
A5GJkDHWebliPq6Zl44xvfEVT+fQcQtJxXXPwnIiRm7fkQpFC545o9O9rzMx6Yc8o7L+uA7lhuan
wczV4j1FOW+HegDaPlsaal0MDan+dXBWB+SvhfgELBtSWpoOC7QsIBTzPRa03b92EVTgb66wi+U6
JX8A2AZy9scV5vgFauPBY9YxpuAPB8IcCvduUhtS7UXEKeuX/BJAjRVsjTWgGLQNJyDTCnRBQFq9
KZYIMuM+cz3jWKXe3C0/aBY3v8bksPMgHxB5wRMrXMPvKHdldyK6gVeJmaEZvZOdEvMBp4ZGau5a
QMfZbmVRX2cY4hEhlHueRaLqgSEkhy9lY0b6ZhJzj3n87YONX7tb3ggx2udsRFlxRc5SPzkn+YKS
5R4GdvBJ25LFuqs7k9E22ibBrvB6sY2ZyUU5nW+KDAj0pGkyN18JWVLkUEOyAMSLvdl+Bk4sCRr2
CnlRxNPF4fRsLGjBPeXyZC3j1qcaIgQvutZ4YAB5RCtGCOe9Kfvlk+jxHDj5E6lf6DYxaOBbQFbY
+GC/ns7Zx2b7ziXGnMcx8tuQ/aSJQHXG40IAmvkRzLVdJKER9kfZgpTPOyRVzPntXsO++7oHp35q
v3ZB4m1xLWSK7SxKgDUtsjPlUZe9X0qF+emhmtBDsE0Zz6427ecdPXbS+nN5bmLXweeNLBaAHzdy
+G6jRANxIbeEU3U3qk3VzjlyjdRc9HkcmvXWg1uhLsycNOI7ZSsBYe/JUGQBEHKDXhD7dHxZHuo8
qZBvMqwzP5JsXMFwWDkAOnmEa/F2cPAo4ZpIl0iN4RwWPkvw9R9wJFjcJonc0cJKQWmH17UmxeMC
Z5us/aoJq8JbkHjPgb2LRCqHAibOCyvDKEJp78wYUwnOgIXMuEikcpnBPyVIffn+M+MIflSqtud6
VyyAeGsHd/YilsvknDGkXLqLvx+iLzXpf1dkFBMkJ2BZwECGIzR6U0n7HFIZqe/ph7yOC46ZwTUh
lTF7cgsI/HqIbdg9EREpu9X7EIECVMMhClZ7y6TjF3xhp9A1iyTGPo8b+PdP+LbeQeBBwwesLkAI
AhW8KapBbin2mbbcTZgKwd0bI3hYjP5xmzhvu77OH/LGxOExTYdI/aPP+F/emx2KKkdasD18y3cE
OfcxENqiO4JW5vgyx5B8uEtJr3mYRbp4j91KSODtqkUc7P7+rb23BxAVlqCmYYjOLol12ZsyC4RX
e2BX4d0wkfgGVTzp4f6JMqg+5QNS2j22B/xfVbNbTmMkngVhjGD4asFBRdaTIuGgVTxIr//fLVB0
X2HcX7if8Xx0xb4J866/HksH7dWcbF7y1KxmKs+XEiIgRBYUwYd8djAp2AVup7JLF/5JddlCZfJ+
wGvp1FkyCjzN52HgMwQkhGM4jE949I+z+G2p7tIrkJHh4/8IQYq42t8LzgzLgGHAa+mugl+Z4jRg
8GuFyOZm+PPvYIS2nTj4bA7t57/fgz/uvhQBFNoIMxGANZqF3994HIkKdXFhvUvDYFpIYTWu+pyV
SJWuwbDrZU/CuSqvAFam7B+P5R/fmTER5UfIzQc2Isnl97fGIX10BBgSZwqZGXdwcmzX+rrFm7wF
74eoa0uNv39j+bY/wzeOnSDmCyum0X94p8whB9kQd+IuMjTe340PiDwf8cIQOO+jOOCcCbgVYjnI
ptsGkH3ywhniOJBsxl0sBwXnE94ek+LyOofQYH44yWYrcZ86d1AnrNftLoin5DS18MFynRjOJJdA
vH9Bo28xApchXQBZmf0NnO+PAqMdLPm9Sjg9Xs4AYQb20zoKF/ncyEAnN6swzrDPBrm6zxmYhTyf
ez80jNdXN/rHTiLtYvltn7WDSeBO14KediH/fkfpLfIK9DonhoIsc2ePqMOfyG5KRmxIEYsINs4g
5CiHzzLHI4yiNZBe8cXp22QTR9eTUAhPATQY7kGaL235FQvMzh78bg997B9d5tveynXdCHDUMqqh
df3B9HZrVDw1d/GukCKfP2GwHujnQaJ7guyaVkXymGH2Y0gYsVOpoe4YYSFAYsbxj6c/fAuquK5H
xoD7gqnYS/jmKezmIB+08po7Jy7H7f3KOIGMN2ZUyn+M8rI1Z3Ksp1XuzODbCjvvFdaqAkP59GJZ
lJrP6w0jBpSUqohP4ctgjsZWxgdV9Oqo3ckhc4zULaaCkFSr8ICDhlt/8TD9W8+iGFedxpoD6ul7
OnYTGvWMcqf+gVlWUlmIECdy1Dubhxx40bpfvPM0SPV6oFro1S0+5DRLOXv99AG8bCq/QGUHNTSA
UgiP0QdSzWYOSQ29E23J0+RsbMgMM2OGcGxu/ZHDj2CDuQwFzudTZ+2wfOks3/oKHf2hi/o+2A+k
1KsTZonsx142pOVl11FfH16PipQUMMqbYA39c09kHB5LMb30UwKrkfOp4/w5j3qinS6SWKzumbYJ
yqcyWGgBGWVxWuBFF9M6uyX/UpnAKS4XG6lB9I6my6XWomboGU311/U28ScVwv/pPhrxrFr/tUn9
cTS6rHykDRwJPEd/7MsC9z0UQ/5wVxjJGw6GLL2TH5L1TZ4bkr/pQ9wkfNost5cVW71JZLsB5I8o
Pz8vCqRkVT48/H3r/GPH9rBQZvTPEo2BZ96CEQvJPFGVwtwzTuL7JbkmsSWjuNWUQq0WPiaTd25Y
B+Pj399XWhfV33cWHlFaBukBCYXMNN5AWdpBjtwIYe7E4hQmPGte232TOex3KJttSfZrrFxDNuPQ
AM6njd6WjgSbg1H9RvMZFVDx7n1wSHHoZuI9PzMmc/tyXwoSJYiKZi3IT3EQuc0ToZPN+C6gdmaz
r8d4jDvcLjZ8Q5u1dbCY4oQKcGouq8hnIDjHdq0xvIhwTeTUrk7C71PvWG+JAxNqa4b0FowzkqcM
t7DhSQHhq7MUDwzbJSEFxsNQCxLzbsHRLTbwisO8Durduq62T5RRdvQ8dFVCBd96ucUpeA/2pmlz
7by3pUWgqxmH2SvWC44N+5kklgQ8GP3Aii3XwRbhgFsVf1OEIzuagJpGf7K8XC/wQjt2pt6tLexQ
YmXlH91u9p3hPdaR9mxMWpr79EA4U73ZoPkEiIXTrxCfbTiFTok4IA8U2/wYQGq6pMInoHBYu74g
OeflTSoHOWV2EPGW5995CnFKJMJcDm2GBP/lOjrjatuDedZ4m9++Dssl7FDGkk4qKVD3MefMMlxg
rTQ6jxTmboTB1KZM+WWEv0HT9AoLvoIJ86+h+ytFI1tRm4QoIBToUqgY6Pb7eY09vd4kIVFAKMVs
HMEpBZkvLo2vpvxmVXNBPZK4pjzraiLICWpktODcj9FkG6k1j9V2G8L7cncV2Z+8vFSiu//Hc/DH
ruBDIxNgCSFgIAjpmzKR3olgptkMd/AauuSZtHYn/eJ5apmOrY6xjyBvqzDfcCbZCESxvkJB77Da
OlT++tlxRJtl/9ip/iggfRyN8GSzg1nUgW+hUjP2Sx/AeL3TYQlnE8qty3BV9PmQtaRDOKzyKXXi
4V5lMuz+cYL/MSNxfVu24kXHTin/HK62YvMRwOjurqldma+QMIi+QyDjQdr4jvWEpwk8KnDXvN/y
xpbS1TTYH6OEBYvwaYYw84+KWv1xmGMcQRVEkSmpL6O3N4nOOsBJ3zfvkcDzLECgxVr/qn0hEeEM
wCn1yjGqZWjb+qhlGXV08MLFNgsL3TOAgG3c9mIVzvQe3BcM9xVudfuV3+Dk3vyvipwn5qUxoy3W
75BIQDMeVgs1bEz97Q6CXSH8xCqjqvFKPTj3Td5rKNnkqjBt2iHk6eebmDjP9ClgvkamaVr4IrIU
ape9E+GrM14wrIyZ/3cl1Yu1i+kCNp+0e4EqI3guy906Gwt0Ogu10Q32rmDE/gsxCkNTyjzch0JG
9HrMCOHGM65b+by/0EPMJQlekvEa1UiPQ9lisNvjUnrcAuGuV9PrA/tru3qlR7nNxHamqJi2TwaX
Ol4zEKmvn5uqqYR1EWoZ37H9I3QheMWnlCTPYYJyIf+hyvtj5YfMdiIGFFFExy7e3ucRt4nV3YR8
F7ZrF5y1csZ2Yq0dWwRhE6EuMzGm6rGlmW+v/r4RBH9UjDQwkaJP5H9guH+wCsyaZ2TTbBsZBfHo
phcl/q3eeEkla5wCUN34nHcVfvj8+AUALYtrzwN8Pj1uqCI3ikMzx+qQSzguri3OvZHDLN+ztfns
4JPrWtAtn9QCfpQjgArCC8skZk9ukzQJHqdp8GN98KDItkg78t5lD5/H2b4kDKaZX2POHxd4OtSh
fYMuL+2L4KnNzKZRxjJMBn8bNPV+UEDOx27Lnoh6hbP3TMJ0Za0sIQFykkC0xYTnM8Yn9jOO25L3
40FgO0nn5TnRyJs1Y009ALa+ohYiPqkJCOEgvUCk56auMYG/V/jHdfLYGC/DeWQZZYat1CyysSx2
A7nS0z0Zxx3sOi9i7PohT+baFwecfVYovbkfjA6GBl3b8sJCQ9TJTl7tQKw9BW2QVO6ZpxerVIIZ
v1BF5xFk9g/RovDe2quxzZeHTjqc9h/gxoLkbGSIzw+m4XeyD1ssW5DerVtnB2OFOV9Jy4455ubP
2DjXdXlsQI+5gzFpb7zHiHWt/hhlOZnl5wxfSnUeQg2rvsqac5NDnAmFfrY2I+pTlSZEXMFHs4Co
HjYzt1f1VCzJiTgmewAyMWfFzlAl8uyC4ZH9uiOWTm26j9bYhP2u0IOqUR22k7f8SNIuRDKKcgID
CRH5UIrRDbyUG6+vx6TfDjr42HOAU0Ln8VFWWc5VfdDhtvHx29SxP4ZkEPyQDR/koTDEWELAKOoN
QQ61ClHdpmlU9jNgRKIf+gyyON5jXIjpwwCLr1TwH4lhLPdL2a1c8VWtL5eoQaiHe+7L5hl7C9xV
cukGCnsduIb/kLnP9SeIjm89xElf/CTqrDC2es4m99024hiaXRRebq1kSkh9z1vUpVaKztCwPi2b
cSD+q8EutM0jmg+6ZcTT8q4sHAxwaYyIyLvEDr8tfgrZ2M+EJzrF5A6iUWbbYWr45IQVOZeOYTD+
BrDxDSFAePY4jLq8nGmrODYyx7CNkh813SPhpV14TZz3rJuzJXfnIMIjEbHucEFHqKL5SzjgF4yD
XxlsAUQzbT0jUq90+ZQdgeMJczuXNyxHI/mjSBI592C8sWSp+crDSWxXwEZTlxS89j/g3Kx8sJTO
PXgcug7/6eu+zVizEZUQ3+n1xtZcFP2MrNQbHyYZVeIBemFUPSn61/UumMZWPWAcZL/9kBfGfYdZ
9WCu2y4p4mzP/bd3JHRL3DSsOMAu8WHManmNeDEJ5D4cpGad9ROQ3HPvLIYXogqqi59xgdboPH1Z
6aNIc37VLUeeOe6+XbSElLNS3BSfY38/4O5VFo8lyW3Lw2sT1XhwoB9fv5+pU/tY9cAn6rJiXM+L
Ldnm+wSZzCwAkQ/J3B7RDRQFCWfz2tr0T89OSAKNBq47YKso9VcdLvn0LfJE2nx9HU6+VvEe5/rw
5FeY+H+aAqYCeMdYgi1Vdtx/yLYg779Xi8/pVtZInO8WT7vZCN/D9bKPlU/t5h9QTK39xJpvo4iN
HYeK7sevdaUX7LdoQdqKlfJrZXYFvD3UVQ3SjNa6BC7p50kFC6tsZmBR/HTrKWN/U5W0C1mh54ma
c70yAy13U7aOrEBZEHD2DHc5n6frFFtflqPTuk3xU0/Iy7CbGnFKJB0sYh7TXkn0l/q5w+4FWlXX
kcSGQdHgsvMRkTjzxnUf1Pxz8EB7LjhOw0mgHcSqkPTGkpA/hi1EE9/MEPggiCaozT4FI1jkO8ff
GBWjr2SOMTsxpRCm4/B7X2nYPiUM50IcObYVqspRzBBbF5ijp3XC+SjAlwNWJcXLAHPnEG2Nfb44
GwcRfU0LsB+S9UhEm6PrNvKD+GM7o2nGGHAMmk/YI+nsDDvE0tO7cPOT7QkZbtreeKrJq+e8qKX8
hu+HnuZLFH1LP+wljpDqxsl81tvFr6atMf1L9fNSsBR42bRI+2yVNsZ4OJVXQ0iylrg2Vdyuz+hT
+uw2LlVinr2w1i/5BVGBtJ7MiSy7MvMidLZHzh7TiBY4idMdQlHgQDpfSOnSyW6sQDH2bANxaQ6G
/DYWiJ7xjGJKLYcOV5qu8sPuJkDqHT9EGUGqPwEScJu0hkq2scG5kVLQr7QdoUWbDxuiAN2k50Nu
9TLLx9KPIuFXixUkjuWHQvPmvhDay2zPfeWzTxUWuHiw+pF9JSa6fX9NsuraXeXW1uq60Yj9b0AC
W4NFkKDylC+Q5uptBd0aDFf7oMHm44WTSXCckCDlRPjN5an6OiweYM6AArd9F88zg0NmxBYpY/QN
vVOwzzn3v5j1TLQs57h9GRDHWD0QOqfxVSNCTVfd6PLvTCyra6YmdvzTxTPrv8Lv3lZGL/NZTQ4d
yzVMe3vJpYkGao/xhRrP3/j8mZ8NlkOLAo0V+1qsbqiBmKgtoeYDjbgzgzW+QIpoH21Tvi5LY3/w
dcGZJmJDs0Ng7fvuIhx17Xdf7JzXQAWnNa/azp6vUONo4Td4hFAXfnEgeje0NO0qxmcevyrczvnl
uBvZfDpI6NBZnMTO5TqE4cOTLTFh0KtmSw9m6ACzf90iVS72TgVtPvBdk2Du3U+ecIexOtcvY7ue
Un5+LIzejlsdwa4t67j6P7yd15LdSJKmX2Wsrxdt0MJsZi7OOamZTOpK9g2MLJLQQECLp5/PEejd
ZvZa1l6tjU2xWZUCB0BEuP/+C/9P2s6kO/uFyTZHoA6DRbAHXAzOEZqt4B7fm8QuryhUpFvokXE/
HBNShK6ZmZ0ZTZvhdFc7aa2Y6WPSY8CXb9m73s/YraWEBPdcN79qct9Wq1Lu07RrNsDq4N/Q+TXA
tN4gb9vUQKG7aXx8wr+UMAh5/a0M9m99aZg5UFP6bY4uEVNC/Gft2whnY9t/400Wh8sdrCkWxI1J
ySd1r0GSzHuHTF1K3GOK20eNrJHOj2pu0bBO+MZiQbM6TfuPaQOlu67H0OBp9tQBjv/GhT/KBkRz
k/Ckt6WfYbkcc8VqJm5vfTAwigiLOxX5LB2XHM8Mm+lgy2Nob2gSewbmZUAhPTuz0z+DE1SGdamh
ACzmIx8QSgFoEg7Hy1l3RYaNTrq98WIK2BJnL07S71sjovVTBs7LyvLYQvlbHbXynoRkRvKFKZqv
YESLwjrNzug1QmGj5zRXN8ieKSjYq9Ouuupdo+YICDKfcAc/i4EpxfRYfsQcCHkFEwoygZl7r7Of
PS0bJg/fwWJpCHOjEEb23mqWVsPbSW0gE/VaMmRbk0CWm8HMkunS7Doe5haq/2lOdtR/Z4GyQWjK
A9ZHLIEAa2Lgvv2naelChSMX8hT9M7EOZCFh88lSjqi2WUcOYbFfqoHuOr9OS7Arzil/bsy3GwPH
+uOm1yG7uIyyQzU1nEyeBbewufOhK8b2A07trRM8hWg63OF7Ekc8XmIvUfiYV7pZLcxRNiHV+ezx
sGxgZRQxcTzcZ68RVRIURSE+HDwie/ACFsVQ75SHmBMuuMFYskmXN3Ud+lF0W6ywX+4GPXRfyFge
7lRAFDQvldMLRaglyK4lKDPzqC9w6xYuRqDFSMWACzJujkT+8XoYiqxqTjyzGXgJw8qoUEwFXYg0
4Tqe1pRkuA48B6cpOPHKJTto7YMFRi+IR15O4XkK2mSemFFCSZ4WUmxsharXuRQYiZl4sGw9SqcV
OTB5f9Ayi1M+bGbhDg9+iOJh7G/XZI2iMfqrkdg+K/0/Uyg6cZ/BDpxB33E8hpvRC5AMSt4UF0kS
vvOjsAottukiIRGnyuiJH82JICxCULOAIhE4T3oGtsYy/5U7wTqwKj1Yz49GOGMKiT9wP/rPELFW
Xyr/OmlujQpRKCRWIoDWd03eFdnnqQINvwUiJXP11Abp2EfnMqrt1jorZdmNetjWgl70G8wT2bQj
cnbp1TdGjG30xDQIqd0J4zCUCsKnlZYKs4iZwpv8y5LCFXMVPy9vfRgX0FhL6KcUqFhakH7gjkR7
p+dwazLhaaWWlO3E/VLXW7oTy4ZxoOxyzB7ny1u0ZRTEqdFIl+qUBqZLj10alCKwHpryTB+CWdB5
8ztMWgnFzRLaIOVmETYFBeCyIR805d4FCFay/GtW9WE53+UVFMgP5JCZRnCfV/VgP+VrCxzKWeGb
/KEL9RXb4umDmlmA/KplmrELDCZO2M9NWXP9rqpG85Fy2Y2eLN73fruJEbfyVXW6sXO1RgVCdaHQ
X+mxsqIEg3AE6X3UzS4+iDsbxe3crvviGbi5/CqGquODt8xr6ws+GH1A0zS2M25IjMLWAeckN5MF
50Ao4OjGCFPlv5CUp9x5ZedYizzC4aORSh2sWXoKYjqL/o7g086zPqWtIc1fprC2e4bkMsbXpFzR
aDpZJyiBAoyHg5n5LgNRx6qL1qlwmJnoxZIuYlDFm1mudIkVnT4fypgpX6drN/LkqmssCdmw9/7j
6JsHh2S35FzaFXsZvgeZ/4wjnNp7K8IZzeMD+NEs3czklAkWjZpZ1UVrwiXN4kBkUAEWpYP76uBJ
Hx6E3SpN8uxu/NGuJfsHLq8WzxP5mqr7G/2x0AtVXv7Ywe0wKDA54IL8eqZFWT6TGStT36WY5cEH
TYs57lMdJ0iv7hDzT/wW3PIFk3FAOMUpMq2KhQtpU2uILh2K8+Ftno12gi0v8GZ8rad2VVcRJQyn
PTyYuAswtrwGzSQdR7K68ORKo2vtJ+H3MOybGLr0uLyRoGW/fR16+31oLLuLZyGmRZ1jgflBm/x9
xo0TgT0vUeu+i7zc2T5hMNOH5sXxsHuPGFjg1/g9g+yO4XJljCsndceEwkjP2L8GfwG9k0D421iM
iwmYjjgMBCDT4cXyEnwPZyuooqGNn+jwc6OGnAAs/Ni2ZZy8HcutU+o8ODXxPpdYAnbhrmwpSxO5
YsSD6glRYhPcoZyooEl7Qs7AXccoweMV1AhFHE180Rw5fF+EK5D3bA9mRSFl9LPNexixskEmUBDy
Bk7lYrA0It7r1r4heFvOTjVmAmVpRIQFKHATtaC013M0Usg3+GPOnysecDPC+diCebtKy0Te2wza
KEsO5dQMaFZwjhANPENh+wHxFA5wvaUrMVKYduKnAC6UAOSwHcgW32XhJLLdOZGuhyPKt7Hih1xo
ddejlwrolGNUNn0ggki2/2DAzOCuWRjrgU+DbOE0BkWWn1RlFu49H1cix7iFPo1K5Z38OYuD6E9y
CUZ4H20dGuRaFXZWDQ/mjPnznTukAwB9nDSgqbiaIvW4XbJ8B9sCO2UDHNAA5b/UOLL8T+NaE/IK
ot6w7DWWbNQez8QB8KZRR5zMHlUaRDE+WwSvegR5YATq4LKwlREeZPuJRmaF3Gu1R9q1cA7YU/Ud
H5J2WuurFMn3+NzQu0a3JFTwUGMCZ7kYUlwBGi49/jPEnUyBDToVwCMhUQmMxMEgDKf4skxvWtWC
07Cnk4R4qwJntZ8rFP7jjQobhtTILV1+69gXdT9gZ+6Q53DtMJM1eSRpGRI6UcebQGRW0gvcZWFW
wu4SICHikVRDTIrfuRkjTPg+MB4HpKgmhF7ZG2NUE/eGg0lwunDr5FjLmUfwlJlZ8ykwddghC33j
PJQ72yM+qEi/7jwApOJR7ype6shWNwGV8yrGejG0FnTb50K/LSm/QTaTGWfPk1rKiUyhQEHSfkIZ
Iad1nTjg+pcqTHaYcSpbqYIrP+fm5xPpjb/01jUC3PJ1QHYsotVuOa/ieeZtB4Zmz5+CXlYl7SOI
xNC1fBFHhEA2Bxjl7ig0jMk8eCIMti+uaJ46voV8R84YA3ABeGtc+HZ4GQGOIHlF39dd+fYi51eu
EUoCD9kXNJLDxGXjByR9wb/CnlbgNoVMFDi3zkFDqfsN2z8nQtuBkFzY809SDnB7up8WV1bZ2Fmy
DuwU5h4FC/REwG0961gsjD6eglrxekLzcXky+jiNCeRZPnvrNjgfXt+PXQlf/RduAJsg1EFqPTzi
IkaQrvuCPBOVGGJXFMlPuQq5N5ciKEmAOPv9ZIvuvRvmCDh/GfH/ZmqPg5cFKmDWCr0z+BGh9eQ6
4q2qP32KYFxWg8l0rTthagkqj36/sKgGdeGl3EAQ2bVt5c4ZNZaAn32rwGBqzpla/8KVCCIyEYFq
+VS7Nne0XHJ534jVFGICTk0LKzlca7bacGz3phQzYCsHOcIvyD3HUcyBxmSTr39ypnRh3tKaTs5t
htetOFv72JaiY0UF6t56WO003ufMpJvcnuYEDS9Jb8vmYJ5L8FI5//RwTZg+mqrySLcgRU1esKbo
2XrLIJJPsS4Y1T4eF1NkEz817icZWlA7U11RX2Rtdb1m+cDChcrMUoltXEwb5txxuWx3Ckcsm2ay
xhmFWIx9tVWEkv7zSK4zdA2wOPO8JsOxDVBofoDwKp86rGbB2rHYLKh83SUPGnUV5VZa/AP/pKH9
GeWxvHcW1oT5r351pEqL9YnQM4PnjiVj1dO/c0bN3NoRBgU3eonxinjWgwUnKIGdw2R2svVmIRd1
faNarmG9GQk57L+jBW2S8CFDH4pNsR7OAP7LKWlBvhY/bAypBV9ldro2yM8rJaTgel7khMBgbYYn
cvZm1hnOB8y8/HtDuOXutV00dlo8zUstp1JrgDA9Yf1dUnjiArM475GvGvbXcJwZfmBFvh8yahlJ
uyTBLJTKiypMFnMZ+viCXTUjuUXQktmKFMOLHa4+vjAHbujYiHzEpdmbbpsyJhZxUuEBdKpp56Kn
PgRM9y4zKLJUBZMv9TR07YRnHUGmpW7R2wQpUfIVx+wqTJRtC6ACOxgnNUpHquI57gt+vlM7coAU
HYoO92wyJWLL1nWebrPSMMy5EUgZ5SQ0clN6D9m38XgOk3Lwire4/68libqQRpIbhH+l/dwg0yqM
Ox88v/s19y14zcXMrYAB3DhZfd99OUZHVMf7XCVSgJXkAzSE5+CwYQWs6+3LMkxeun21erZm7BX7
Okzr6gLIaST+7eqxKOo75j9j/BZHJZmDmLjirP4pn6Y0Xu4mrIi56LDGJ2+9sBbj+mMi7kbd7QJX
na8PG1ce7GDlchRkqpb3HDO7Xi0fOTnh8J30Ec5IbLafABJk24wVFzefgoUWj2XtLNIe4Ey1YAje
Qe3ynpck6/PonKMFoVdC82LdzTsdDR59zTmI2sLLoq8wv8BjTnlduAv5aVHGhLV6O7eOXSe3c4u/
9nNTdgAmVzjpI167q0VY1D0GapxVp845JD0qN6zsg2zE4o0WLrQ/FfhJ2iU+r33jMdy5CuZQNpzO
wiHtednarKnPVrjiTXkurKCd7PuKuSmAmotMzTEvSZkILQEb/bCwrulG4Xp/sYJOmloj3sezpCp0
soJcF+ekNZlxgk3OAORSIBUJMlT8t8war5O72CZPOfvaKKOqsnfDjOfp9pF1LaszmnupBlYKqjx/
JrR45MmknMTsEU7cCCxqA2ew2HARddkmS5Lv+oufrksQfjDDweVnHZ9uKVoaa7pWR5ZGn8vkco0b
izWHirLvf0C6Gar3NK0bFnZHcUicnGupC2vMcwlyjcMpjVBKZXL2zXnFsYoRhnymow/3/Zr0mbO9
j/9AdNnpAZvZ2PT5w/S3ZZNzZ3qQy4bimJckQ3/HbBb8iA8c9gUbSK+8FXeoEGZlfzUmpDob1woD
pyh5HHx0dQTD1bL2AbcZ1tHKDJBySgKtk/kP/RbBN19oX0OjRNty13Q5YM19bXuq+qnxjNRfUyil
zryRUzBFNDPWKfHgEGD1NW3xmAdwsTzbWR3AEFMOOH8ctlwKmcLmsXeXfJ4qWaZsdQa8/s0ypHGl
34CeNJ3AcEIeUl6Wg7n+gZlZEKjb0kBQ/wH1AUZbD5o+7ACQ8vYuSbeMBHigvqPvpSKleqlXJf9J
v0LVPmM2q9r1/eampCNjHbgYSrDZsNonFl3NhJ17n5BWxYdpiNEBJTgaX9Ndl35Q51W0sNb3ecTB
E7M016vN5scYrOH0wUeMM3/WbwkhjZXyrt0O+1QMt1iJs/UFrqHP80AAPSxhe0UMqE3Y8rL3F1rz
6E4DS9sGOmAFYx5T0SHrUhBu1v7mB7lBiazhEn6YbM8aLWCWKpu0jNDZdY7JHjYATCahuxcyesOz
E6u8c25QjrjXBwIgmBvPrBqVJ0EZRgEcWF8NBJdBnMS1D3EYaPnAQz/RjNu8YvAtyuV71MI5xyiY
m84dPCCGpPE61pK7KUbUeFBGPMF6xvyP2L5mkgI+0u1EWg4dhzrDG4vF5Bmgg8UVnvVSc5acsrCQ
okW2PoQRRoFFoMcdbS5+aCgX+99yTcwbVfYc4PgKcpiGx0BfYcU7XDJmDFPFMGkFhqazpM8noqrB
iKd6a6m29Jt37moM448mir3mUbmz4dfXkz6C/Tp12YamhtAIF18oetfpGiKm3CXps1mrRzux7gVx
jisIn6HBhIcVBcePuim38fB839XQDSBaGA0SEgqEYV5wbJrnShk3Edhm613BMWemdccLwXQZoozK
yo8NSS3xdUYYrbKpP4Qq1DkMmJ5ae5ADuEdSxiS8I8rtEYmElGHr5OLDdGJcKxtbBOXDey6Tfq99
mlJ2XO4jRhdnclpkLJ66I5dcsu7ia13cx6Yn8NKYhRs/SD8JoIG+vNuaUq132T73d2GQQBRMcvpo
3WLojYpwoprHSRy8HANGnMqR1/itx30/UKJSUz3cMhVCjsuQJv/l5Iwenwgu8of6qsI1JiETrfCc
uv8w1pBGw2tN5dB730JqId+adJO89WU34ml/IhFq6/EJStbkblzaxA5QE8+qrc7YBffOcMoBsh1y
D5Q7RhGON7VKHrYJLyfyiGVKnRsVeOv5KEA1iLXtdAqWFzzZk08vh/cHSSrAXPexZctWcTSCvRXI
21F77Tj/Ben/hTzfsy0wJDeC62wGpB0i1P8dSRppjJN4y5y3DUCdeW96Q2ZcLH5j/o8oH+QGa915
jY8A+6aDfIQLm204XY+pl0kol8dEvLyd4Msk12gcluYfLRnW9nVr+T1fCwTHwfF6v/WCcsll2zCw
3cA1PQ5M1FsvADBOL2/DNjV+q+EjqBdZD7AHcxF9tq2kS6mLsOXyyx2MGxJI2s8H4wTyMI/k9Suy
X6JgEOUD4cMGvgMr/d+4cJQu/ZYnc0EUVUU9hdEhdhzZTV5IaN0HTKAFvYmXquXFD/3O4chg+Up9
fZCGjpqs32Jh+0wRY69PKN4Zu97Pqc0s4NoyByi+XxNdWPDeeKzThTEH/fIy7TVpF8i57jOJ5chO
3FX2DDXEit/2+ud92e9ajDaoiUD+EC9BUn7xAJbQ5wpVPj8qoboH9wZ3BcYFAj1aeANkLT9p3GRo
SUuj73Tq1AZaX2L/0+tX8kJKxbvgAYc6Jtx8IeHi6vv7K2wB2Y1hk0+PoZ/OvHBOLIYD6L2lMD7a
tmZnc9CmcWJM9hR5ly20OHiOi+zNvqMqtpIAolxa878tygr3Ns9LAP965+9EGw6B9/qse/0T/C7Q
lg8A7GZjaIi5FJaDL91MorFTXewM6lHtTK9qMKHRnKMyYhNVKT54fyX0e6FF9WxZ9nB/OEaQ/Jh+
8GI6hQsBDvjYzz/O9aS6n/NMbmt2snYiWhEuNNb2PtAoUmP0CNPOtwJmZWswh2Jz5LIIa+SfNjZ+
vM6v343fGa37tUW8VhGvFzJU9Ne/P86qCzs1DqF6XBJPmgIbZum8nskwW+ZM4vE4o4jjpQUI0UX/
5a//tx3RxneDeCXhTfNeBS/1Y5zbolgPxjesd4GHkxjdgEBIEsQBrYxXhANKyh/9drDqpZdaRxvi
4nnaHG6MW/nUh1qyrs9v6HdLM55Ss4mjj73r8VNev23hy7fIt8kih5eP25Zn+//mtxW7UW9W5jQ/
WrXLtOn24AB6vprkuqqJshENNu92Ms0Cb2ZU7ny+aBoETNQNt7tSqwMKtwTNwTUTemJZtnv1usO9
Gj/PBhBe6qqUGOD87ABNQug+6r/cjKXtn2kh6MQ09hQZFugZwhTT3Jw7Yw2V5VxmKqHx28pQk12M
Hk24DzHMT/95yDp58LG3C0QO3AFlDmc5HrnpXlX2ioar3LLAbh8PrN3bT/sA5xCqE4owOQTUNtDY
Dcoml/5aw685lAEGw/toZ9EwFPFRHAias6f0Qbc63j5RI1iCUY6u2bp9a9bIquExIAKzminO6a01
DLnViSL+JB0hsGgaUHzQd0rX2a6U7RMxTOwzcoj2FhwSPhpjakCvFPIx7xBOw7JnQSXgCIjj2PWf
TISVGD9TLsIVfmI6hQL7gm1M7EHybHPrh+fBNSNroAaLhjy3NFJZ4WYlVDrknhGFw4G/FnVM2Y8p
owghsfKGjfFXSgjZav916u07uHk4AQ/TDbFMfbmvQMLybcPK80eDPY9FQ8yVIIv+mgVUP4yYAQae
9AbTaFbgmFKuwnqOVulVuwL3x/7mn+2p5gWOGxaGwYkOuqoRGeiqgiTQNcf81ELC6Z3HHVp+fUHt
cTa/fRgQKov/o87w2ZFebsuw7r0mLYv+jYopzBnHmP2CFZqLtVzekxa2XzjUzMG/xNmyEOPZ9aYU
SSRmUzoTKCm707w10mik7ShjqBhayfShmkb+OS2MF+Aek0XlPc+e4vV+/RPILv77B8DihNASXPhw
HOCE/H0nNQyXniRUxRt4sr3XXqLJYjgAQz5APXaKbBILQH12dPj1X/xvW5HocBDKsX3afojA9fdf
jMKUJOTOtR/aEL+P78BWfDY7HoUAjS0sG9Hrv++F4x/bnZxjvHEUhABDfmT//gsLr8Mzqgm8N24+
CChHPLisft5x7L/P1kJexnAGlXRgrboxOMfBHO66LqWdauJMDtnjiaXrqpHbvv4ZqSAgVhhURf7V
kHuCYRmzGdA00coM1fXgz5yyJytJzPmnMmu3uoF2GrDsXv+MLx8mryFFjh9ZVOuc3i+X1uJCYfKr
rn8D10IgYOQ9nQNyBrZf3uSlKbtV62wiFHj9F79c07gjBAiTTcSWFCms7N/vrYGbCSEzRvnGGTgC
mJqiNpOZgS23DJMKmdJuWIHzrjuEq3AZi6a/v34ZLwvOgMPYC3ihOBv/L7LPCMTBSIasfaPbNP63
yaNAmSF4FFSzChvwdJ8TLH4slzZD126+E7kw999fv5SXFUrAaeVSJIjsBovql0Jph5WfYS9rPhRt
KQcpnEgBnTHl4DXPekWnoXEgVwXCY3j9t//b86A0CjG2xECAfiN66dKQxP5omV3T369FiuD+dtxG
iokoBXtE3iHSn+djf0HlzEur++jXr8GRh/6vW0to0eKIFBYSAu/kS1vAhO45J+Ngemi6qfferHZg
1tkV9omR8adKe4cMoKItKOVOTldOxZ+EB8f8hXlskaVX4QKBjX2yX4ixrBKEtSni+n2kmKiFt2vw
R8Gx+zlmKK4/U68CaC0XOwEdeSLcgeb00uOoNP0xqJaIr+tlckz15xiBOv2R15EccmoXQ0R7zdZU
ODR+VbAl5+Bqm2qaJtJthCIxZ+NkX5pwHYL5AsDJ2fv63Xr56rIDUmJD2YAdh0rw5dKNJzDntqjy
h4kspUx01JnZthCZ/cVE/gdYXK1EO/SeQf6UkbXJCkxBAov/xrergdCr1y/n5U4SUiiaZhSKKyBq
1ZejyrlZEqww3fRB92yaF99ozDvbO5B5iWW6+PqvfXkokKQYcSOsXSyGHubFHq1gfRoG2/g9c+oM
0RRhDtQ/u6d2jmSS8uavyhGOut9fU4SgrBT8aRz2LaL0Xr6mOIB2CC7b+p7kIhETkSLD7yS0iDmc
AkQMygWga06a6coG9qECqcdNSvspqqUoDpbRb6dzskCQr68IO91EIoUxHxtwlzSiOPDaLqQyQ4mC
ovuyErbKfmTYqu/wSW0VQDPTk762n9DnCU6sa81i4251ZyPCwfszmjPBAfR4Gk62wMOBbuE1IAa2
J9Oqvm9jvknTIqYKky3GwbU1Ul6EpgEgGGl+zRSbbERaqIIEVT5IyvSSP8w0kZPp2LfsOivILMIL
10hjRNxCVQ1dpAREcfV+l33V3AzdwNjGwrl9+K5tfS4XZBI7ZKP2SG24JGeIGVMPCS2CrXYftLRx
6fujDD96CN9pBNbKdkki8RJlPZxMuBtNgY/WlvjP405irFkEWwiuFNfFt+PNAHYOwDJsyyoLzKqS
obZIopoMw/sjWT1GFed8xeJ4PcVwwcgjM4soLa/SiuHvcNXnhOW93+YtcX9g9Ub9gy2USJDCnriq
/qZugfmym4OrONYQSpCjRGrvYNYadgNuq+jt3/gZlsCfRxeiVXn2CEFbPh/ggCALw2VpLEzETllg
wCo9lR6DWetUr6xlxtGa4FfaibHc+jRdE1HRTpPNH+cNdYdxTLk1N1ITnmCwyeNaGNFytzVeuO5z
7zVaZQdFpWqX6GHaDVpR27sLzxgjXgGsdyxjqp3Kp+pUq2u3t0jTkb+cmgUeAdNHPU2xQZP4Lqcf
N15/hk4E9PoxfbF5OUr0HCP9pnm3qZox3D9JfO4GOGvvejmtbwMHZSSkh85V3DIQYEk6wx/hkHf+
uw3CAWtmSA05kg4GZr8xuzwPfiVTHabbQhXMnE3+yO1RUKPCsDnbwPvp+aeGcQr/SpMi8Erg5m8e
kDpkP8S2sIG0wm3yLWrO3nNkeDdpWdkx945X28N6eXOCuX5T6iGHRjJ85fT4Z3RmV7D7jiNbxGfN
IOl3ULyyMed9ihDIjNdNVq/9ZY6nkUCefPbjhwI2poenAtO3W4YwwistQkfAT28fNtR0KVym7lL0
6OZgbBJRNU5PNowLDzVU6ifmE2axtKxNDdvgl92QXoOabJ/TQcHoqa46r5Ptp1xTZnSMHGX5k75E
p55PA8uCUeOKr9xpyNDpQbGxWfj2CRDIm3AR6nBXRlVlWVt0exRv+AYB/kPQ9UOI3HM3B08eKeR8
78zYN/81x9ALejLg/WIEyBycpCTJGxtjfOd64GV18d2lMAYqjdGl3F6TkJCBx6TZaEZPnWaJwLWW
18wojYUfbCDh5o9D7Td0PltLRlwkr0PuRnMWXMMSSaf2zGCvHK4qwhhWF7KBv5Af1nFv1Hsgtaq7
R68bDMx2q7XlldaDLY5xNjKqQ3kAWn2IwXKBXCBq/cZ1IEPAzv4Q6CE1gamyleGdCgTgG6YXKzK1
CRbFalIzEoymk5/nIlv53gxMir/gtjSIFHD2hWGo9bOaB1xzmvAyb67heWTb7zBQP/GKW5epsQd6
d87lljFZXsAMxJUIHkV0NRljMjNiAxmRGi6peB6p3SzSEbu7TGFKZbMv/FBIDnqRhrhHuZ6M1FRZ
viMUTSZkmpR38La0ujDbRbUDoQoEGK3jMDM6qSltp3v94DH66AFsEk9YXFWO6hb6QZnb6k2HjmqJ
Lw5PNXZvRzgjy3pckItdVnrRR8YB9wZaoatJ//qUywykR58ZSMrHSpyd565nMlsabMUt4WBr8U0/
IoBG2RosAlR5yYE+F+gTpBqkzXctk2Vjari1nPPSRvrlxirRc9iD/TVp1eaqd0ske1P9qQH8Dv5U
1upON6XZsiP0NAQDdsg75UjPsIyxFQziuIWeP9MgxhPjbH5b5MtEbtxxs3as7e0HLMNG3RhOWUbR
xWj9YPuUiuMRGtKdVlNFkzRBSTiwh6AuFo3r4Kzx9rwGmAERa7mz5paExBb/hC4VUCYfnKJHb+NE
WXsGqhbAsVhxAObn7LJXhHnSW5hibmThacIzmjVtD1reWrx17ca0Rl7wvF+IbDRthJJPtP6z++TY
eWM+aVJciGabU1lbHwUFsrbl3VYC6EAe9km7QY0beHL/Oyw8+QONN69iv6/PxnN27HC/V3Y/AVvp
WYV+1kRuAY+zJuXI02+e2tldVLs8KdWhHbl3GTZRcacI07xnZWHg8GtVORaNJ+y2BUg7ZntpP/Fx
NdKmB7CVkwbFI8BFxfWvzPA98rVgtMk1a7sDdjauVdPjDrppY3tSWOmzItZsXxgiASf1aEPjEbJk
PeCck7pux2U3zSrKhTFHk/C/yXUj6ez8kIMgxuYkLV+EJ9X8uU9c2X3NdBZarCYzHsRz8qiEhtlo
xlnmMR96tDAKAetr6Ey/+4Rc1fZz1uRARTjcDK6fHFWcxoja0ZAHsex1UbGSKJe9YWIbw1WDtMk3
VcuKDhTVpEsg451a6D4Ik8nDiGx7QEBjOCeVEXb2WdPuezVJs4MWtuxC/O/nycawfp+3rjXdP45O
KhZPzaN7R3LN4y56y0Ur0QxjeUXVGKXeWw6ICoqfuxFaAPk0guENcZ95Fri4po3mM3II6yGrO4pt
0yz5pz357AQIN1G8Xvt9Yq3DG2jqA1QaDTwfRyRYhOAJVrRFcXYmIs3huk8Howb8Q0DQgVEqOhZN
uOAvUJrJTuWFIv2QPZzgBebSzsaDZva1v3Z1RWjs1UEPP3b1YpWJ58FATWKSA07MF6BRJu7g8YIk
0IghSdgLdTVppfvzaQ/W785+AcPFJ/E2wxVczhlUKgzsUAMI8HR8DKKAhCSVrKVIO2rtNWC4LpVu
FHQRQx7fteUN7lUuaDKZGYJd+zuQMO/acg5vecU018GbmNdeH5oWfcuHRpVkDcKwzKfbKMwZO7T1
SHtz7LOI9ib1hxlT8925JFapCRo6UkGGkfNmRZwCqCE4fQ+w3bEz2fbCnSnbtpGg0qqcc3N5B5VA
ylhvswTSdYhyWj4XO3q9JQ3TAo1j6mKQ0FCp1aomry3rvGTDhDf4cXpNqe/wItYwNbgp0wyS/Jxj
XLy/gb60SNHmyH+iSxChUuMbQZ99XNjCmTlkKDdEaDPFAP/WbAqZZwosHhXMTU7UgwinBejR0Ije
41iEevp3jOAZ4PKpRdBcmQQPF8lwfXwyTj55hPqjTTGpSRCl9KCrn0u7/LJVY2A+2NkgB64mmbIX
9/mvg/KJ1EH2wC0sZV5II8CxNiqW572XJvJfjhcx3y0ACgSmTDSYjPC51DZJpW/qQ5CRV2gvZxNe
8frdM3Nhl64N4OTnOkrj7vPB0u69UKQQZlrVTXLdYndUfsNBSp5jtQ/rGD7y+h/v2AE325tMBkqi
ZLmBB9+434fk3jiwP20Zi5zHPK42N3V/r0Kz4b1iN2dFYBAtF6p51Z7X8vzXzJESX/twaDoRHTWn
RJBsafhRdXONBB3rHe5nTFomv5fCUmDVXNsbj7s7nhEyekzO7Him/77DOJTIjI1qsPkeWso1sN4j
dvV2xT2b5W1kpTckpxTjcO+HJrFoWTZV/DDcW0uqvvlgBAReHtuumQu5yEIKx+V3/iRKKV2zHUyW
sLEK1iyrSkYWyO0K9kTDbe2OkOtxmr7AbW14OykXW0ZQ1l5LHkQNCKe8VPo8ND1n4DuPn0NbLXKk
g65Ow8veWhmFzDwO4Ovg/litmcfN7ZoiyC8+xCZFKtvJPp/qy7SA1JoHwmnSRZNi1bNCD9neZOy+
Za3eTBAACaluWpqK62w2Jg+YG7gt1pinpYva6EOFMwwvQY19cjBQeFP6PmW5TZmbjiTKyEhvoWRi
/GW3DUsVtwROpENF5mOmz9+6JINBHnsRBm/nED/tsKNFHGqkmjtRDdoEkE++S3oOxZSF3Boe99Hi
oRbLl0+tkUWLT87NNk746dbjwj6QGQqa45WvaZ+qMIULqXc3rwOJ6M5DaWEofVX0IXDlGSmG2T92
MMaMB4puI/6hNYgbJgeclJXBfA3m78rGBWopi1wDhEvAGfaApUxWqxttSLO2m4i3tHVKQSKW29/w
4PFFAAXaX1A3wg6U8wMRDPw9bNLKebsvNwa0y1UH1lUFT4Qh1Il3RVpvM/WXTmz8PwS+wUN8HVmz
fndkYywAOO97+J06DM3x0X0xMh+R6xOrnqT32LVgZHnekKsDbsSNrKSutmUrWHueIdJLjQcRlibV
9vH5tZVQpBflfm3/3+Ix5Rf92agVGj8mGP/9n8cvvnwbvv32lytOrGF9P/7s1g8/oWQN//2ffGfy
s5Gv/H/9j//xc/8pf5F8KfApePgryZc/51/NWP8ov9U//kP+/8237923H033r1mYx085sjA9++++
zYTctEQdZzoRj/jIwvSDv7PWERG7jm1hUyy2lEcWpm/+HS9KsOVQiBzQXLmsvhmH9L/+5vp/R1AN
D8DDFC9EJGj97Z935J0G8rmZ+g4df/+PeqzegV0M/X/97cXEA6CfQQPDRNK0XPiIL0NcxK86HpvN
u1txJQiJLSpNqjLLoQeM4wBdQjdA452NvvsrDPcFdo6XgxcRxAmlwQ34GOGL6VMKiY7SxepQunq1
dcft6JqbDo+Y9rymiBkZ0gYL826GLufecWwh6Q9/hZjbvzscAxUBlQfwi5BV4RO9P37157cPWZ1w
s6z/lddlXJKzPtwAhS1AvzSnVxtbxFdzHf1LnYWkTgfGdoPlH96GvWWtX9aumt9BpiNy3u7M92Vj
YoIyKaKF8YRbCflesz/JkVaPFWs3P1vEIz5ApLb+yp1ZlEgvUHBKCwRJ8Isi7oYVvUTeSzaFLlKe
RSQAWiO8LWhQmXl2RMbDUw7ek6LMtfXwvN7Y04Q6p8HEIsYEL0VmYTiFRygyVJ3hTL5Iemsubv6k
UgJE8aodrGzBpn+p8duvW5jRVYlA+35anfDDxn7KTym8YMRRu0XJklGnGmX8wVqs+U/HsNRXu7H6
+Cq0IUOfbOrEH3jGIMiozGGzLgmaCeuiTNx5rps6sXjliEWRwGpiFi7kbJTQuxNu5FvLyKo/1tFL
ytscVouDam4I7xxlVkl28o3Y+kRdahLEVFSOOhl512bXUYmo4n6L0nH8EpNVjZsE3n39w0aqTnMH
UV5qJkatzV0xrVn1o61qOI2YN0zv3Ln1rTOhKA0JRXjQPkQVnKX6rH8JVgR8GsxY3eFb0uTDjwq7
2uKPjIHpTzcvowyueJ5+58AYqV3dPvyOPyCxyWixHOc8I+H/MeYVgGZPtiFeG4ajwvPGxP0t0MV2
KjA6S0kJdHsC52Dbl2eLlKKvmFfYn4aA8/qKdtVS9+iH3Opaos+zkwdf85l+NCDewu5S+CRLWn4h
mbMfTkME6viAfnHzL33std4FKXz6gfm+N18WcOOKetTGcMIiokehjRyTFgFS0aurMipg2qMlVF8R
qXEHYXHM3fX/EHYeu5UjWxb9IgL0Zkryel15PwkoU5n0Jhj0X9+LqTdoPDTQk0KhMku6Jhhx4py9
1y4wQGSXlOuDdbP4KIXCQK+KG6PTS+PRAtvkHiagMgS5KrPZuflU3njwlKto0jiqL229LG8/33RG
9TfGW/XVh2hjCJQf//0eAjr5IQKwhLpPDJRR5yazawkJjKlXCFhuah/pAiJORew1NSFJFj59gGpb
p+zBnrhkwdbAUszQpzsL0GtBpoJNEjyNBQKpBlsUTuh0G2DZ0UqrKEIGg3DgiiSo0+elIsMhpBiU
bwaMsmSXonjESj9N43IUTqEt6Ar74H0o7doDy2qCzfvZLX9SAJDGe9ZOn9N5vrEGZynehonqLtZo
oVi7YSTLBE8SbrBTkxnstI23EPhtNT6PQ90HprUJ4teAOFgSJ6wogefSnPDfqfppAb6muMMHXBQ9
bbOMEWFGNrgcQdU8ZtJsh8PCZvcbLkqxxmVPpKYMXS+l87cH+VQ0IPfd1LtJGEphBpq8vnvIpZeI
t0AQP/7id4Q67eekGNsjYXisCMff4g/oNhjtFgBfuC5pxcjIBoI6t645kBOtPruK4gjjADFGEFVy
i8XCvabY+7aairclaC37WOtOShYNFso1IiiVj5RpyTBFBbacZ8Iz2BkSM6gqkhsxWe8AWAwk4/ao
MSLauwlhGaLw6+cNG1eFpR8k2UOP39A89riTzUuvCxKB4Abza2EF8ZHy0PJR0wwxgxu/bmv7a+lZ
tc+SaaX29O/hhYKaSD0k6JfxRl5sHtmBrF4ZDvrcWQeDlnQQFaOuboyZb55sXiWsqERC+GVlXoLK
d4VivOPel1mfonQEQ0LR2dBFLawXsaN6vuCSwI3qGZD6bBEoKcz5ALjW7b98ArNUXKwBR+MOb7UO
/qqeB/ta2nhTrjnUGf+9tYgPpVe3Ns16IY4MsItHDm8TQT4N7NPi+6yIai2qLiaeh43GllXJLIAn
nj9gkNR/F+zjkGW6qnLsh3pMtsfELlk2WT5wHlSqdsaL7PugDUkQCNTFGkdedgfBCfwCnj7xhqPM
FxfmJ4G4qH9ZFw78k5zgm5YPWmrbWF/vRzw3/PfunvGczkX333fhmnr7sRoOZ06OIKcNC9Jhv8XP
C/jXvS5rS7TAjeymSu9QWPbfvuaw8vNatOpAJ5Z3hZe5/3a0ZlW3ASq0bpd3CQdEqmzxCmsvKEMm
NkUeJ/ZoqVPqa9UYrdI3ASaUuPEik/lWsS88n9NmyLGmvBnAtCqsl+bUHn8eQTlyO5lzwRPY9Ioa
u6xl/52MAS/ao1k1RABqgptJ79U3EhA1hKMisIo5HcEJYWZIXrODJSS4m5TBzx6C7SSDp2tY0QgC
0b7KLF+S3ThoPLmzgMD/klk9fxOZVjbvi+3XCbgY4xkeKlv9T4qsT/nYgmcU2RiBHm7xcSacXo3y
24+W8LQuxgvGi/s5YQIGVBlb5dp/D+PKtjN5g84O13p59d5qS90/DP4GTyGVRc2fOKIMTHxrOicX
TPJEXC1QEXl8RZ+UdjgrVNmnHzIKydrKSCMvzTl/nFqZCNjFMorQ0lPCq5lALN2uB31a7K184kVI
vMPp3nUWB1iuWvjkVdfxGTWg6NoztdVWYDK03DzCqW4gkign+Ypfga/XASOBe9ox+CdHkiBNs2xb
51hzTRf7dYNFnfKcHt+Tg3vIlGHq5+bzttO5c6i5OU3pf99eL7ZuKpIrsz0rORrmbpuYJ7GW+Fqw
h5gixH6rLNmAddg5bH1YGeNE59SJhOnzOsF4DVy0WrWwG3qox8w1gvrSf8Nv4Nz8eVaIyeOjA0tP
BNgQTA1VJI4BdQHbyoNZLQ1vu8bPhQHq3zJp5pnnqXCC0kQ2o5tUUtXEM2dVjck4z19YMhgC2Ivr
POEn987AnxKIzYf4bxEGVcFrdppG52wQkicMDpQRk47bm1uFx9Ygf0aJRVXnXTxaUkvvjLGwkti2
UA+c28Xkh+VTPxvc6QnViAKCvr8Tn4yzP0nh8OMntxD2ybZy3vlPEeVmJss1JXbzg5lV0N5x4axd
YvsGvu/M1BYqutSg11WaVG2hoDVoPZvUaOzn25Ik3UZjeyBojDXqdjOP3raMu4plTeeJ39NZJPBF
i21weg6Tz5mExoivHC48/4/vBJxMgUYIys5x55IvuwcDmsZY9+FfdT26793PFqdmd5CvHsmBHGLJ
7I30RYQ/3fhezZdRksJun0wUxy2co23TNTKXBpgkyF2+TqXWfiQyYQftoDBZ0U93YaR7jdnJTKvs
wTEq29ipobblOU19yoRiKPhVP68wJWhdgIDaDvDGTQhMwzHIahGgR+cb+Bmi/K4TWiDHgo/b/Bhx
pw5fpTbm042nEovhgtsC/ry0LfkiWLq3DZagnnzFL2hUxjHQR6QNHqi2PIPVWVXaqWJO7L7bzOAp
rv8VDXkJSeraJ4yOdz/forOCcj+NWevca/yf2X6mGmzDEvhTFZHdPJAUoNm8uwJFYkRJyI7ugUHx
Q2mAMgJsmbGBMZUtWJO62B5gEGky1qrEfhHTYJ4NE+TPF35l0FW0SMWFhZPKiECBIqCkqLwX6K75
EHU6vqytBRPcjNS8LHQPjlVI24yVWDeeyo9lHzgvmIYNxt2J7+w8y5t53M28jexWrJBeq7qY46Re
tt2P9Br3oCzytva2kdXlxTVKuoe2o/hWdHpOxZvnuZ06EHvQzZ9rovf1U2CNFBw07ngaWy/hGeuJ
4Bwxkm7nlWBQJMJumll5K9WloNzK0/7i0+fpDsoHAkSFszo2xeQi+53T25kXToE/W6FpQ2lgK5L2
pt2s3JzXRc91Ubd4fpRBOsP2JIltI1m8tS/+BMLieYTkSe2rK921zht+24/x4PcMDxRfY8itikaz
q8xAhCw8irD/HOF2Supq2WhGshmk5iyq+om3aqpC1HvLbq1nYvakQ2xa4M2RksboX8hqK4+4UTrk
ebQTx5D6ijc6tC60r8HpCpKIcBRyXuFgZzE7ekUt2aeZd2mMar3PJhBiIE5c1n7f9pmKfF4vtyiw
oPcMNwMmDZgMaGZSUp1m6NJWRKPcAVa3kqRM8hTMUDZ9z3nVSIejQLbYiSNtqvixP+UwPe+JMxWd
AOfrv1/n6R2nXrapUWaLBuDe5mQXoaNIhds7CEZ4/IcxQ76bseeYLSG6D9yQ+c8m1BI+WdB03DTR
tgwRO4PvMcq15uBIkgebkZYL3gygEk7Avmq2c2jizhpJ0jbZ9mjUiU8GJThwQqqCdD20HdDvCLxA
o0HpTpS8SpXjQOwd4ML3iQIKQa1q45gL2xYgV0QLgpduI6KkvoHo5RyyOqN6ccaZzABv9ueXXurZ
YZyQW1yF27BIbJCHyy3fh5x3HsiRAzlzTna3Oo1sjm4g+Stlp6gLXNwBce9qC7hgwr1GckITot6W
fHs/rlNSilv5zDVjNftGHpn78d/ZwCGuFkPXPaVDqZvvdKnGNUIabV0R7mvO2UJqIi4A0tkOdT9t
PzJTWvqd5rN3fJvMCpIdQlZ+taenfHXFksgPA5ocvWLSa79ZLEw3YZvO3qUfxwBESqr8hPkyaP/9
yETmo/l3uP4MwNKMwzqUYJPsUDPAMx8NDL/PrafWdA+V1iBpkvFNv+uXji83S535/qdyoZ4zp4iY
8MbdK1RI46NGP6uJnTUo20MKpY2Fso7UZAMXIu6WOGrU5efiA7yVdTH59TLfaDjyLL7U7cg1eN1d
3HQ6lUBFWB8BJ27HP+u56O0nPy/T8SWYHdZamTTUGB3cXp6kfxXaz78vklH4OSngEGbooBZ2fq/t
+NHMVEf7GkAZxYrG+KzbzZm2ZHRtGGPs4NNq9gFFmmPG/Qo7dOf+O2TTIeOD5UdyAqJ/5CGvEMuS
FuvZlJD20PPAlhs+8YWEQRcHwFB6C4UUhNddgJlPvAFlpTVTL0Xz29fA2UYIz9kx2sa00UhtJ7GH
4ol7/erP/Xfr4157xrzN1kCviT12cLPg5qeGdDy7DmLyk1HdFiwTJzSYIv/WPSTa56brs8NAyoB9
0outA5OWnjc+zv/qy7mlbc/lmWDGEDo1f2ra5tAe607fPnuhUfNjDanHneigQFzT0bIZVds5l3tQ
0ioimUD7I3INVYDZ44yCoUT7hrZWy/cFf8S3dmpaWOvWZPLWWxgrTWQUVibimrRsWjEir72b1lkB
eozZaO5VSRVEIyLJT3VXlfpeSlovRy9lBszyBeMT2yB3u7i3pV5HXVZJlCaaul0ACF4qQZx02K1T
Xe9wDvgqxB5O1QpcPNjPfWkdGbq1r5U5Im3UAJzdVHaS3VpezSCKo2X5khmlWuiTjI04SYgFLcrK
eLXvqpOSpPvEJYuUSQ4irZvUshwAJ5oDJsYunQ9peT22HP+CJhBQMLSR+WuaDD1BK1nBz9YHGcGd
XpOzr/vroaiM+lwrAWpzmNM6poBOb+nSVF+jYcm/nFAAJgzPPG8a3Ij5Kee8Sey7pMeISK8V/i5I
czYJ2qkIjpqgopPFz4NKMZsI5tLsOrO74Juo/Ceiv9SLDRPqgjyh2xO0LTlSPEmtVVjcvZW33NjK
C75gnJGB1/fA0Tzmr+WuVji4w2aCHkkTg6DF0Fe8Gxo3ivD3UQIyFUl9MSV8cggoMlufDYskDDBj
sjtJk3iG0PeRsPWGso8eQTHUsZnQePa41lxhFKon2HrJWbLcC4qKOr/RRvWoofd1j5nLpdQUldmG
GeD9L7xA4tQVXrpDTGiYpyEZJ444a8WfXnnzHLpVln5vjaQ5LkutOTjTkN1qc0N2vD6kN7iM8shO
GcHHZtNY7G4q9y5atzoHvRgkYtmOYd+IHjKkBFb35hjMF9ovPdUqYUbXPie/NXTwP5wJhSkNhPaK
PlXnv3taoX3QrlXdnm3J1HZua1iHBolURAGavPD0DzEeKK/g/JGldVPQuXmkgVvfkfXT3ZmVmtND
gqmUI39ctrApMjLiravAdocACauCRX3vTeRAIa56L0YjeU2gfb6bEm/KOShy/Q64vijCvhD6E7rt
aa9Jvxxuct8L3H3BTjntucpbLixGv70MQkqTNN75qVzm4j0g8dA/8N46na2/W245GpcHA2NfAVe6
y+8n4vNqLkkAo2kxoJOhc9oOfzNkLAc/dVpOA70MQtV3w4scIPKE3uTV39no0jXLs0+rt7p9leUC
dNLSm1/ZmFpXNNkr7YDWdr8m2q4TFOKs1w8dK/QMlW56TU1d/XGE616gvIgzlq+XjhEmfdJktL24
y/qRm2Hl1E6Utlp6Qc4/fA4jsOSY0Cnjgc6yTp4FUmgylMnSCwczsJ+Eu1bHkUDeEtGjpWURrZ2i
3iHuSb603B9OVoX7befRPd810Pqw6HqJ9Zxmc9lA7fabB6WSBkUhHZPP1gzY4yxUxCE3lQ7uwjR+
WF7Q/CmTydsq7KA8ewgd3lWXVrcDmqirDlvu2xX03SKaPNPzBKv0Yqy4KVE8WI2KtNz2RARvNJ0f
Gtv9bedyul27ShFpXVG5whoczBNU5x7QqKzb7sA5Ih9NVduXKvDKhwBcwKsGY4fbcD8/QnVMr5wJ
6p5KSdyWndHfa76O+SEdU/MVbxTytszIzPHg19N0nJAJ/s11o33K/c5DnTU4rNlmancYFFkGBDde
xNRuFwPJbwndHG403OrG+GLCxX1WDu+phpoiQm0/fZIBTLZ6Kqz1xaSdhUK1rSTqKyYnJFhUtPjS
WlM3/qhnO7T47SnpFbQNyZWkOgqktcOuovRGcWEawb3lFeMTk/sZZS5dwgNf0AqIcqUjTATSQ8l5
8WxqKZU0GW2flSRpgCbU4qPmRARrh5BUaPxr2uI9IcAUoOyZOqxR5jvuHbriNVq0yjnBKin3sLtq
ouR5e1sIi/buDsV51d0K264/cxqB1EGN6jjPhvDlhQgY63m1F//aaklz03nQr3aZ72WPWdIGz9zs
nT/d7AJECvSZXqLIfw2CqtPJzUcW4PiX4UwZqhFVRJQ7ar3Yc10/55jTvjLN7stzUdnsoAHPCoAe
za1uFWV6CGtX7mfkW1c+HTPqMFUNRABY3bBTHlcUy9Ps30zJmDSUjAFm7JMyZlCSXoGJV38d6qDv
gsCID+QVyxJxqXdVnBmjmUXuWihsoEE1LfjOBhjcZEkMJzRRy/xYkz0TjWjXnrnfdAcSeHj+03QC
XtKm/ZMh2+BBTzTxmsgSb7lr9uuht0QlIzdtGTclbqWz4H3E2UQ66Ssub6cdPyGOFc8FegTmnkLP
b6fG714DOjjT0fNSKM/WNL+iQ5mbuEkZqIVoTXPI5Ia/mlwXSgjHGpRnOqFm1/O3jSZ9MHJf3o5k
yN/5m12FK7p90BvPz2Jghs6mQKNIoINhGEd7+0iZ95VFFGC7ImqLVfkNWd/L9oxul3ZXi8r4m+hG
+qcgSyDdQ7oOaAw6ExpzP6vjrDONe1VaGGJaYZznIS0fBxQMXynN0XvENOO1q9ryYvJoXnQgv1ME
t6L+6/eV2vfdlF0zBmAnc0y1uw55+DudFeeaQp1G5eU57ftaIxYJGRp2F4SPRkvOjuSETx1xtAAa
vNtjo5+E5Uh1x7WgpVu2KnIG2u5WINgi1CAX+SsI1tI5F0bfxgGM0stojdYabUDcdwWMY9j1dMcf
pznwL4PdDzFjPUq0lVV7tHtfzo+ITJeNCLRAUkE+sWO8ZKqLy81cMpECBcxBMoBO3yT2/eyJOLAS
TNjcMbdphhriviECOGJ+q85uNk2PqBRMlGFL9qV5rGgr0PMgtL1cLw5ms64vftYZd5gl9thRvVgh
V6duy7s7ugZ0Nh2zP6JkrG5b7gcs3Jk5mtA6Z5ekNYGzYJhA/1iJG+J9MG69speXYmw4m/rhQHqi
S2ewb/66eZE+D5ld3mTIJsBpteLby3JV76ykcJ8AnQg3MtalfwOAbVxbx6t2eByyq0YA7mOATphn
HRe6zCugXeRARlZSO3tgrfJiiaw+ML8C4NPP2VHi/QwThj84mGbtNHG93Pcz9SOcY7rB1FOr99sa
pmBfT60kqXjAy3NI7Nq692qb4ybJxsoAcItQIAIYFYwxX8xIpkvnTdEsMe4RjpCPzxDz2iB2sE5E
TmJ3h8I06Ip7jPfdyfJvfUqh4ph7Kj2yFXdunHAV/1Mw2vuL9pw6HWHiL4Yd4xF1sXjQXE6pNECW
VFdZ09N5Kfv7PLD9E2kw2D8SbicfdKY8LayEYZ8bSLl9CA2EO4PEwP+utWuOxDfRzKhxdLukkZLA
czNXswgdCcEg5UYNytCULxnuBkRAHg2rGD3fQJBYKegU5y33NnucYZIzc4iaRNRv4ILEdaaHvC+l
d4th1d3SYCrzzbPK+bk3mJHu3cWtAe2hsOTGrg+TFXLYNTcM4crYaqt3qYEjGJplvRtNX32QhrUg
S5u4VQZi2bd8WeEk9PJzGfX671Rbc5wNWRcljeFebEOBs9KmbMeDNrjR1CeJF+aJpl4K6uqSxmpp
3c3Mvl6lbg83Jd36W9/HsRhKEx5srHBJy+u8pPVHgw/zN2Lz3ojY990hbGXd4dHnBtb1dvpoJ5Tk
0ZgYHUTecQRbPjv36+QrWKiDaUY+eCpEWMUvj8cgf9GZPYAfzlwDeWshXf4WYUApHR2Kl9gZVfKU
d176RMpMf1pxkhCxk5nggIEKjtptwYt8XIym++MpRN3QVY/0LBbGsujqD4iF1tuqcJhN+ojVwBBA
ho5GQ9eOShGQFQldOI/j2E4nt2j7JbTMxTvo1D4vslm8rVu1tgeb9L4k1HskaCUxGZtIQgPwanWZ
YMDvtjOK0cLYLVWaWzHcRf2tGzs6OJ2t/c5N6fYfi1vqZ/jKYx+x6bkyHlaq9RrcyKO3luYr+JDi
y4SgtYDQHrq9nmvTTHmXX7EEqWjiKJ9PlA2nuSuq5B5PO15b6QLldYX03wgbMm7LYNKaW6drbTvu
TY+NbVonyHqGte4Tjgz6e4PVMdcl4HDYOVQ995wh2Sci/Sry6OqcdMB4Jz59dd+MQ9UwjVjz3wwJ
jQbFXlafzE6kRczILNdiCX36thDa9GbJRHx5cxG47OW0am61sZJvTTB7GaFAJoVzO1d3KTnbX3Jd
OEgh0Hh/fNjkEYqR/sS/FH/rWQL3bA3uZEvWrE81oe9pBMaPs8VUpR6VSTseBrJCdgzls20A3DFf
h+DQe/FcyuWQZ3nxTFgx5GC6B1eJYPJeOSmuQLN07xiyKy90JvHu+5r/ETQWNqkyWUaTqrsdfpV6
IfPYpI77ZgeySSYz0t+NjRt9I73mh9X001+oUbJboH0DMyw1yHApKBT6JGvZ7lzSRoEQdiPmurb+
QpXXET9GJ6AiAP4WtrT7ULD69qksi4eEfZ28wc4Y9gaPTCQcsz3aiZjP3IcChsHoFCLp62XCwNgU
z5rp+7dDSuHJHdcT9+VSjSe9sbnMrkqd6N2Rpkn/+tVG7jdtX0NGDRAM7+XY3pVlIbNdazfjicW6
vq+jnH4JpqePQpDmlmt9Qwzj6FiXtkGKv+fUVU8d10VCQkav/3CqIPuDRkv+FXW/MB2eRz2slrT7
XmXSR5btk+yOYfzRz0eb35aST6O1httRfutlG5ESl9waQ04Sx5rT3QRHRyLRNL5IJ/AfGPplT+y/
Lz0tM2wQmWZuB41520Ban7jHp+NV9ERP5f30rg3lMHAwkCueGaV+oUxuXrD+EfTqlqYTq4a8xnhW
urBCJnj4xiAwN+YucXCypImP15Gh7z6jtlHhzAnexFM3+r9Ma3pB+Zf+tnH/Q2fONAT1tsYmjY5k
PoPUXfckNVBOgTdMLy6Mmr1jpgfSB8sjnY0qSlLY2BHC/oq5oTsuF9cce/PAKKWliyKwYgRecT8h
VCgi5ab9e1AH1bOhg0zjeGwKM+6C0XMhPy1fBPyoFP83TaaBFD+bA41orb098i5y5jtX9Ov6lvBX
lQ95KXuYL3ZV9kwBtJnKC3XGk7A8e0fds3yo2V6OFfqJLkaTas5UjF5/S0ofxL0ym140r+855Psl
/10b6Zc3oAs/zr3vg/30vORBl856K82ArsgSeAeczIo2A9qomLbDi5m0TYi/3T+CT2dVOG06EOWY
6j4tmYS+QjLhe1vWdrj0kPh+i4zUwpIe5o0vxVxf6H8A9fXWZYaYOSNwRUQ2Q0P21yCyF8mUiJKK
XJystW9Toay/rpHQcZmWQPzu+FzvU43ALey/w6dyqeKwM9dnqEYJGSQOxMNwZcj2yyaj4oPRgIdt
SJbZrp+bpXjgwkrTb05zdcCJYb4krT5XOzlyQ6ynobowfRXcUVxBGTGnwyuXIHVj9toxG6jjSmlz
u2JgfpNgpo3KaVS/kc37h0GVgPv1cX5C+2G++OtgPWC1+YV1TY+dhDJODcMtkyLC6OtO4Alz0vuc
VgbhpE2pXZeMQpTggvQ0OuLb9LI6ssVgRdJqk2dm7dXn2k3rHy+xg0cjaYJI6n16WgS36H0j2eP8
4HXm0Hi3OiJHbgvoqSFT6ea+Rqm+n+fpuaiD5awlbX+wKYUAcpNAvoRVVor7IcjtNYS/4J+LnnqS
7cZaflVeRwrSZFsJWNquI1p1Gr33EeH95+p3DkIPEgIIBJfipka39iJtommoHZBIEF4S6rZWPNAv
S25GyPffS7NdAalNyQwaBvE4TK5z0icizW23dt8KUx/POPJzI6RmU3eZkvYNSOH23pnSZ8MRwTtV
D2OqOat3wWDYN+zfzLZbPUcHUt8mNEOtaBlauhtkf1J9LoGbHVF+jOditdCGZIv6RKEhzkqvjRbj
tjkzUzZm/9NKnGlvEt7j0FQzLO5JjEgiNGnZfsnKcj8YGCGj0TWLO8AS3rUcyQOLRlWo3do16uqs
mXyWClkjjbUrpkp86qXWvxEzCQDaTG/dzRpIX6flujtC5omzuWVwWgnCi/fIVbIiDvgQnushaUNY
MBACgTyhIJIou0m6eLCSadkJD8HmXguM8q0NPN5iqwn9atHtPJlymiAINJ1yaZOa8tbEhkEWlkSe
Jdqku4Ge5iGEqoR16KdlOoH2pb2PTP0w0hfDlm5UQUrspJt+zETHf5fmML41tJW43flDc52nqoiy
bpX7xadVF0rZW39ss6A+NtcEsHc1Duehz2zGByXJ9cDlHMJzuukTz4R9CMayvK7l4maID0U9HmzG
3IBRy4Iat5549BZJFo/H6C1Vrjz6MwGV/thXJPwZTNx0Mr5sRknQPyIN+PlrZazDypDAnOmy+daF
RAMF/npq0pesr9wraM72YqLMeMjdzH4a05aLZAdJ4KnM+YsVPqPiUuCJuE9IDifH1nWG21Wm5oth
Wxovtc4us66Bm1Z9X7DDuWuK0K3N32hXsEtXubhjf9ZZrPSiinKtL607aR9Kl/lZRy7Qhuk0Ed/G
zfIwKqlIJPOC/tgqfTgKoKKR7c86q7bVqc3xDRfg+agN0izyB3c6JgnCmnAmHIcmUG6R1mONiIKg
jupQxbRWPFdGZ/zNaRjGpMjZNy2d4djupHW0g3a618mwPTL74joROGlLl70797KTVwjOg9rTUCyx
92GTmsKK3JBvovLQTDZNe3K7/r31MmhtZPz0UW8Z2KMhcYHmF72R7lbXSSMqYQsEBeiL6Zi7vfHg
j+b6t9Fa80+FQvWTKAf7b9NsjAl3WJ2bVu9WJEaBK6I0GJY72OLrk7kQS0XO7nbnSQMGxMwXZZO8
zgSFlaHZmkxdA1C3h4aMyV0nu6zcIWpqCRRWo3ZAXzcyLbIK/8a3iTGP6GKDlSBAovwQPedwyEQV
2IA16Md1bQW965rCN85HFvQFKmH/RNpRvtNp8LjgSILD2mnjjpslkCFk8TRNB/9K80Jyp42cyiTX
ubmtxqq8ZhxjxFOJksi1mMBWYz78L/fA/6G+N/5bBG8GyPhty7I3OyAqv/8SwTPgo1mK1XT/M3H0
7X6TuDC/RLVVz7rx3PyLWsmEuw34IEl+uFsrFD+ggVcK8R4Ds1HVhrp0gb9NEYOCca3Vo+2+Gh1X
41PiDuVTqmO3RN21CR7+n3eAI+W/ROg0mTfSpAdEyrd8778ji7gLlakUDNHgEohPOp79esIMSo4s
+B2aOelcq+ehUsFfyqv2iXFCLc4z6GbEUW7G7N8CszIxnaDk0ocmv0Fj13wYpptWJyZyNvqujlb6
b2smSgfdR5D+IemVqR+zqAnxB9BeFAbpPMYJsjLqu5mcoTBDqE5uCDnkfux1jXVPQeL/zRJTOxZd
bVBapxokBTDmxC0G/Q0yeKuMSQNylpCk6V+2bOR5ZgKiwtJMLXMn8Ez9saT5p+By0PzHKSEFKvCZ
LJkiHNjlFKch17oHrBNAxDu4BSqZLwiWgrs699eEZvDod8WbQjecx4T76PW9MyT9dz4MzGVJ6kSv
JFzDDJfWsVA/yIL36TMTaE74zTcXtFzQ7HQjUc6nNt1k+Ka28vctbmQY3saSxTEWpBafnDRluIwS
gpm00lLNPRPvnebIe9BuhT86RMsPFv1ALKksYzuv1ivmwvVmJn8zDUt84168OvSBo4D9Dbiz7Z2l
NyUrXHJmFkU11Ic6g4hAF69HnMkD0stX+u+btr/OWJpSKl5bPgmbbceudKzSerNJXRYAAhUkcY8X
9yNF8BebN8bQP/3jM/RRmPapE0OAD/PG3twUGvwwfpqDJX/eO0bRfjhkzDN8J/f4W29cptmLvYmq
WXDowZKJLmKMInjW9xy1fFL4uvgEB+yFjDTF9ve3MybZ6TRJPjgzXPuBgWHe/K4ylPozBgJ1H9SF
oW7/CQwz4vWaCpMHoh+mFJuboUhy/v8fkVf3z8GgBVwhYk8tTJkHaRnPEEygg+ppWY0HwUOR9CGQ
buJi62lBz8PYH40XNQmvm0AxRuzr1KKHrDGkugdM0aIh5nU2AsTvRmN80/Jmul2TssLdP3B1ca0y
6Z1my7enIyla2RqJzu2TWHeN4TdxdyU9IrHqRyzgzwsBSddiWIoilibXkPvS8odhhzvTbfYoiFC3
821q90muyvkwJ0t6sBjG2gBoJufOnQWDeWtw/RtBFv3zhCUQPCW6k2RX/3uQaevyMWd4B/RDymTg
zNtaHxzS8tYQYJplRljkkEJNTBXMbkRihqK/KmWsp+zysYUW/ZNo8cA4tOvKQJ+wEnSUNKjhs+oi
58sffX1Kd+a0jA188BpZlBxakmqIh0B8nrBmThizUxqjslMlxu+EnK9YlqbJAje74KGypO/viFCm
QYYHGvrMUm8imn/ahx/7iRonRogzAsiBLJpxRNs0rojZ2gpJBJ1Ze9iODLOjbZ1NB8yFvC7mC1S9
ZVJKhCQK7Wasqu1hrhatcR/nmlu+YJB//nnNvBDWvc4fMigyFe+Cw4hlEyw80RE0cy07Q/BfXhHx
980BYgNaaPefCtlvDfXdOuSshNNUOUcD2OhO0iz7/T/MndeS1crWpV+lX0AnMuV1u2x5X1BwowAK
5G3KP31/KdHn37AjIDqiL/qOsw9UrSWlmXPMYSpo2rus9NsvOgBh2i++8Ig0qdumPvna7/lyY3z0
Q1tlZ4PAr+ocOEnz5BXSCo9hoKJv2UgU18nNHBcoEa9TdRxli5/awApEAZTZxRtuaol98AtAtl3e
SO9U5vgmYJrOhHLXLy0uFwgs8wPUMtEeW2lM74WNhyPD/dS68iAaRBjHZ/OwL+BGNh9goTQB/2Z2
Sdu1mkeJmvGSRL76zmDxUssiTnnwzEgCw8J5QBnqxOq9Cof4tenIi9l3tWFdiYlIgyt7JX4hFGHV
zL7FebJRUZOefb3H4mmcLoQ5J7dwLMfvPdeAe4D8FBr7pB9rMsatjAgDMcE9vQyW1jN3Rh/iBoOT
LQWtsCaguZq3KkRVoVR2SQq5N1pyQ45FZPbiBauJiVOcxoBQM8OudqmP/nHP2VhC4u4KXvT6U+Le
gOPr0TPAEI0y6Ghi8Tt1XipbDQeZhCGACNfkjRm3foGgng75/9wCpsuJ08WxZliZilOjXBfgvFLX
N766S3jc2SfxhGOhtu5GrInj+8hKaSVSrKHj40qkaysd5YMrRoI6J3IfGW33t45sIZhkS3g94836
vl5vZh16UMlpsBvGojEnbjckJje6G6k92g8MsLCdIgpwBCM2g4WDvc9TwewuM/PHPLDrB3xCzA+b
0CvgAlF7RjfuQG9rhuFxye1ivCygpTCEAPuFutcW7A8sCpG9DBkF8TOTPxpKTgAm776XV4ft/pph
RJ3z1vZ/qKXzoRfQXl+DPhkXZW/Snphx6h169N8/WrN0LpQmODVFxyEVEd6WH1GZZ8muhpcH4SSW
+GbAYrbzgzDpHMC+6Cf7vhMfOBSr75gpOWhY5mz8OiWCGYMZCqho48pB9rzW/UwAiFtBFYyKLyz/
AbNlL3+ljw7VdQ9VOmB0GxXHGCbVw0p9NrmPsxPwiFHslbDlGQai9RHqRPoAOuWiBRvT4CaDv03S
eCuHz7aHIwr+i1H/jZIwTDB8wPrh1IAmobBwC8hzg1dkAaeP5dKyMfFJHotxpHzIa9e65LXAg/PX
c69jaMnq0dqKserlC1Qp74tfAK4cYzlrMcvKgyXzjPXJMh4+zwktgY0xBDl6Qe+Fu4LYCPkNC56s
umAyXqKcgyRUX6GOGpjWm1xOrZM9KXPpJvRa7fDoByFspG6K9VYA8zX3VtZPb60R0eAZ5mR/8lce
IWFz7A24mHxc8iVJl0m9bOp3cxXLo03X8bkHXXlZkjo5OAmU/N1YVMGN605jua+zyrVelCV4KFIr
6FBYhM2XGTLZqxvjL6QddobplqwZGzVdBpMcEgDeQAcJWYYZWY/8CESG2JGjrPvQvGTKD4W3JhTn
MXDa6mBNbnlnWHK6KYwgEhgN5GjLGtdX8wkClDr3C79gp6YpvR1CVsUOsYQ9Mv7SLPntsoxEq6sZ
XcdgUTJ/pMsufpQoHJKHwB6r/JB1M+zKiblUdWAiDodgzlNIHrk9e4zToItmB8QNE67RNCvWiQu3
G1+QUuXeGRQ7gMBEVKe6cEGa/JNEmHfTVQh1dl0d1+1FW8joMNGWoSLED13mdxgDevm3iBycc9su
yOo86IXfN+mCYdfiYSa0rWNVQXIdjZYXhMyLJ4VUgtsU4/DsAZoRFTkZ1c1usubCP8DJyQyShmb/
chmhUxyyuhzMr7gMsqpS8CUGhWPcx3isouggDn5iDUNAao4i9oBx8Zx2vk+UyGR5yam9iarYeXDw
znvqmyydjhPZiXfbYVB2NZTOKIbOhF1NeK6TykFsZ7RfkYLF7p3H4PAsnIEDZqOsDkmRXbi2pr6M
AOb7AU7CQPqIyVXs25P1XrZBdcFNE2RnuNfUab7loBPxopYa7KfKYbEYR1ak+zxs9a2zKSZWBZyl
YJPtc/yb7ctRiIGyOEUbcgxGbwGmsJT6ghqHJ0i6l9Ec7cke8n3vxYig6ngRvF3m8gSILLQC2EJw
8kYDzqknWiXr0kEFmd1uAomeLfFpYJFiaGJMKryq7SCrD1CA6U4ghERfG2auwSWHl/nC6A6hBJJI
XaCbkkPAdnpQ/aSEbXWWvbAsBmVjFh1i6XfzpwxT8wlCi1aCtOXCY7BAJ3hQq6YR6yxdSGdaV9y0
WKQdFlsLnWqT13MS+u/DHNdCXRIE5+9s5dg6Fh5zkR2ipfIrfdvYvzpe6xj2DtOHWFArxujADGuU
9jd4PTCU6xqpS9jDkTy4q/QxtHX/MFWatN7mFfxnpOTu2V0LgHHVPuWqh/ltM3v5ZMwN3zVGAWpf
FKsGbgngwbqNSSdATBga29VIZewaXr3tRzzvPtGUVJ+GGkrpqnboa91opZGn2w9lqfeNe8o5XJXP
lfT5KN5g8zaDTTrQhB6LthjqCIeWRP/IVQdV1QTD3AXUGwUispBi8QKKAY1J2hpUmW5slcYBM/jE
AM5uiJJ3FJf0M9Auvxc/l8R+ycKJo63HYGs6mYtNQeCA6+O+4o8561PKzC33cdM69iGPTQMIl0bM
uGpNJ5aXrRuzf2No7VxuFiXPLR0Lf96OXNzfNO+1i4ObllWt7orG6+ADz0ImyWMwTKvtTqZFqFB1
ZHqCO959WkvjbS35RtHm52io6/QNcxfWidOm9A1Nib3L2xIrNEBqoq06OZyqsGbXFRX6Pf8Fahut
Y+QCaO1dU4uxthW16Q03JRUTAt48QU58TDpfcW+7yLIQW1BRdF9kKpm10/QEY860yY2Cb2VBqu2b
2TowsTmZIFNP8Mgx+KDxKLtm36gFuZ9aNe5CYXH8sAkbA8ZZTHmnhMo5rdCNHFgvWvBOVkPcXc0Y
BlhnpEfICc1Vv1uNCopTNHUKVow+EHzqO/Y2jBLkVBiy8Ztdxc+pTYrTo8CzEoUv8Skw0wsgrVPd
ID+5FNCUs2tYQUbzkZvCxtOG+Ui+Q4mKRz15v5LJBN41HbPHMT4ZS2TGsMHjaPjIsFi+hDi0M+HM
cE278f2wLs8OtSFW/Qge7ql+4dAAM+V06Pn0OoDFfrJhoNyivOO5rjIwBn98GstmanGKVnUIGWN4
ywalKI5WVuaHAY7t98W18quRzjzdu0EFkap04/KIWEJSRvppwvQq6JhKut5AY19C7rsa4D7LQ0tL
HN+PPQT6QwNgq65N53OkRtfY4doafYfkbD6HeLIMh2oa2DhzMsjkGBiLehOzxUGDYyUr1iKmrd8v
PfFJXyFzhI+LB6gNADs5P3DQ4KBUlWQRwbXlzyIoOcBqAk/QAFSDTXkO13/8PoM5VceJWbC6y5GN
HjYzTwdkm+sZ5Adp+iraLG2HD8xghlNgThLglsE0lR4os/NJLuU7wQ1v4vu8TVkyGTPCJ9p4gJEO
KgP6tdYu0x8ybDEhHFA1Yt0So2KhjnL9BSiA9BVwPK/39RdEOgRhgiFMfaVpa9PncVyz72qt8BIQ
SOkW9Vxrl0TpMiO8mGqKPKi4/ONNkYerrXqHS4mCEOidDjpeYI7v19rdXCN9t4dbLAJdsTkk3bPZ
AGjsWocaYs8BXSaPYRmz0w2ppdlLnUzGXWQvZX0M0ZXWR+Z6ZXZAJKDeR2WxdVNBcvpLLcEMHv3W
1Z/FE2tYee/V0OJUgoRkF2RJZHysFjs0XrQ72fQWJR2KF7tOm/kWekZUP8681Ox7UfKcjmhG9U5B
dVPv1NAN0x0WHOJZOFX5hhpNPy7KACA/F0XuMyqyPjt4Tuk94StFSHTr4sh3DCFSJnsrbgprb8HE
V/uwlkKds74Mb+DSdScLW53bKEOpfhLZHHrHDZPtuFXTcyfbuD+nbop1Akb+lEFZOw9fFzsw1TVW
W5xqcsp4YkFmccRswuOtW9oAnYpyKP0hpkG/LaEmlhL4Ge+McLyx+WDR9du3254j8hejiBWmGtuC
lUMe1PSw6cnHVV1clujyj6ZhU8XmqwQEPQ4vNwN6iQ/b2hcrghgUHiVIs75Sydwz5MrR3SReU8hB
qpxz4mDRDBX7wTT0rgdoR32Ra3lruko116tyE9UDzrEytj/DlefgwlZDL/4Sv6+X3EwjAS8aYutF
0nVW9FTGgSOwb8YI7d5THSR4zEkwt37uiQ/BZIANHF5Hls2S3pZYUC2cD2lFptrPtUI0J5eEGpse
dTAIMP9vaqv3sGC/YyKqxaUrGBXbLt9q0/mMYci3ahCyECI7usNLNGlZ2bYLxXrOLbHg/uDQTMxd
XcVL/Rcn9n9h4tjKQCQJPFBj7Dgs7dT+D1sZ3xqZjWJ2xUQ9tZ6oq7z66GepvHP8ccTPylQ43ErJ
7GfEovpL46ji85+B+X99AqIdoGWYgU+9Zv3LlB0bDQUJRkKSan1dtsStQcfatBPNio/qyht4gGao
2gnKBwDFbjX7+PNnkL/bV5k66QkajemZ6CIxsfr1MaTcpsyRqumch974zciD6mM3B9aDg7eztxsK
h6G5ZWYTCONMnRa6ZK1coE2lcB8nXXD/5fP87hpv4nTjEHDgeJ6gpPvdr59oK7Ogw2DXp7qosSrE
QKcCZ4MbqEfBo42XxkO+BNZ35rbBuUT1cevNVXguRo0aRjNg4+HPH2lNTPlH3gKPJsDjwfesAIiW
+MffElXGyMf0WcXZWSVeMZyEspeLajHdZ4xHsissgif3hKxtJHUN+pt2+K2RTSkO+uUwd6NLeV55
XxwnvadZI208mcb+EtslS+5qd+kPGJ2gR3LK/qNbB7obETbdchZGaA9IrY6/kRUAF79LcuWcIm+Y
aRsTM7hTqvXv1+/6/9ox7Py9uvtSfFerI9h/HcJWT6v/+V+3yTdG7tWP7ve/9f+lrZjnsvL/YCuG
HC7WpmD/6+U7hKgO5O27+tVSbP0JPy3FaOr/6yGGy95/bAsTrcCWfqDFEv/1EPP8/zCUk5DkXEdH
/ejB3E8PMSf4D6vOxfbKsYRHNJ35f+Mh9mv+A8RzPfkTcKItBO6B/mG/HHZN1hQVCE7wtnnEYy1I
zTH1qTc8bePLfzybvw9NcQuDOYaNtfbDQhiIMdivv09GM1G/0pav1qrdXmQx4ZjTTqNus9syspl1
p16BWHC1sgy3yNgAP/Pp8zwSs3JVA2ozGl1cN152KGeocRj8cj/PKfmHV56zYAdQFg5FbLJ0ulIj
Dxo7gj9/kd+emwdk4DqmdGnjUab4zm/fAwJc2MCPN1/VgJji1SmngOEj0sEYtH+Kk/n7n3+fKf71
G21p8dqliVcI7NPfUzNaowZIRVD0URbAPjFjh4KXlCW6htqQEWTsVBASgyGmT03ObbxVdrZnASVW
can7v0R7QGw+H12t6I82i4SffQPgGfbCscXPKVfQAuUIzZ0LdZ5YWnvJk0ca6bh4D+RMgylKk0lX
ac6arB+6jOIcvGz6q2qpZ3Ga1tJ7q1+2CVsDTyk+YHJGKTKx8mVyyJ1eO1ZOdkXHshXKq1lKyJjH
fQP5nLNTHEHV3i0t+Dc4sqLw6Fe4x11bdqWb+0Piz7gD4KIBsAL0w6qowErtC8x1eEAzV3kPSEnF
fo0IiWJpK72m2RfqDlN8/qacIv4VcwaqItGCzl74udOSL0DrFEMHKnHtGVtsoRJoguqObqxZ3uNa
hhmBvdpSfXsLW8koC1LhrzbDDC5Fbc5LgonNZ/A93JeW9edPKHgZJqoEbCP0PC3ntsFebpPVyS91
a2omTFEUFgjNiIM5QbBVFy97SJgKI9AKbwq+iOhpZ7Z1kGL1DMF+DRFWprNM9kEsDu0x3PfYpHit
E8Kijqndsd0wx3WHp61Qbka8w3DeNHseIrLxOnWOMmom43l7coWPAJt6x3aGp5mpFx7TRltwVGAD
Qxkn+plPYvcBNkPwxQQ9XTMTrX5ioDfII05Cue/tixJF32PV17zYKfdZacD7Hru4kSHfmsjmQX/E
sA5pgmd419WNcvOUT6/ymRcXe4J9XMClZMFYvXboIpRv/dzrmYBiBkSk9irWauyT5X5H/95nHyfX
itJ073VAgPjg+Lyb/mg6A86k+6RqIa7tcawNpi8UHU6MhbcVDp/TagKdYGJMCvQXx6ykcTOXM0tv
MMMu+2gMxIKdN724BxjGIbTusgy9V0BU+JiP3UvgJSjoqwBF361BtjGuu+s0skgtViMWDTzNuqht
WIpwInjLW0B77RTt8g2lgxgefKcD4TAKS5sJIyPS7uNbHz10LnsPt0VOww2O2dJRm7ZmOW1+wVgs
6JwZ6KdUD+B4rOm6hMtyJQIwENhpnHH87rjUGQ/QpfkaI+mdzVfSbyfexbZff/7DuWbREAXJIo4t
A29hYuR468hb608z3vYcLmajOpasE+msBGEEfbJPENu2n8dMkLIdCDlAs9CuRa/LCuaGaaWPqQyY
/bxZ2eNSZdN7r4vkz0eo5uP8T7XG1eMKzzYd04NrgSbvXwVtESNHtCfxij5bjZSwSWUX9xakDqbk
f/5V/zqrHXJMbA/rV6HtMX935hyKesqDRlQfcJkY0qtOO0hfZSj0wms5eIn8CxVJl+K/fDP4JJDI
cVM3LS6I339dE8B+stuq/iB61CPHAV13e2FESdsg4MU96RxYEA3e//wd5b+epw5+CwRupkQ5Sdv9
zd+W4yERJsYkr63daMNvHJMAsvYSl5/5kFf4ugAG49b2YxGNYc4okuOGIpihERTH3cJINyb4QceF
/4BLBDv+aMglZiLTMTBOHv/yaX81C9WFh4/5E0NGAd/J/dcrIfjZYv1a/itzfi+/YnRi269kBhYp
UgV9Y7aYuTTREdPBaeHE6sL+wls3n2mRDTD8ZYWYukD45Z3ZHsat7D4+FuPB3wP8+sqA5ofB+Yef
kROZlxhJuucARpe4M6OUq7b3EWDgaVeOnLhQG2OMe3YdrQSH5YpC5DGJP4iegNtAe/l/i3cGTD7n
CRfYMCNeThFw7/hds8K5MvX69BNtM+afHCJZC4iNQpOiyeElcL785ZGvRdAv39EzKfKoY10G5yZh
9b8We3gIOlmJZ9JLPc7OaB6bUUy+/WPGMA3Kb1NrTw0CAzmoG3h22W3TpSBuo+y4jUMm/i2qu3Lp
VX81DG3UG/t2PdsqdKTjRbhYXfClyW2OC5tcHqyXYlwQSowJR3wwn4E7JnSbneIm2qVUiGB1y1As
j0RTh9VTuZ7BxIZYCPyGLgA8OjV2l3pny0DUjj+ObHDDMQfvHBmzNe2igp78ounwf8/2A6Y6VBXk
01DC/AzTSVtMT9S5GRLKke1atVYHFg/BNSoKhgPpsR4MkvMOiLOMynm1Ectiuh2VHhUGigWOU19l
GMHcY5dGPUT9PHKDjN5sG95VPTOW8PZ9pZlTCdCY8awGm2rlZ0wONRlmbOt/ifi0zdDuEzMfofFP
yZLVLfZLjQbBySHC/+ocBb5OlmgKOJQ4mLoDU6LH0UJOGV/2Zec6b7NwsP361ni8nuq4rOG87kBE
2k+PUWzU608plioIYnPYA764njExpFKfHe5gy2OQ8AOZBpedRKhLzZQbafHu1AVfd7vrAJ/qZUSg
xRil2rNCR+4rYyTL6W4r220xLHwDLg2L+9byuCgEva95L6uAogFWKSYmF3adaGwO5EsboOCqg0Uf
LFH9i3NZs863ICA/nHVKJ6laXJ2bH6KZ2X5wT0SmTVZUhDlFccKDkJfrezW3/exF2pp+Koj4eUcU
hxXPsoUQSxJHqH+2YONuq1OY5FAT/bwvMbCLJrI4dYFUOAkff/uN9aD47T2WR5dN0qfBvjRG9cWv
KMYvkhmvx4utrt1ChoSwoVadkaEZzqOdRUZ5nc0IiOFqmb1O45prXva7I5hlXROBpuNrLFWQmXLh
gN6yt31sVos7q7KGcjpvPxqXL4E8BCZg3TCGEPBNkFqs7cM8BUw39ozUMwNiZ8BQqj8sCbw78/iX
88H6NTSTM5nOmHB4h5uZuYUUv90gI6QNF5Zc+wGD2GZ6Homow1G2YN6wG2EqtD+6jZdXiIqCc8vR
UOaKmaMq7zADY3dU2U46UJDSU2RERTkdvAaI9rMXGBROG1HPWAP90FCxbAY3kjqjAMp7eaksObv3
nhEw9jFdr6sv7QRjhx3Mf70OMVlkCXCQcq7iJphiAkCWD01CEgxZ8Y44klfLIAOAvhLkgJ/pRxru
kLxt7OiusMNBPva9z4CYkJhyiDGlDvs1G6OH1m2e8yKFK30IdNKdd548pxgDZK2lmEgyZktQoY2W
gPPyWlqMBIq7fIulmHJgUnk7xECI2W24GpCFuc2WQ06s7R99pkn2pQwFBcdWsQ2MvOFVtgxfrokj
CYl+agvezxUpuxrbZfCiE3TgA7dpf4eLIO76F6oadOyi59tt8SoGNaTMknvZUV00kyp89y6mlq9y
SmYwYyZAZZKg0EsduVSMruoMuDhWTE2ObhdA14sX8FaqoYynGiwRLT0D7kwdwgXT5is5M+q5HhA8
0VjGgjNu6PEB4DjAATo5bQcbTq+5vW9KVM4xJj2Q45gKK/0p0xHh4XFh4E8k09pAmWwMjCIyp+ur
izhyNIY/WkCnpQl34gEDhgrErOc2ZJ9zc6Q/1Ij/9OMUZ5RuMsmtIdtXMrbjFze0m/jVIoK2OYIa
841gRkoGWGnGa0/6fMle8nRp5GWAx1fwwFNEfwCDocIGKrRbOzmi4kF87dZEh+823zR8LThO0Cjx
JTqvplPxOfnotoUhj3i4zkV37hMHliW6t8zgVicdEOLKrYPLQgJlkQN/eR0NZom7Kgxj+WZQq2SH
ioEK0RFT1+Byu/dAEfHN7JDeln8hkDu/epjbvgAhBq1xbNeBbkwh8+sFn0ReSxefd6/+4Ppk5GR5
o4sKXA/1Xlly6BjFz459ijtv+kwGd8/QejUSL0mDdK9Iu6ALtTptBTUngne/IUOeN/A6IQaxYI2a
+WF0kWcjBzpfauKJpFHOLu9Dv2bZ5hPqYLTYqEXy723uOoSMWSGhNBcN+m2CXNI0Jz6lsZH73ack
vtOmrm+uMBgCt3THHJUfYOSOGGkUuL5TVG2N0pAJlmmAAs7fET8RxWeZxBpuQJTMMA/7e+eCJD8a
uZgmDdyl6rnEoxY6yz3TYXe53G6DJNce4HgJsyW2RZMhUwLHijvrSTBnQ1rxl+M1+L1AJ2IAfA+E
mhwK6G32b29nViVTDDu1XnCK8x3vesoHjH2EUxp2P7zHC/19knPpYfHwnJhDq6ITX5GDA0paOr1W
PVLFSzNVLitvWmeEamG6dNj+kqxn/R4WIYgtXzQ08FLbBeNcFI6p84R785TdNYPHS4AERhswphH7
XmiSzWO3WOxG/KgC4zu9d0pUVjIE46tINUF7EkTRPIpKO1u3wcxLj606c9+2FjtNI7aKs1Y7kcLP
5KrxPTrK7b+EhsGOzBOTvlISKjZ9VrPQG6xXFoV1GTFYaTDYGz37Cd3o4n0p6QqxCyidcfCxkqcG
HY9xT199BdMUs3vkUErHcmBLxREatrgDf2xalz/3i6fLzgKZKCBFp1KTarCRWc/d4cBeZg8oABVK
hhWa7Kmi+OshhrSfNqyox4AKMupgA66EcgGl264cjklubixo6DvwpaJyqk1O4Z+QDUgQ9frOjxq9
Tg0cOrk2tgFboN9AdQw7n1tqWCDeXUeeLG1v1ywOtRNCPhJRxC6qcUN9xo5Fkykm0036eeeg5xvm
cx9D5SCAV7oaY4rjpoQAS5LMHIFFQelpd31FeMk7CkKvOhhJPHdXtYLA9hVF0tJ8TReytMj05U7b
J3DG8WcvWUTy2hvrVuIhUGFsS/7KhEL9VWIqOr2GLqziU5BF3BGuG/IYwlLqxmZDDasVIJtNyUIw
GHC4ZzKLcQLHqWJGbQgxs37dALWNyYPLhF6ZW+44pgk6nZFqThfCZi75TU2kQ3W3Dy3NXt+6EW8m
u+2FqUtwignA40kCh2zV1ZbtNlYm4UCMu3r9wBsuBqKf4jGmyG0xdE0e3UoUrbyzSkSXP9hIdJV1
7/UcU1XrsoKmLNEVW6scne1Y4DelYcF2lNy1eWnwyopAM4rHsIY0sXdamIAANgqEp+1xba+OLT0V
4TuTp4RRfBwzxW7xY9IcbAwZdTqBX+F7WJHNuTaG5hzplTmicU/trxSecT2So0n2dnFYrNmjm9gg
TTLhvDl9hjXLSGKfWKkO1/Oisue0kr3Gabn7dOmA6zZCcWho85tonCm4zEAGiRlbsaPFXhjLoYIJ
zOTUkhrID5FwnNlD8zRG5B4xihDoUTAQY6Jb43CR1YE8Upyk6QEfeC7iGo81QCVj4Y6dcXYq7pWV
qOJhCImav50mGTfiL42q/e9rzA98D5ceTOWEDVDw6zUmAxy921grzY3RX6ZdZpaxe8PjpzP1spiT
xOsg9ueghT6OCA7AfxHuAe7ww8KEALPWEfFZhhyHSzLoXwjwSZZ7oxmlc646WDKXouwW1G5T2dAq
wQ9K62Xv8y6zj2Hd8N6dol+eiHU1zYe6xC79Y48Bqf/dHErvW98UC1YtodHV6VOfSH7hzva6vulO
SlStebBKcg9PXkVo4n5g+/ZPphBtc0GRz640bJeyN18Glyp1xfTxxQqDb1aReSnCxFy3VykOPaAP
6J8iRN1/voh+jamxdQASMx/wlyAITM9xfkMB5qKIoH8F5gu+D3kLI2LGQhf8ONYw/EbMIcWGqwaw
uHS9v/12qd/eP1AIH5aKYwrIHI5vuq5r6mn7P+b5IoyycgR6esCeh3rsQmL+5WbmJRJiyM7dNUFS
OJUUjxVrfzYRG6qywNyc4i1YxAxXT3VWHL6QS0ImebPzwhgi2ickEkgpH0avicbBApyBj2i+pIRj
t+4XtwDi9bH0MfmmnzyoHo2tdi6WBSAv4wZ640Xc4LRSYzfyRkicXJ6sJmsbeSWLErAXspbkSMFs
Lo9vprhZuv2Ylab1DPhvNLdbXnGCtxEFzcr1QDTHlVRHloEJRB8o9jA2GNpZFiB2pDmGgsN67mVP
850lAxfPRiGcEKxj3axavRqxESneZ5cRzdHR08lzZS76HtjSwWG52fhL99AZoV21+PXdJqWwi+PE
i8O5fKXjjcAl3OElBHYOy7XZHQlZsi9Dw+IuVK3OFZ4WtKuX5ZByQUcI3CjCAP86RgLGSDQZXFKO
Y+Zr/AORao9aK545+Je1eiATi9FXrrLV7bQQ/AwsjVjlTeyxmX6ePGkUcpZCf9IkpjSa+X1BQH1N
6O28cNJUauGBOVu6o7X0bSJOHNl6tpE3MfcLNziX05Cl7XJpxaMTHGUBj/kjeROueW5nJfnUeYzg
uTvEiknqMx7DbFLs3YNRPPdwZ3qSPpqGohb6fZpeRI2c+2gXBpiOXnbQv7CQXE+9kCiX7JUbw5vC
oz0mIzcLi1OnUMqyUhw9SwIr4k1FaiA1zB8HKiAj7pW/h6W2VE+9zyM8wqHVlgdlHfEwItmjnEF7
keTPBJ9hng/HJzIfNgQn82qWziyl2yCvYcRdLh+2yrhy8443rvpB35g1BnOMUCqfgmQKpMgusTbo
kYl0I2UwfqlsYruEy5viFe4If/ycJEpjMT/Tva0lr9IfkaWv7QUjFMY4UQ/WZ9SRPnjiChFVcpxV
ZQcfSWkDDM4a+KBY9quAWjkdtc99t6rrtq9VgnAMT0VjOSy4paO0q6AOzl9x72bEvrMJ8ctuo5CN
eNr+QVZ0+ucJYlKHJ3RDFHZOM1CrR30Pm7dPXTimroUx1FOBrSYfCqdxLj76tZK71jET1sIG4FAa
snYdkbJh+Hnct/M6c9pod5gEhWrfQYaPYep2GiAsDH4nzn8UNpajvPzcVbUn8KpQrEZhRGN4gZ+A
PexcK2OVzN3EFk2nMqXACBD8J49bu+Gj8+ZD0CMuX9uurFMdH48272tmh2Z1TedrWBd91/Klt5XQ
rJOdeU2c8ftGo7v022wOVBh6OeWdw3Oot16q2HYS/juhho4l4RAnv6JX24l6XqtAFeoxfWDY+i4n
9aOAqOsOPL0N4RQoP/xLF7jPecx8LAre3CrBq2K37dp2wqrs85ag7ZjMaO/LIJgeCE7nTfZNwLaA
yKTNmBNMD9wr4FAez4wqdnzdKrY2Xczm6zZ/bIRFXwBCrz8SzFPGqYwiIhZemA0tQlITNRC3IukW
43gALF46fNzp7F8GQTbOvnYc+2vY4YlKlncNf7BwkTWWpr8raODPQ1N7z8QDLFfFIM1PBohtdWKa
TkaYm3TJHrlmh/Ne78jPEwtH51t7l9SsaXbuUoT6B9SH81nbShUHhlDLsAeIKtt9GRHuty9LgZ4/
wVmAmtPw8O+qzbHrrQ9J0De1+IKJ0KgXd24+87ki68KN0upIdpGT0yKUzJQuaaOs/Ai4Xe1dtRQF
4z2NLAh4alhVchWOd9D9vXTfEMMYX091HB9tVbanuHYbcWvlkpkHCGorDw2t/Z0O2LXuHZHIlyKj
jT+ZqSE+IRJ0bsolal/QHDY32ThNj3PXu8teNa5G7KJufJd0VcUxBKiy8Ygr+2sL74zvQmV1fhQc
AtA1R46/XVIE6UfpNbI4deQ+A1ANRokePDI6JHYFDh/HnuVuwcqdlhtN/r9vZjd7sE1lvHiJn2Oe
E4Iu55T/EfZAHEYXYWWPz1nbz/EbQfJa2Alf7clfoKnfxBhm31Z4yHqPdryYSEQrbKGuOsNur6Mq
lPjktDbmdgtbuT3Qx4z3BSYgeJ0xKRkO5jg67RmhaPZJuEX1WRmjlR0iVDH55xoqlnXs2Hvh3VjV
jb2PrDqZP5XG4rxJQqvss8K2ycQEqgujfeGI/ErIPm6eLI5fsRsD6xUhSfrskTPgH2Q1MuGpM9OL
r/txJLGpXLrp2XByNPjKJcboqIKp+YIseDo2dt2BDxozJioyULsUE31Ka9Ty9wBeAg9PzuOcJLVJ
ENPiGJdDZHrqolBdEpIp0GefmyyxLjnRoyM6lMbdD5lDR0A6vIs+hObxiTqwntGt1BT/BwbKNSYq
Re29TrFdEuzZ1cmJ4xAb32lJwptJTDh/OqQo2UzRwvDSxvmterKosYdjlJrRfrHxVjFU6ftn3Pan
+moaQxm8sgg8rq6gmO6j2J68yzzvB0zPHXCG3dKY4oCcMnsLOy/zuAnK+DoXaaz2Az4QZ0f2xk1s
qjA4t4ECYGsdEfDhnOFCEoRbf8mEHO+DKPbQMRLafgGf3C0/kCSMz/EwDlV2lLkbh1dEzGvXjgqq
FbsWhEd77CCsxEYrvjeHiKx7hKZQj2VVjz/Q/zVoNthf+5LFLnZxJJFPCF9iV1Plb+EcfK2K1EZE
HA3xKcXCAQ/hvhFf8eFOrknSwCxyDONcYfs/BcWjie3HW8aCvW2hQ6v9Us0uoUSW+9QEPbw+vAMm
LJ2LglDLLG7kMS/M6qJB0P+pKrAhI3rTvaUWcxhOLVlMgh2haNN+8JpcGwQv0bXKLcyM6AUJmGCY
n7cvXEUIqcgQiXZOUJbRCSOUCUmgJY+F6be3mJaljwDX3YK1kxQ3iDUwfCQLxD7xwHHIikbnBsxs
PrWo+NLrBUnxW9BPbs5rSYvvwugL6hDXzRAX1nLCoGmO93KYHYU7dpL0p0o25kOWk42wVzZWiGky
ZHeF5jJP2ENE5EL7gTZqFhVEm3S+HNgi/iOx5v+bvTNZkttIu+yrlNUeNIdjciyqFwHEkBGR88Tk
BpYkk5jnGU/fB6SsfjJVJZrMetGLfyNTlSQigEAA7ve799y4ukDJsTrfAhgWYWPHTxJ5cxvLeEv5
kLuFKECrUQHXxqQ1IV7U1irMxhsJoR7cMIQKlYBgfewsi3oY3kwoDlr2iTX/nRobM6IGuQcea1qt
9pRKs3ocE1s/wnKLxU3aGetSjKVUsY8dcO9NMajnvsyH+tjDfwa3wgBs9lTlMNReAuqJ/SK0xXNe
aeq4EIfNt4roxB3810kdcCbV96SELNxsIjtFsI3PIgqDt5iGnDUrOzY86xjg7tpGL1fdi3hmn03c
RC7A8sDq2hDKmGvft5D/bvu4AFZmNMbs7kjjxC8s/cjQCKMNzos+5/oxRxG+Wmc/3IFaWhyHUhPf
qhQbPU9oPbpuIpahh8IhQ5jrQfZNW6l8Z4v6vjPD/WntqEmeZnvkpzPkjtqTvgOULNuWbzku0SrG
xBSnCeRM/yCbmqRjhSQSgcyANOEHtGshozWwFwFBxUpeWi7r4I+90VprNxPv/HsoTdV9neqhsYkr
d/6otzHl0gDeWS5nWdHf1BFvhcaw8vpQhJMLpJ7GFFikSwlir+/IlvgNkR65MpvnmnYm5V6pmh/4
s82CgCFLA4enhP1+SPNZpN5YkmFYQ/4TTYzOFD0RdkHRH1RYKMLnRTrUO22seZ66BCb8Ukba4LWO
UW+NScXV1oGvZb31bd3DMRyUzeghUevAWqX9VaDTJ+DjbZJn1qWSNmdnCX1WEvw+2ftH3wa7byXB
YNXoh4616hdTjuQ0uHfjyGsV0Uodo0TL6tAupq2kmxJTACsL4RldHR3Qc+uYPdvMVN0BOyQ95kV0
tEO8m67brlbWkVr5aD9It33oLQt8FPn7sbmybN7BJcV229pVlg+iKuB4ctKFl3dUDIWU3Mwgd+Oh
PI/kVGkqjt2kOwAsYiscGXN3mrVwbo5GhXXuMm2BKD/IsVVnumjH8GCgwi5AP5wpr7wI9WuERg24
duMGSX61JFXd3TE56tyHjugaq4zGuCMiojQKjCYgbafWLaEyN4aq5LMzqL7yXBKLy7atI9Uc1WwY
u1at5CBNas51klddfRjw00tPNtjLNm5RgjnPUnU/GP14U7MUorcPVyKJ/kzWWB3G9B49TJ+OEZ09
EoqFMTALRVPFKAcHLjWZen9NZzc08I1tOpLw5iIvzcSkIi78oU78v7ZV/1fH9M89zP/nv5mv/3+0
VUPCxjT1323V10X3SmX7L0bqH//NH0Zqx/xgSOm6eGccBlFMOP7tq3atD/p3jw8+WVNI2pH/7au2
7A/K1i2MYDo5Ap2p87991ab+gVw6QhVWKmahjuv8HV/1r7MXS2Ltwdvj2FjNYIcahvxVdBqptrQC
nsgn6sVD+6oEr2JfmdSoNb/Rt371fq0HQljDQ4QnXLdcXKm/HqibNaOjSaQ//eHVKwOBqBSa7c7Q
IB+AzF6dLz99FTc/tLOfi6f/dEyTVYi0EEN0DivWi/izouYogwwIg/hTl+jMvvsK1XotIm3UwgO1
H1I4ZJCCXv/mUdHHdM4T3gR/47y/pFA/ldsZ+sAAuW1SIvz5vGziAebszcgENrq3JqMNH/76oL86
+bi8tkngEWkF1teKwX93quSEmo63V3e0UWjgLxqV9cqDqqFqJks+/vWx1j/rf4TK9VhMURXrdBvv
KIDfdzI0EmYoUwIlR7cpw3AfEguOANQnvdX+8dz5r9Xhfz4ta1ViOTX8ghDM3h2qR2JpS8Otj/k8
2LYHXi97Iq/Lvn9sgX9f/PWJ/YejuQYl6vyFC2b+iZQGesCFedYe8RmJr9UQyIXHrlM3ZNBgsvh/
fTTzXXyK62hzo/BIWC+l7bwXnCO3A00yBflxisBJARuqm7p9cVBomw2scWDVRt5jnBicpIaSi42H
OvCMvP6FjB3aIsqw4s0rBqXcrRS51e7KpmfTFyfCFHs2m0NBcj03wk8WvZz10YhcyUrCJTXhK4Hf
jKSqvuT7fuxlfHAKcKzhprVGfF8zYjwbcwXR06tMBPATeB0oiezm8/aFMCcd4K1eRxlNQZ3R7orB
5EOjoIULFVXDFF5Mtj4kd5iqWFcSpgCwO/RWBlw0D1RwXCmu0qvGwrJvQCawIsVsYQ1qkwzO0Bib
mgbPIQFC4NadS83bAt35Nw+HP3/ZXH0iEVSaUy1nvrfZRmCP0IhFflzgMXcXSpp17UODMpqnINVZ
mf31t/3ucAjH0jSEK3heY+0V67P+52dRMmOnD/HpXEwyHvprqYuRx0/dCOGpgH3Nb24uRmC//ko5
IDMcDsS+br3HdPnrAQkCAw3WLesCRdMGlG0UrnkX8ytLFKbBrmcNUiM1mge6/dCwE2QEGpN5iFDE
M6eoqCYicnpgFD+LaPtDRWwc4pDKw/ARSPdpxrBOiGHMzGDezoWRi6euqtzmLU1nQ2O5OYL5plAq
nmzlp+QVV0/4Qrlut0tJd9c+G+9g3+DnGZ8qkdnncewoJTB7PXxgn52gUXKfxDteD9bL0unGnXTy
tvUiHO/HOQKsU2+stmeKix5K2sQfo4lVI1Y4dH2yJwzMWbRj/nvAcOq4BYWrrH+PkVMmkYVDSivs
r5PWN72+6bhBzOVUDXVnJntNLBR6JArwxdHhIVoZSBjr5SlzOruuEroRkKRRSOizwDlmJxTCiHBM
N42WK+XHVREx+0racSGx7rpAaDBilgNvHbADq2+gaFDkMkru5hMWdP01qcYR/lHhAjbYsOOXwwPZ
pLF9qMvK0PYJgFsG3kkIiaadBBz1PqLTYQdhHcdDbM3NfmgaOLP0FsZ7hqNUB3V6fl2VtgRLD5UY
+4TjNO0Z9apjERl1pA+egGpK/SQBMF9poDughVkh+F/mLqM/qtDChRCpyo8i5gRHMgCt2lVt4Jyw
W5X6lomtm2876njuo8QWlz2/e8aLENg+8XaMj9lktTZ4Rie5anjm8Ili/WnKaX5Iu+bVZmD/pFHm
eaXl8wSFaBHVspeisLB/Gma9ULXmOm2C1O2Ugh1wlKe5x+so3HdOAq0XvbeiMgs2zoYeWxIQpqYP
TL1SQRnpKIseUkcknOQapElwtSCVGFtbxp0BcDUIkt3cqfCFNk884DqFM6yoZwJSdyEolldKgSPn
oPW6dcC1NHMWSzAe5RLwXCOgk467HgjaBUpoNN3MqVFdziM9gwRaApMJT4oynM4OPEZqTPVzuuCM
QyTTDQ3yIp97C+m92mBeidifl3rxmhslxNNl9WEAg6zBDdTTQ6TK4dni3EgilNbyFCYzDfa5UPUX
TOty8WUVy35PDK2YN2SdgOKgUPAiRs8E39DqAMXXPlFt8PH1Z/Gr3uvx/NkZ+vi1HfNgrwCcvaBf
1Ps1cDXi3647AVsOsT2gREC5zrZ2XIpxegflmUi0U+9C0Q3qnLsijnZ83M75yg59fqsYRJRHS0vo
td10EPUyL0QI/MZwj96pMHbQHfFvm0dyxJV76JjA0PWSDX1GQK6T9uOkq7jcchZjS+UZzrrhKTKB
I+zhWtFP1UGdB/aVD7EItxpv/vA5BNSSO/5qH6DrYTt1rW04V2C5i4UWDVk0n6H0xwnBk3QCv63X
fbS1+7m/nVWL26mCUtQ+4iqp0kuLDijxwkxhjk5LjwP/ktg9Cs8C8u+ah5eTHnCKjUg+FSbio82w
IRO0LIxd9KACKfU76zseSlBB3QOMtEbN43GQ3XZZu4htg0mCrqOOCCDCbbe2UmGWQ9XueBOLq75L
NBrViP4DVOzzxympXe0yim0AOlTX2/WeT+wOz4tmqJaKj5rmVizlS5BtmwHT1qUzuXTq5INo3E8l
kLhqJ/QQGDTz7DC/cAq3bvYy0Ijxh0kvJk+XGkWSuPZwIHOnFNObxgrL+ih4NsdeX9VafqTAZhEP
YiGCfl9WehG+FqltIrg6WTgFd2VO2dhJDlk8MYQSQbXFwasir04DgO+hTtOeh+Y8R9jjyRL7nZUr
VAm9c3NoxQwt5SPmIxVdzjiLxOCxmknd3ZwRlQbrvmigD5yg5acJ0rIJXlD+h69LGNbi05SJwTjP
1lwmhwkMg3U1MWCYMy/CP2TSIzm65Y51cGZcUkpSYAyaUV03Ee7e6owWkPBnjhrP2Y3dFNnypLXM
xSmj4YnRPjAvEnpGe17T8xSSvCgqd1eBOeILXWLHHr7hvdKAdhPTUlcShsDsTzN6+Uk6vB9gjk+R
cdU4RVciW7TLdOQhpYZ8E5dG0W8WoFjaMzbOuf8ksOvVHxmjMdqlns20P2Wl3Qm/bQhj0SWaUElE
0a7xeUhDWBboEu4CgyWARlfG+3Rml29u86TMXGTlmRv72nXcIMwoHo90I7qMSHg6xas+VGMA6D9Z
Sttrq5Hu1C0Guiajz6gOkE8PZTktzc7UxzyEBmRbLY5ZP6JAEmzkrAHKAJg0CTM6l4GyzOELNRft
PUDKQqNWXkRDumfxmsNC5o6ZsBFnMsyuMJ5W0YZ3tSi2PTJbvUmMRmoeRU0UjFSTW6OWBcPS+EVb
m8yZpNXsrG6Msr3bzUCyWTk77i4WkbxPhVaLK5J1rT9Y9eR1Qq52jNE9pMCAnzqFcK70IQPjlIS1
7+CF2I6ONZx1hF/qWKiZqDcUwMNLNFakUMMleRviCaNm17vlHd8yWMhkMI4dywuf9Yn7aiMBb1MY
tfbXqldN4bcd7vh9NGTTFyYqzEHVIkfUxLavPtP6I5vzjMzrB72abifeVTdLxljKpF24wHOYrBru
aKkrB+H3dWbSfk1NWgbCPjGjXZznBrNarbkoy2HojowocxfKnZ1dsUEu5c26go3AyZdg4PU0pIci
GLJmE6zGRz+cK+tCZ3D1FXzadDTwAigkJldQLIQYzWO2auVnMGmpdakZhrbVMBCS3yn0/lgZleZH
Fm9y8Mdm1JDND1EZe6u27QsEYklBib2Etm9Psv1MgqN6jhoiJR6Fw+YXAK5rpaFExZaJAAdOSVO1
ofxUpn7CgOnJrMBsOjn870Q3xnMShPrHGZ3hUzsZ0RcaMftj1pbRzZRECjti0ezdSuLqwi7ugX8v
PFZAqQJkYVB0LSnzOOq6LF8KbGIsYZwofOkWZp5RCFtGL/JHkB4Z1ZFT7WnVmNwUwmWMJzt3D50p
I3mqxOelrV0SZ07KO7Ftt3VgUYGIYeYONFEZbpxRZpnPqH8C22vXV4WJ9ZlhWzT4gUs99d7Infjr
VGr6fWmQA+QdJt1HUM42K1tHVZ0/tbGm0cIJOgqK8EBGPQbF5bFnhTYy13N3kWlpdWWyFphYQlUW
MQyq3YAjiHjYO7YzvvaF1Pdmy0geF2grPMmYg1zKZJ4oe9UuraEuT3CSdPizgXUPlQ3MlVnmPq3r
7hsj8uS178YxuODn14fbpizKe6pywjN0tVBtInxQz5UQ6e2IF+6rrNaOBtaoFX44LSwqHxK7cW/E
/WLewL5S+NKXRb8t00QJr+Lhf8nxafED+LtrcjlTxzrp9bBNaDuFZ8jgRGGcozkTZ/9rZtn0qS3r
3uMEDEQuh9EUIj/gQqobbk1zSdqbriuXOtml2vI9WFzC19yAFEOwgXjLphZzus7/pWsWA6VKxTNh
31pEyd5sXKJFJCkxCjE2mQHACtxEdsnPnTsFT+iUMQxeMWwtzsj2hiQlt77dK/5jQb9DCrYegO2W
UVCcnRcy+PmpDvSgu1in5XzzUTZp3FwDUOKUgTzjOj4IvHYQnMDq8sD5wm+1Kq/HkrnRDnTRd89n
K9ipTC1/WFH0hqVtvn+EKXDHMsHHmMz6WRQqoHwoJgRaHaOcbNe+dWC8bCWzJ7qCeqyXu4w+g/ZF
MaHQ7s1AsF3YBA79QgGtWTbpJspXFYSrTUjAez0K7mk+7ERscVj8AYRSunUVePt74ge8SxNmictT
VimRn/IyEv3boPdN8mhjHRgoY8UK//mH8le4ENYvNV4a5XU51iGX+rsi+ONq2ejQ6Rbaoj7xwk9U
dvXj/FDD2l0ruWcpIzERCMrexXiFhdJJtl1SCM3nQsr8lOHpzc5CJnzfQ6Rxpqk9Osbl2Dks0qk2
G+drIw1VfozJ5ugHOSJ4XeTmkOcnZiJ2/BLl2jQTW3BHZT05Ntadh7HM17NnpV0WDEGSdPjWlQV7
Hj/qCZeC2YoZdNGylK1FN40oqKvb9fF3jSekkSI7h1xzeYjDKAuPDffpV+xbi5VvqjYkrAd7y9UO
GbXYDH5MRcMawWb8CPECJmXP0KLNgKhNdPPBRO9gYUqZ0AUTCP0+QbMJQ3ovwibcCxGnwz6jVRnr
bReOZOwLgfmC37e9PASSGqxDhTvMPi5jhwSUMTfFt5oFc+9PQR9P+9CR4jPJwTj9RqIvBKtcRbSj
Yr6Y4hp5ocPJuVF1lT2x3OmGe8vFOA5MHLH5NRkaCyJj7rDPlv0YWQdqeszgBMjNHs4Q5VR05tUe
ddpWh//r3LqCp+F1MnTssluqx9nDptTF0CiPlT5imU+UevEgnibLk45tdLjvsVng2IGYLzwqcvnY
xmTxXztmFU17fQwrsQFTXIf0uxAQ84LFhYNllLFGx3ci5tkPcmt0vVDpTVj5LRrV6BMVJ2wVOkZh
nJZiaYb7SdYaPlv8BevLK4ITxdXJ5LPAudScIVbH02NUO7SLeo5FYP+LxgPJPLg5Q7LYG1qNqxon
NlKgnwKTdLHAF8nE+DgEMOmcKEVESSuKJT7itOLnlDXzCKQxw9RA2tE5k5bqXSweCQVdbSmEOI9z
yD3JPDJYOE3DumGSp+1To7bkV1LGTK6+e9QOLLP5oQxtio/eA5qfGS92jmR0nIpVIUkwEFgHGK4B
vdmN5FVUz5mCFupWU/qFJC5qQt6o1XbsOkyiNtgc+unq76pVMFZ0aRFHFi5a1DvdVYpJsqSarIsV
o0Z2jJUxfuAlyXP4AeR3f6hV/zteepirt3/98/UreUof8aWJv3S/jIpsBLqfvhn/tXv9x1vR4YhY
8UT/+udNExdf3v6x/Tq+Nl//gdX3tfj6H/6AP2ZNtv7BddYxk4F7iuGRAtSzIn/+9U/NNj8wSmJa
hEPCZiAi0SeLFQn0r3+azgdBpoLgDWMlCaiLf9SW/fd/ZH0AD+BYBHtQCklIm39n1vRO76b+DCUf
Szed4A6y5Ht53XQXdtU4hfaIlc4zC21AlAx93ua01a8Ki4IwdnTwa5m6bun5+3uwAwZB6+ENTtGR
Nuf6HszFQ9DQ7MVw9+aKn5llT7eCO44IgaG7++lL+g+DJ77Dnyck66FW+JfCN4fTgwLyX7XXRdfa
uItKDkWJ4AXmpmBLkEXe//VR3knKfxyF2JRLFIBJwvopfjKM5xqvoaYu3L1l5p8bFoebOuqPtF91
v9Gu30nJPw4k8VFjtiJL9/5pYEfUE6OjuPt4nG7YlT7yXH8NXeu+Zg/N4nH6zeXT3w3ufhyQvyK6
wm7gKv56ZmTdWSDmnNmyTvnF6k4nqLTExW3pisbDkyWjHc/b5gtyJhQcF9tKOkl1O/NgvyCI2J70
roiJqi7jsUezupCQLU5/9/I760gTPV+RKQET9euHtHMQrbwK1B6mjfIxQ9MSNLXfKEaIfxOR+/MX
jXpCQYYSmKp0FOVfj0ShnVVr7Df2WV87+wY29LXu4m0Tejf/BtHx5zuXHAIrAcYVfNXi/aF4TsRN
Ruxon0b43Cac2RdYELLffMFE0/nIP80Q+W4VgDhiFspSSuLe/vWUaCdrcZG52NNDO9gOYoguLIzt
HhJ+bnlmSAH5zm0od8Y2zB6Jbu4EUdrUpW/pk/RTI9fuHC15MeivY5+kzeN5pOeXso8wsh9DS5/3
nVa2A1JwD3tb1Xm4p3ay3+rWXGELmgi3unNNdBcCnpZmxqYPWQrQWzI91CJWe0tzSq8e3dkFeKBl
Ww6YFBQVDtrFDA2aqvRQPzROHL2UjM98gwzGZmLsfbZHBaHXDdRhWLunir6xri0GvtvMSTofm110
JK2dXwIM1W/FyhAmDW/eEPgKn+1ysq8FUqg/WjNLrK5MWw+cBl16OF1uwBiQPom0N5DKAyuNYFBe
Znf1S6s3Nmlbm80aRt4Tz1PzFGDsO8PGBxpfugr7qjGyy2auwl7S7h4wM2q7uLB14l6qLv1MdMZd
5szppQv6icmgE96EnV0DE2itu3wwqC+v01LfjL1gMlhH42ZoWU178ZykFwltJybr37zAZB9QS87Q
EB5WHekHJ9C71cqUXc9AjooNeGBqlNPaHi6oeOhvKGNpPvVz/Syaki1XSNEgdlRo5d+QydG0BRdC
1uLrMlkuxbxJ+Qr2My+3tGXKrc1D4iooHVTvpG5eZN+2vmAnqhjMuPclKXjMPQ1BE46ZD8e4Ts2b
FWSf+Nh6wvFY64CZalDK664KIdVG0CADyLgkdzTGlI3Zm6ShhvoJf2xJ3zE9bi/6glKJmUokR7RF
sZa2hHc4lJQfkskpvQHUtZd2SXuRRB18Th0c4kuBEHiT6sWJhmXcUskJCbXykdAJ8LgIe4Nr39FE
ozYI0wwcmBUeZTSUzsvstNTCjWb9hG/pkhSzvUZhp49y0eZtzy7gWUVkrZ2CZHfDbE8fes0nqvLm
xtwkvZDdS19T42DWobhjZkbXWlI9t3nTbcgBjulppmERt7RDTtM3SZfP3oLr+0Bii1Yr4pX3TL0e
tFHOFzmjIjRjZod7syjMW1FEEOCp3huiJ61JFRfPjW+E0MajY2pokaIMPAxzgddHqms2gykaPMTI
yEgByafaXW3qTu2cyOzXZ6ea5KbhYhAxNSC0dUXSPuR2yvzFcbNl24iqwrTqjMGnpQqLHRvl0i81
CV0UpUd59HyXj+uiep8gRH2hBLiiDjoND4K5Pu5Zxg+21VenikrUzncZAoG3blS2o3g0B6QtSMB3
FMxAw4USP48wp3WtnO40CN+PKcIykCgEDQ+LW33G1BE+E6xJ2QPEKrwSpTRu04F6kSCRxX2VroUK
hhNezSGsBdx6U//JHJe1ApyH6yIYOG0zeo+fbYHR/YL0IVKlPoTaLS09BZ2+mvUQdBUTTJ0f8tmc
GmJSzCLlsl3zmIewkfTSkFjL+ACzRc8YvGDy903bjvvKrMwbAE7mbhKdojrL5pUEi6PdGw7WXZXF
TodjljINvw5MDHALzTps/LrSBCEbLdluJAbvzanDTyZr3ZpYfkzqinug2jmdsWyC3J477LYzu5oO
oPoujWYFFBi6PRepAqJU9ZLMkXhyJrIpbcW3QoqwOWOEcq6V6ItTk+slcaRw3taDOXyc+j6+qvkE
r3qnVx12PpgvaqL3Zmj588jfzn4f8i+m8TTdWNUij/MUqMJHgyoFbcth/bKwtbtqJra/EmTzFs5a
uhXEGvfmLLUrbQ6NCx0L4dZw+29EveluMemx6FKTxufWhFRcLT6LaONx6ogqMoitmNWaeL03FowF
zKeLs4157R911T7xNdgHCuXRZ0tJryHPltqTPB+ehdLEdafDOgWKDcuYHDIjDjbe9zRAWDizjdRT
FuczTrNGuC22ju3Q3EZgNW4RnqgyIPv+sc41+tv13riYbRzkrplh9cf8QUI67B4BTSMD8fT+RFPN
4FuaIS5CXIZUjaaYHpmD4U3MaUtMAgM2N83UkNNzJtSz4u3ZDvUZVaN+cWzdvHF6xzwCjf6K+9a4
Moh2e0sNuD10sJ/mlFPt2DtkNBepOsKarNXfqB5rT2lK50hOoOeV6gFzQ+9H/xVHBegnSha164LB
2SWtpGl3EGOpHwhrGfdp4mr7NjPtbitiIJol4IUtEnHJ7Du3H3DEPaeUgH6ZFyujvFyfrgMts+h/
wkgZpggzS2FdUukRrB61xXM01W9JUpXPbeTqD0tALfCiWmJfTl0QG8CuXjCzlto3Zq29Z1YBT70M
yQBpfmKEl4Ccl7ZW+H1S2de64IdFB7rjVy7hOoPcz04S1X7URNjuWWpPigxByJNINkDi+sK4HTpO
YmwyN/WS1qwvKGOG9hIN1u77i55eXOoZGHJdt8TvnlckCbAxy36qaeXdQP3Vz9jMk2+4fGxcARUV
lnRn0z4kTH9oHPok6s6GCD66p4ndDX3KRXQwEiM/zoFh09ohh/vU1px9KgTNrTy3T9G8hJeileU1
eXGb6Zzx4tKA7QX0422psvlsysy67EhR+mGtyo9utxjx3ir1kF+fEXwzqyHVTmwxIUtI+CSbtunK
r+QQcb5WfO/bgUTbdWx2w56bHZtEIxJEnFGlr3o4zIT3KjVd/vVK+8/7D7afqxhBEThDmu8AiZ82
Oq4yuMx0q9IE6FJtx98IpzlaIzfrGO8s4kp/fTz5axR33Sr+esB1Qf7TAYM+WDqxlHLfFs5TROd6
MS6vTNpJlnVbzWgvMqu6Fe1bRXO2IcbDZC+vTvW1k8N5wsvUkLC2aIPrmYTQgXwz0Mfy15/wzxuk
Xz/gu+Vz0+paESo+oG2029hEVjbEnhfJPq9/5yR6l0v+42LY2DfZfVi8jt4di7xyQwlIKvd8Cx6P
zkfTosCW9dvZZt4IzX/HTeabOe3dbaWdv5/o/ypDv1OGyCyzzfvvxuPb/u3z25dftKAf/8kfWpCF
qoOpV0eHsG3BWwv/1x9akON+WA2/BttrQIMrD+ffWpAtP9hs/PDoCtykqz/xf7QgE56zaVoOOj4o
cXBef0cL+r47/nkDyNByjQlTZMIOcBWlfv2JVSUNoRVYpkO8OtmvbCCy7UfeuuYTxXwOlipnMcmd
elTwkstV9XejHPQ7JrJYPxRI9bCYBwqNTCIK1cdBYavXyYPRcoLAPbt1mxwErP+o3mi8PbTLQIUJ
DXck81DwqbTSTNomhrncOkVMKQrIDWO15bYz+4/PP30z/0EOeoegXH9CNtx1NrqrKxgU5fsNfABg
MbQdc08B3jLdKWb66iIFuTn7wAXt1YhBwU+7x7arhdbG6hO9fCzDCctb5DQFVjnmkKX2qQdXXd7A
DhwAuEuWwr95rEhEql835mhWpBId8pQChYwhxTvl18yDjgYGrLVFOxg165ZCyOaYDm4fume9mWah
fPR8ckxex+K5EuchdSyKBwp1cofQ2BcEKPy5Gm9xZVCNjsnHX/RI7CrBykvA3Mw3JNpLUFWshokX
96e+d5czhhYTH0Y/1S9BlYkd1IWK9VQT6NfK1KabhYz5riByt7VA7H2maCX3y9ju9k3fZeNG09z4
TOIDz2gTPuRRsKagSHcugZNedlE+HQAYdA+zahTbLIWc1OXDFc1Ize2MQey86pIXGe86Snbr1uSP
ZqtbJ+OyHRKlvxD5GJlBo1YRRa9RDCIn3LpYboiTqpgWPH1Uz2Veuvc2g+HbpsrsC01zoqvRAey0
0Zqk3i7jnFwG+Rje4UtXG/IyNdu+Qu0CQ5te5q6duT1YHzC0tE5d1biP2OWbR7dhu8W0R8ND2AQH
rVHG/UzX8nYpbOqpKsXoousVPk5ypPegHyrytoBXdkHjWJ+boI4vg4gdcJNZ5b2JmceHb2PssdXJ
yxpXFpPt1nhrqPb8rBeYfuM50HylVfSgwH78HNBxeCCqMBEDpyRy0+v1woO/rfbhNBUXFpUOrEjp
18E9rBjJQfm7Hda+hS3p+2Kva4HtB1opz5GJgTuhQNrZibxXb+li3TUaDpe5L4Yby9SLbdOg4znw
iR66tK23XM/4eopoVDMWHDSe0drSD3PbeiACm32xUzv2l240XS8rGe2R0oyuiChjrXMpujTzLo83
xPzak+kYNLHGuBNoqBUbwyri7VjF6efKdYbLtpLtC1+ddaxlo7wgst0Ly7aZeQO/23QgVC7yzhQH
PRPup04XduLlS+Fe2zqZRY2bBZPjFEGdHge6EXL6aT+31UIelIWJnUHTUCThpoi00NQ55UdDGOMu
oK/8YIRZ8glvl3tD3nmE7uXqcKqlPHStg4EPV89T3tbxuJnzWjSpZ4AgG537sdOdsNy5ZdajBc7V
c6/p1ZWolNzGoqZPORkni3VZSp46Wapnmj3x2dBc5yfkszdmHpYM4PQvjLGfwIJOmwz6xo7WUekt
buZQ4WyPlHp1PUA5D0JT2wE7DFXR07+XUUVKBRnJ+/K7+9/BiLEMmCiM0RnQZKFcaxAyYhTa09i3
KroZoomO0LpsTL8dmwHv1BJI4EpsIq0qY2+W8zspqfIdhl0VxNwApUr0DsdmWn3RML01+5DEVu0F
LeaxvSxmmV9Gmm73b8pBJD65iWUwlYpmweNFb5guGpRTic+SLanxBBjLUT71UCtTHoI1kHTPzIeA
60vefjhCGJwme4u8TgZFGwdcBz/CIkjbK0nCdEil0PiWLrR4lXw5kmsRMWcsY6Z+mOkT+CQDO/uI
zKnZx124YQDdYslcrBSaQoK9GKoNJCf9C4mzThgXgTkCFLgKiCYaw5H3gsHbTi8BgUevDPQN403C
tGwDP4ZH0/vpsM7VFz2laCM00RoKXyR65e5hwOUpg3K++GmPzTaEiwaWmOkhG4g+Ws4SRlD/3DeU
NNHOhtcC4ofNQPeTg5sk8LBRMq4VLOY6r4s0Npog+tnjbUWIWsEUNlYdQK2cZ89eZgMfour7nCA5
oKEpIMxsB8nRhFjTnAdoSDxhJoN/KcTfzg4cuQuPcz1YObfPj/8xqtpKfJk01SveCZuTinVEFjcq
NHXRp02eXwD5wbJ/lkk1aTe4ewYGzTSYtrzaAxPRZ9h2hewIGsLGHPa9EbbNmSi5vfpHHDMSl26+
6OUJx0mYHgsr4ASnGlfq5ZSbqbgqsiacPTtcx+ixIIj90NsB9Ky2ylce+MTLOB48yU9yYck/p9Ly
ZDwNOWqRLYfbaqk4QRfEG/P0harJLUsL/PIUlK+Octj0/5e98+yRG1u381858HcKTJsB8D2AixU7
q3P3F6KTmLkZNuOv98NuaUaadMaWAQ8MC7gXZ9StqiJrc4f3XetZy8V+eCEiCkgI/KVZpl9IqcC2
Uo/8MwRHNJ/MWKbjbqb21Zy0rVp0CV4zy4ce0pkVNCHbiUe3Ia+JPM5I4pDZAOahmkFDnWxBbY1m
hyug3d23SKXMgYuFlBMicc9SIld50Ish7TduJqMyEB2Q8kBjkGoHKAM0jt2pp24D4ZchhaBd1mid
VT+ua6WIMxdQ9/CJoNFItVOzJaFhbZkN9u4D4yhJ92YKuX5tS7y4e5sc1BQGrcEKTwh4hzEd2WBF
Qi3xcTyKYQWzbYc8Jp7PXYIFeTgHVIh7DfQ6xKJGR/yB5IXW/2hoNJpzJfPbIswUOoMPywHHQSwS
CtUPIgGfIgN1AGKkN6lhW/2m8GuCBFK/h202RTWmAqpoAprUoKbl9ocoP84bWD15AIg6w66P3lRn
VHeZHfiqZIrMTGaofemTFH0H2b+Lt7NVMTgHy6FWmsly4uANX5RBxO4DiEdMtZFUqshm+KeJ4N4D
HYjFkT4ZALs5P8NaX2vppOgPIOjzmD6KODtKhFvoyOCZ794qEcqn0kG4Oe9ngd/zTsPojYoJwdPG
TgqJKLunBuh4+ZMLebhc9aY48s1R0srohmJTjvHUvyJKQj6q8fYw92F93fVlp4pThooi1gcv/QJl
iIzpyCsXDzoz0yDxvHflymvMbiatzdHPo8ru/G3vShspF5uQQwXp+xWYV/FYQo56i1KSsoLUnyVS
AxHSiSOjwYkCEzQHvpDK6RC+k9z4IAweFAwa5zWVkb0XFemm1IfwFbArKJGKeJn82kRUdEI0o9x4
KYrUvC7scuUUen6Bpk6dkqui3061FZ9VVi/WEBr1L42lI+BsjbHbOgpuQYDUii9GgsAuSXft4lf8
T324DkucfFnSeHtKY+0uGVtgiZXVzccseMZWsoHVVhVmH0XKH3XWgrSMEyCKGa5/mBirtvcy8FiG
Pa7JILuovdh7TTJbPeJDN7M9LhnnWK9JajgmYlY/BhGoTfvZVcNnPkn6hIS/uilzmLXg82o2xSZp
w1xYExOoCrQuMBzcAWtpC4QbFMCQ7RQMrBJTdBe4UVpr6wTDtFt0bYH8LAbtnfJb0fGkp/6xiYTp
wpgj+A+Oyd3MS+F26xSg/lWFFFY/QrpT8DrN0J66Hk/bWpS6Mx03ddtMQV01zgnzhgZ1oEzDQ1Kx
mAZWPfBY2GFUHmotxCPd61hITHso7tnXz9bWbGy1TfgoF8NUwycQwtvErSd3I5gaKo0U99iSj2NI
2ontpajp+mxEzpRRO01cs8c8V1jxgeJzfU1zpz2FQFNvGJbAOgjTc09nKytOKQYDcJYTEAGvz5nj
qiGyL0gYZiWqdKd5GPSC/GF3BHcbMJMNW6dSCHtFz+rJdyCSPex2Ow9qlRQ7VDs2dhxPpdvc8+R1
ZKvh0LnI3iEWhfdmL14zgFc4JnhCz5qswVBQEsFxrXddeOm4JF55FGJhbw1UuKCZRKwviCULstbo
CjjyZkIQM6810Il0mhpyTzmMiUdwHe69SMJmWiM6i9DTDbrznFakyqzqQoRH/cLsYKXIw4vRbDI+
P4Gv+AGgk56R+k4ryZDywlNszoAdgcV1Wrdll4I5vA1Q9sERSMep3iZMtQe6Q3q6cZ2seJQZ+eKI
2ZmxBBW/dQJyc+0iqzjlVCGfTfJ49hPXfuZbSGKxvrQrq4r1DbUD+cVLNZ3CsFG7QV7G4c0QldGJ
m/behhiMEMNDk/WIPgdNroEQ7EqjzU9Ml4osIko33tJbTI8ZwTlkp0ZjymJLA99BD+V0ZIyI/unW
oCcmXgwZeRkrezeJzkeKV+s0pKocvSkLn1YesXkjIr4cWQKYXUbj2XAQ4SNsbK0vGlX4M4JpfJKb
vWi+MCw2/DTkQ7xQyeCI9dzD1AtgI47lMYGB/tNscV5A1uE2DyME981AVQDrUhmyPZe6pp+ZCKbW
9UAfmfWw0Shh+jOHv947m60SUI5w4nEVlyU10jJ2zes51R4tVrgXEkEzsXNy51qzqbiwM+3DfWYP
096mzkdATNZXV3bSgTkSzLA2kP1cnzdK9fapmSn7Le89fVz3kRva4DX9XpyG+fREG7SIzihKQscI
KYRfKydW9yiy86sS2P1dHmOSCaaJwBYeK2VS5Rui3QhbezihyGLuUWjke44s5VE62+MBmQbLmO+U
83YAjnDEAZqdhHLzca97yQDtDkfDYwMMjY7RHIWSY0et2pVJAWNLOAZ4CD1d9kUj6VgH2GtDT5yp
Mcig0lQr1s1CQZmHmhXBRZu5RjfUdSvO4XeW28uNHQlJ25eYX7YtGp2Rgu1osLBycYuAacFShkf5
c2ubesXhfmyv0iz3pp1tOtkr65ho1q4yjEun8JM3v3fVQ0u9Gly+odqr1isr+bkN8+4Jqnn2EptL
07QdBY2kOQxxCdgsbkNgVsThujCGdAg0eCP8a4it7D8G4YzE0did168rK1Yo1qveNvYV27U+SGa0
/ZkQdbpLU2ErCvC17hw3A6rlVaFn9FHQI2YEbwxEdm4Vaj965XNujyfSx3dx4reOFV7bruZUW78e
kmKfNDJzz4qmtRVmNiJXmx3krwxHkFHm9TFNuK5vNg31deVusF+ExW6ek6I6RpdVIwxFNqnPFzSX
rIKWuz3w0bSWosBO0BvFQ2CzUIkVii+tJmeyq8zO3+O1m8piZaAPim5z2gQeu1pbYiUsMAuWt2Mc
+mJvl3GlPfRoZGUdND06C33tjahwdzrjzXrpY1dv157qkm5djE77bKnCrjd1aU+6XNUN/cJntn2N
w1ZqWmgkgd/ieD8MMwFWR5Ee07tZBkhZXQPyKKPPsmlr67G0qHDEqyytFIwcYbvZtRv6TQ/LP0sL
a4WSN0/LtZ/gPSfiNivnJwJ/ohAKWCXHk65wI/dMlto477zU84v7spOCUPPeCjP9ijhWW4lgaozR
3uG2qxSnE68v7pLYy3V2xl1h3xFQWIotvlO7hI/C2OFkO87Oamw4++5ddOc7InhpbtjSzqug6pS6
UnE8QA7XI5+DK6dSVzj5dY45ZYsGIJOfS8iL3UENQp7bPnElK3fOgLLUNuruYModh5GpDWCocjHK
B+W0YMmQDn9hkOODKsKmpi9ng1bpTGAzHbGm7bY2HCb+qDXnV4q17LaWsQ4y2vYCva/dajWpqs+P
0A7HT2Isy+tMtPNxlqZWGnAX8O6EOr2v0r4Mud2E4obpMwqq8bhVZrF1QaZEEDMN/1o0jZEcZrpz
7Wp2Ixp7fUM/bnC9lHGfe+MarVBxNMi4c4KqTRp/TS76vKup2h3wwc5UdoRzTugSXTkS1jUoJpXm
wgfT8WBBnbOKPdZYL111zuQ/WhpUniKO9es+q9vPYRKH9ylR3buWDrtYd1oUXkChzsmEsduELTQ3
vDpQb0s2TAztCdUEP/AFEHdOGEVNbuXMCFolkOpvarCG/gba+vCY16KEQVZ39zQw8ds10nhK2J1Q
kBsd8EauRZcrD+VQbTL0h3faUFVXdSSKPEiNxGT9Bz43rbDlTpdAkEZWK0ms0UoOpboItSw+7X01
XkZ5ZOzgOEW37GRr6NOdU11OdUnSfVZKBfiOPfKhqsuxOxBFld/YSaZuCTJLR1LqaGYGqGmqNqAB
2HESxHx8bEnbvnIGik9BZvTWa5Fm8jTTm+IMLmR3D+CtOMoiToO7LNTJHzfgZAHvwzwJqorVh2pm
5RwxD8rPfjxkAJkr3bwmLgIzpSeNdmMXU4qBkPX9AIAoehoyPS83UUu5Z4dcoNj7JLhdTRGsHyU8
Fue0sxtKlQapvWsmpO4xZ2UZN6VIB+Q6ePvddWnHELFKU7+pIiYAJ3ScYwZr+2bmcrglZoHwCpWk
A56gKe8xNNXNM6IAOW0zYOBHBuvZU2VMMgkKYtQeojyLvvgwXym8SuJesF815m7MraTY5Oyol/wQ
qyvXlYGTg+EWT5+d0JhoJYQNvd2hm/WTgsNCuLII0jHXHrWegaAp5JqIvD0Q8+yBOnzaXcc4okxr
n1nU4dKjyLJzJsS4Cu8z06KTnkSJ/gWphRZMkkUNGB+PlgRThQRinCfwRfHQnCdGBLBPF3WOiRHQ
hwr6ZmSFtKzoBkoTB/HKsHaKCo+2YS2uSiLJQxoXjTkd6k62EXK7jui1ssiodfb+eJw1Y3sB302K
VTUmVLmjdhY7hjbCDREnPZ6OGENLyvHzRAcWex/LotrVkNjZY4ymfDWg/xPkqhPw3kcEnFHSjVnR
LSci6nyabGqfrndTlMKEZNZrdXIUDe2l9KilO+liKC+9OTrS+RhXoc2vhz1ADs6iRP5xoMuwBNh6
RbZMbVP9wWETnhDRWRRffI2rc2sdNG5ftGTZtUWySyK67KuUEJN01wsFG1LYDbSp1HYpWU+1wN+i
8Jc9DtV4W/nhTG1wcKxpVZtGeR5NETVlfczQBvdKJ0/Gjf3LIvHncN1RoupXEeuXWtfgvO8cNYw7
mxT2ZDkh1AHerWTH9esRp1tnfCJ60wUqVROy6LONYfObmsc5dQsw9YPRngs3QV2j6rls1y6d5xuN
ncVrFtMeRZiC83hlWSnQnMhS+gmpICZiGZbsW2pf8XSw6Cig/4JxuMJ1K8sNs7DDbZt8pptC652Z
Ac8uMaOQ6mGwEg1yulU25I7x6PMy3RoYLn9TzH72pW9C1G1Wp5pjtAiKuAwcSt6eU4ErD+bouVDs
LFpFK3wX9WXvUbclhUOLmYakM4ktUdwoBQSFNO73WOE8nNDPbV3Diqa7eLb9/hrZR/FgpmwwdkY0
LyQ6ismdH3Sz4w8neK/pajAFWFtkOx7WEs2lFkMnK7W2lmhi6nSd9M/YRY0ZNNOGZhxl0bchnOxr
hhSwT5hzvKrVAATFpQQ0bK0NqcVGq0k5yNVFU7HNQA5CNyWZe+NcQzDdbnW9KnMs0Omw0EEacCW5
S5LBoUvcQQS5nXboDnwShFjXCFc/yQQFxj2jCeGqAW9hQNUxlhjHoEGm+KJwfrQ3zlzVl+wEqulU
Sr+xP2MrGi1qvrPZHYeRUOEDjxNtSaCgQOR4KBbcIm1CpDPEepsXTs/udj2EPaqxlcvOXTu3k5py
+GjnhsRQHXbFcQggIbnscOz2QVpaKux3Bpe20WqQyGdY85WGEFK2pbkd04U4wZBq/dOpUePwgng1
VbvF4Rdtw35w62PGdfE4cNq5qd3e1fY29FAZB0OlhVwk9aB8h10S7wiYYVWdRCGqxlscMJUbjEg/
tWsqEj2FiCw33H43IM3n7KTXTXKluYMvLoi3UOaZIAuh3BVhHVYXU7hIPStRWsbeIvY9Oiok4qMD
mAqtPaL9ZIxsvrDtXrHeJKBYZ6d0zrFYwcpJWkK0TstEGEiwLFZ+Rq8ezuvRnzsAL2E1VDfSEHQv
+s7QXiYz9NMd03TBNik0UmPXFLKvaANwvCU+miF2rHpjYEpXSXmpzKyHD+NqCpsXnuQ6W9nmGB56
L+adksaV7cZ1iZ3jJDxr+iaegebjCLRSJqYVEQojwmnssfZ02nTzrF/49K0sHMOdsq4lW2mgs3i0
bLkyfC9G4IQjG3SekVXDTef3hf1C+5Aqb1z3EUX+UZvuSOXTwnXv+OGTZnbOI6LIwgAf0jn9dvFh
O+uohZxIMpvuPALX5X+mtWsMcKr16jXtByX3QxlZnweLg9Ce8oPq+ECNt9T9kGSdDF5rnUSxwHTG
50/zfaSFIkYXNA/XsQOliEUMMt7l1HgQHtMS4y862jGZgnimejMjQ7sZvREy68zd7g58n0uZ0+sz
uZ6bkFxvoOwSAGeinGw3WxQjV44iXIg6DU0Aim1mNGtBa5XkG80e0MydQ1tIO6/CUUybPGdOP+dk
UoLoQ/cdXpYgPpTFMc+rmNQx9FXR3TBTGSIVzjVYEKYKr99Z0tqNdgKL0nqpWbXKC89M+8t6aOhV
0YJoy8AvM+9MAg5mrzJV4V6lniz2E2Zmba9XHNgpug4FyHlSbIcvFHVjgDKTsZRJLTrXwTB0ZD6u
DBony1a89h5JRogmqjPkpyiOW7qe36YG1SgyS1QdrVvHrfrAQW3I/OAOza6mrXoNFSBKzgwlKK0G
rPV0quOZVKC1Jbuy2FBeZl+fQMvMA9/0B42yqB05ZB/bMpleidyg8sCzKfUNNfuxP1FaWF5ZYZtl
j0NoUT+DjyAioll82jgLccCR7crQJ3BKS2JSFx6JEF5BgqVbM+49xLcW0Xf5slToaHP0C6ekQxvg
TtYJz7NaYycp4aMQ7LsenUmAS7koAHw0mTVJziipFOOaXZET3ycp8BmIo01XNTeNyt3wzQQvQqGu
5qhYwz0VemNfujV5Y1QLugQod0foar9nM1JbyBBEkh6bQGLcjUR0R2l2NK0qe0GMnMUHWkGzf1rj
yiG8wQP4sYrTrlVBpBf6ZRjNi4y8JnwzMDl1sxaMvYSqSGuFGSoHUYE0OyUMV2POfCBVkL2yw7M9
beIMeAbWZCNrLjyyvOEQ6T3MAiPNs2PTGTmFWHm/HmMDxR+4g2nFwKmPy760o7U7kf+6YgOcp3ty
KLNr0wwxaXPoLV84oqbeeoa+rI59hPHpK1bAMT7vlei8eAdxyR9xierloF3Vk0Qzytm4P+/6NvGP
k66J4zO0GmB8SrbY5Qo+SUV3tOsLMmg8ID8gFubxBJkoezLUDbyLrArtAPLcoXNtlTGtp0KrXXHp
JO5Il8bIYk6gfVx7zLLQvAKCCaCuq45jyQYWJ55PPo1G7lniPlsItN9i6u1+oJOrnK/1yTc7ZNxe
3+6wC8zzaRE5vnGEFgG3AO6JnJteaYUNbbmQZ1Nd2c8ogGS1FmMjkLYi2zyxOCcg9p7iaj3XzfSF
1KUpCnyUohfplJopChsE3bBtBvbNFDBsnCOIJ3EBtPFSarWVpxDcl+pcxIahjuRYV1uP53zYUs+i
WGPkVAEhnHcPhQlalXZLDjkbtAtddAIXl1YROoT84Blq7jeoymcN7G/pvckxTy4jZ6wObiudcOcq
O7oWGgmVdGOROtejbW0iYt8OvVMlAeZxPd52yIjwMTgEFq3o2cTyYnTQQnJ8zK3PoqXce4qzhiBo
L8/GExPMjKSXj7evzhOnBkwr3ZfIcNWNRNuEslwV1WUkNUFvBRoDmsGGh6ATfdRRL2MLtW6FGxG/
RPvovpV5cmctYlvLJVZqZcVa3W+BfqD15NoJKmhMiQsmcU4BrXJeDk0UuCvCBaYzTmDZsQ2peV9P
RnpEcys1VlmrYT8xGObVXtVxDTJKd4mO1HSSOFmZrHJtm6gRtiGqIc6BrR45wQwX5Nqnv3fIKvqq
AS0fKz8QGJqdFq0khYkdVXtLx2pp/1BLQNTEoakQlU8J23ND9uxhjxYEcgS0dyggx9h4wF6DFxHJ
tY6Sal8Z7VytdaudqJe49iWHBIkNwM7RTHfNWZNY3hM8iotCqoYBVNrCv+U2ac8FYPugCO1+k89R
u5liOs52pSc7gs6s5ogdn8HGWcZUP0o3NvPN1DdoEcWEVmLVGEX/YoAlczqkCy0dA4EsuWGIC6qI
EXs/x3C1l5gEGI7xvhyRGdP2GI6YoOpbJxTu8OZ3btPg3MZ8M9E1BCe2lZI6n2RNIRxo64i4IUks
RxwzwWNpV6rpLZvdad07PeGx7H5zgjZ8XTTnPtF91SnnxzoE2jUmykcFMuOUYvZJiYKMU1LpojXG
5iQUx5xnOZ3sCZwVKkVDZXrpM7sTDpFUuHvZYj9HsUPw3lDnHQLkjOV6Qwq5Q7PIGcMEKzQea0BH
kdZ7x7PduVeN1fa0FLs+usqGArjThLx+ReHQbQ5mlaL0yVsCLzIXbzZEGm1LwvmwqbIB57kTdq+W
Gjloo0q3L60iubcrw/2ibEJWIy5v7c29ZVFMGa3HGeQdVgBZ7wxatbdSoEUf2Dh7mLmMam0wzq7p
cUZvsD8mc+UYWheufJE123oq+5NBjS2ZwIl1UuXKSegSlQeZqfCLPnsELzF/3jm9ALReEktot80d
MP4YFoxyjuNBr2/JQzJdGthhfymp3t4TOkv7Qc4Jo7tAW3YRztzMvkEnCKfZGtDqWt05/j1b7Xnu
P/vzhMYEABG6NnQZzxyJhLWRKNHOW8dxLykb9asST8gGwEx03QMDSSGjTZixOwBc7DfaKd+h50df
BNXQJAbZJUzrIHKWEJRyjXlGEA/5lY42wp4Y7xulKRTYlCRD/HYnFSX6m6VQ6+3jxLAZM1RSLx0P
KRSrxPPYII9czY2rPZmR7J76Rb5E/Cejxau9k5Byfbei9pyJVWfVpDiwE/ocFuxf2xwAKUVit90g
/uhReqCpYQzauGw0d+2ILDuKs8nUIPQlrnUwTcF2t1JjeTdWGiJJs8t6+nmGldxPWR/deMSf7skM
4LV1UuV2dWWgmRgBU1yKzH9MJKuwTiRBAJkvvwplrDi+FeTobDLDTUoOAGp4xCeUo3N0G81FrIml
By9J5NHQAVKP6al6sKVb7+AWkmYh0XU4NOsj8wKsoOfujHSoiJUzfFQtmeCEF5o0dZOytYnn0Nxs
DvRG2NUek6jrr1OnNbaz2+j0ZKDEwvUxJtUHJIBpl4BlsiOD/M09rnp5ZdRhZ26oQwZWKShRU3WK
zgfEmvcV1b9dRGuf4oc3B4XTeMZWtb2zxsCVZgGstTI/qnW++HWpEZKqzUu2QWpOeAFjGozLDK3f
sBHmSpURvzj9XL3SrQXjSe21OKDVXSrYGrJxIvIghu/yPIyih6nlDEZLTi/Tg6AyDgUtA7NWnyru
UncxWFWe7cy5CuutbxSlBwEP3rS4LwzMOM+JV4rjglzYLbExC17OokFGFJ3Qwm49uRB5dl5cOnI3
N9ZwV1BwcHfY+7thP7DeMi5sFZ3PGXGZ2Vp0VCpvG4KliTMZDSrup1o292UYBt6MF9dno09bg2gv
b+42ZdQnYitdbTyHgaTbq95IfVKGFRd/lVi1PX523zFv+gfzLU8AUa0IJwHJNSmIcOk7HQ7wpwhi
yKQL6iJLN8oxjOMI9QQSTKUoeOuptFD5kQT4pX3nztkfEDr5TqQjvXx6Q9QxuK/5O7MOxgz8uoQi
Qb0duoVrN/FArHgIvA0JUnDvVP0OwavDZjAucZbkd44ZqiLIF1CeuyDzmgF4HjNZ8qS/E/UQ+0HX
IyIK0l42TVD3evgzxWrqBDQ+853MZxLbykbondiXvdP7uknVL9EYI6fzSDW7tfWF9Iemv7+bunq8
bgFHBDw1yYGul35L9ur0pV5ggYwQuIEilpD2msLdNO9cwXR+hwwW78RBFzehf55ymjtCTSkeExMG
/XZcQIVk7MAsrEc1n8mZzcnGeKcaaosFJ5MIctAQ0BoS+IBddvhhDAsrrS4rttUNUxW+KHqixmQ9
iHeKoh+JSN8RT0MXBpGWtQkp9d1AEtPUWf8BYXwHMiJG6esFgAaokS2uhmlt4Te27yhHykzRrgLR
xXk/R5eqb6N39GOTOSgJijmkpsQPsIfumIt8CIBzxiI2Kzuhafn//QbvPIn/5DdYdjzfqdp/R6K4
emqzJ/USvw1P5Q+ug49/+NV1gG3gkyV8IbAHOLprm7+6DozFWPIVOeHon3QdYwKYZdf0BO6EX20G
HjYDavCcz7GaGBZa+X//9x940e1v/vt7AviPznnE7D47U1+3qOfosMB/Sy5IDLCRvjE6FxY0V7p8
PPnDyvJzItBQK1sfg+eHd//+3Qx3EfL/6mqwURqxFcZB4RrQNoRuWD+6Gro0s/Uo8qOzMEMMZ2Dh
bKz02mJ6pDjXhGSQBjiEG6KzaFXV7F841hr+1DDAW32yLyiR9LATc7AGz0kYxVcCAXUcQR/KqivX
nv0IIzf/9oiTr2iNQxeG9U1c1LItAr9Iw/MCfjG6KH/0nAeOyzWtrCaZzctRpKRI4aaGGsSSUhkG
dSIlvujZrLMRi1OOssSYtmSQoO8MkSsyh5nEuTlkRa2JS0tmf4Wh2H3RTL2vANrOKB4QWSBSLDgo
2aDFqp5KMq59T40wGMw4KdDqObQVdtR5IKVhuq4m4s7P5gpwa2oe6E7Qh91DqKeZQvTpILvwM8fO
YfIsUmbQ+FZHTWEPBrb5UopAAko9QD2jMEtMd8TuZazb6MQk0tLem9roiU1XuvWwNrHf44S2BnUT
6RHHrAg4BGlIyARoSeTk5a5SRQbqytbp56FhJtDjLKYocqlIx+BggepiovLP23WD3cd76lCUZ3r6
fnVAwhX/MotGXsXgnCVvWLXkARtnV607Pj5xSuC8+Q/+vo6P0MMk2C+ThNy+dPD96WUu2DGJXq/n
lW1wDtgIXkyjjxPKaDs4pLpu8VkYyJMQXW8l9xOvJ1qAiuswUrHXE98l99XmMyJe1k3sLGH1INOJ
0AlQGaDPhF7x/8lNR/gkjArImInd+WY2AcIGKfHT9KVKyzfPIEHTqgGXMJ6pqdSXXDrfwQEuExpL
vDY7MdyhyAuzHm/AwHd7U7kVPeZ2bKvl9rUjy1o755zWRZ+8Zd7oPEVO7qHA8QyvuqlqjR7dGAGp
esnMtLwt6rBNjrUIlfRJaeXVQ4Fc9LPn1mmFFaECLcaXzYd3I2Wczd3UhhdGNfLtxTlf57iUT3dE
QMp6OystS7ilBTKDCAXvjSprRgnfjpivP/BiMQZl9xBjnKD8Bzgj3cmq5eJpOPrhXeJIGGaC9DHj
lUZunmwRoQrnEeQ8m/85Hxli+jKIMhCd7sEkWPOFMrJW7FtWPPuOg8/UkpNS5+kLD3c+vUKNUNZC
7jOnUNnuRmeDZ44bayLu1J+DJqv6zj02OOFFizO0Gvlk8/9jS9hX79+ywmzelyasbM10+Ua4ifpl
bl9+eiGTUl3L/71f+rZI/PELfYUs/YdFEQHSgu75wYT3/qHeP/FfvUb+BMOpe4Xg5IhPtm7ZNmwl
ljz+4KjLZRl9/bHmO59Qc9vCMlidlj8YsnjD727Sn92Gv77Cj/v517/zV1fwQaE6vP7Xf+MJ+dmb
IJakE1BqLtXR9z+sm9/fBMOwPwnDcH32Df+XLv+FSj2y0cs3NBA/bHAs0DV/ZwT85gW+GwHmJ+ES
LYxr/+MbZk/0/cUzAvDcGbonzF9+/s8aAebCBvx7d+E3qLNf74LtfCJSyXKwEX8MAW7r93fBcT6x
nbKIovn6c7Zy/7C7oL9vYf/OWPjTuyAw0VrLTtTGt7D8wer+/V3w3U+2xSaakfLx848n7x80G+Bj
/dmhwE1AHMv3+/2Vg537BAYKvd/Xc8g/6JqZuxcj9E9987bgyGPhxf76kOscDb6/fsdiFnBcwmcY
Ev+sgW+h3/2tF/1/eRnk8ugHufg4Pwb2bwa+YQlWAKrshGf9/ev/G2Pklx0F3ev89X0vkby1f7Tl
+LNf+LaG/v7nX9fPZZFklfjh95adxcdbfyyky3//+4dp4X2J/+6H35b897f5+s+/Xt/v3/mH9/p2
Ud/+cp+8NU/NSzy9/2D6+inP3oGS/yN/fmvU0/cn+I/1/ddP8jte5S/j/q9eeNUQKtzG/yJAsiue
kx/e4WPO+Nl3OH0qExTFP7wyBvalrPCzL332NvxrRRBoOyQv2beXW77Wryvf/4HX/8L+4nXBd/5r
+b+Tp+fm6VU2P74Xwt1vf/GHO9O/9UWcLVTPhfTwr+u3hi9FNoz3by/7cU2uwzP209ck+6d/Xb1Q
zv/xG/mYK3/21f8iV+/Py1l/6/78XaTqT74NM8yf8Dl+8oX/UyHuJ1/+ocPS+MvQmb6Nk/c57mMd
+Nmv9qwrn/pOff/KXw9af/3KfzQZ/nJQ+v0U+e0A9Ef/7Mfpf/mNl/ztqfn3/wQAAP//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image" Target="../media/image7.sv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6.png"/><Relationship Id="rId5" Type="http://schemas.microsoft.com/office/2014/relationships/chartEx" Target="../charts/chartEx1.xml"/><Relationship Id="rId10" Type="http://schemas.openxmlformats.org/officeDocument/2006/relationships/hyperlink" Target="#Datatable!A1"/><Relationship Id="rId4" Type="http://schemas.openxmlformats.org/officeDocument/2006/relationships/chart" Target="../charts/chart2.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76200</xdr:colOff>
      <xdr:row>81</xdr:row>
      <xdr:rowOff>91440</xdr:rowOff>
    </xdr:to>
    <xdr:grpSp>
      <xdr:nvGrpSpPr>
        <xdr:cNvPr id="2" name="Group 1">
          <a:extLst>
            <a:ext uri="{FF2B5EF4-FFF2-40B4-BE49-F238E27FC236}">
              <a16:creationId xmlns:a16="http://schemas.microsoft.com/office/drawing/2014/main" id="{5A89CB6C-854E-47B8-AEF9-F77A7E704675}"/>
            </a:ext>
          </a:extLst>
        </xdr:cNvPr>
        <xdr:cNvGrpSpPr/>
      </xdr:nvGrpSpPr>
      <xdr:grpSpPr>
        <a:xfrm>
          <a:off x="0" y="0"/>
          <a:ext cx="17877367" cy="15521940"/>
          <a:chOff x="0" y="0"/>
          <a:chExt cx="17209008" cy="11219688"/>
        </a:xfrm>
        <a:solidFill>
          <a:srgbClr val="002060"/>
        </a:solidFill>
      </xdr:grpSpPr>
      <xdr:sp macro="" textlink="">
        <xdr:nvSpPr>
          <xdr:cNvPr id="3" name="Rectangle 2">
            <a:extLst>
              <a:ext uri="{FF2B5EF4-FFF2-40B4-BE49-F238E27FC236}">
                <a16:creationId xmlns:a16="http://schemas.microsoft.com/office/drawing/2014/main" id="{DC10722B-B5E0-F629-A2C1-88E3E30301D2}"/>
              </a:ext>
            </a:extLst>
          </xdr:cNvPr>
          <xdr:cNvSpPr/>
        </xdr:nvSpPr>
        <xdr:spPr>
          <a:xfrm>
            <a:off x="0" y="0"/>
            <a:ext cx="17209008" cy="579729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D30F9C05-1C90-0960-55A7-3288F1FD42C5}"/>
              </a:ext>
            </a:extLst>
          </xdr:cNvPr>
          <xdr:cNvSpPr/>
        </xdr:nvSpPr>
        <xdr:spPr>
          <a:xfrm>
            <a:off x="0" y="3383280"/>
            <a:ext cx="17209008" cy="783640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281940</xdr:colOff>
      <xdr:row>1</xdr:row>
      <xdr:rowOff>60960</xdr:rowOff>
    </xdr:from>
    <xdr:to>
      <xdr:col>25</xdr:col>
      <xdr:colOff>370332</xdr:colOff>
      <xdr:row>42</xdr:row>
      <xdr:rowOff>22860</xdr:rowOff>
    </xdr:to>
    <xdr:grpSp>
      <xdr:nvGrpSpPr>
        <xdr:cNvPr id="14" name="Group 13">
          <a:extLst>
            <a:ext uri="{FF2B5EF4-FFF2-40B4-BE49-F238E27FC236}">
              <a16:creationId xmlns:a16="http://schemas.microsoft.com/office/drawing/2014/main" id="{946CBCD5-8207-0B50-CC8B-EB029455EA65}"/>
            </a:ext>
          </a:extLst>
        </xdr:cNvPr>
        <xdr:cNvGrpSpPr/>
      </xdr:nvGrpSpPr>
      <xdr:grpSpPr>
        <a:xfrm>
          <a:off x="281940" y="251460"/>
          <a:ext cx="15434225" cy="7772400"/>
          <a:chOff x="403860" y="242164"/>
          <a:chExt cx="16422951" cy="8576462"/>
        </a:xfrm>
      </xdr:grpSpPr>
      <xdr:sp macro="" textlink="">
        <xdr:nvSpPr>
          <xdr:cNvPr id="12" name="Rectangle 11">
            <a:extLst>
              <a:ext uri="{FF2B5EF4-FFF2-40B4-BE49-F238E27FC236}">
                <a16:creationId xmlns:a16="http://schemas.microsoft.com/office/drawing/2014/main" id="{700E42E8-B310-4FF2-AD63-D031CB0D5068}"/>
              </a:ext>
            </a:extLst>
          </xdr:cNvPr>
          <xdr:cNvSpPr/>
        </xdr:nvSpPr>
        <xdr:spPr>
          <a:xfrm>
            <a:off x="403860" y="690699"/>
            <a:ext cx="16422951" cy="8127927"/>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5">
            <a:extLst>
              <a:ext uri="{FF2B5EF4-FFF2-40B4-BE49-F238E27FC236}">
                <a16:creationId xmlns:a16="http://schemas.microsoft.com/office/drawing/2014/main" id="{3F09D116-F420-4956-A969-22B685638783}"/>
              </a:ext>
            </a:extLst>
          </xdr:cNvPr>
          <xdr:cNvSpPr/>
        </xdr:nvSpPr>
        <xdr:spPr>
          <a:xfrm>
            <a:off x="403860" y="242164"/>
            <a:ext cx="16422951" cy="468454"/>
          </a:xfrm>
          <a:prstGeom prst="round2SameRect">
            <a:avLst>
              <a:gd name="adj1" fmla="val 28572"/>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34</xdr:col>
      <xdr:colOff>0</xdr:colOff>
      <xdr:row>16</xdr:row>
      <xdr:rowOff>0</xdr:rowOff>
    </xdr:from>
    <xdr:to>
      <xdr:col>60</xdr:col>
      <xdr:colOff>499872</xdr:colOff>
      <xdr:row>18</xdr:row>
      <xdr:rowOff>18288</xdr:rowOff>
    </xdr:to>
    <xdr:sp macro="" textlink="">
      <xdr:nvSpPr>
        <xdr:cNvPr id="10" name="Rectangle 5">
          <a:extLst>
            <a:ext uri="{FF2B5EF4-FFF2-40B4-BE49-F238E27FC236}">
              <a16:creationId xmlns:a16="http://schemas.microsoft.com/office/drawing/2014/main" id="{AF08D4F5-58D4-4EDB-B78E-C6D5369EE835}"/>
            </a:ext>
          </a:extLst>
        </xdr:cNvPr>
        <xdr:cNvSpPr/>
      </xdr:nvSpPr>
      <xdr:spPr>
        <a:xfrm>
          <a:off x="17678400" y="2926080"/>
          <a:ext cx="16349472" cy="384048"/>
        </a:xfrm>
        <a:prstGeom prst="round2SameRect">
          <a:avLst>
            <a:gd name="adj1" fmla="val 28572"/>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324074</xdr:colOff>
      <xdr:row>1</xdr:row>
      <xdr:rowOff>105047</xdr:rowOff>
    </xdr:from>
    <xdr:to>
      <xdr:col>15</xdr:col>
      <xdr:colOff>550272</xdr:colOff>
      <xdr:row>3</xdr:row>
      <xdr:rowOff>59327</xdr:rowOff>
    </xdr:to>
    <xdr:sp macro="" textlink="">
      <xdr:nvSpPr>
        <xdr:cNvPr id="13" name="TextBox 12">
          <a:extLst>
            <a:ext uri="{FF2B5EF4-FFF2-40B4-BE49-F238E27FC236}">
              <a16:creationId xmlns:a16="http://schemas.microsoft.com/office/drawing/2014/main" id="{04B95BD8-C0E5-4B1B-8CBD-5F30E95A1D72}"/>
            </a:ext>
          </a:extLst>
        </xdr:cNvPr>
        <xdr:cNvSpPr txBox="1"/>
      </xdr:nvSpPr>
      <xdr:spPr>
        <a:xfrm>
          <a:off x="4591274" y="287927"/>
          <a:ext cx="510299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n>
                <a:noFill/>
              </a:ln>
              <a:latin typeface="Arial" panose="020B0604020202020204" pitchFamily="34" charset="0"/>
              <a:cs typeface="Arial" panose="020B0604020202020204" pitchFamily="34" charset="0"/>
            </a:rPr>
            <a:t>Supply</a:t>
          </a:r>
          <a:r>
            <a:rPr lang="en-IN" sz="1400" b="1" baseline="0">
              <a:ln>
                <a:noFill/>
              </a:ln>
              <a:latin typeface="Arial" panose="020B0604020202020204" pitchFamily="34" charset="0"/>
              <a:cs typeface="Arial" panose="020B0604020202020204" pitchFamily="34" charset="0"/>
            </a:rPr>
            <a:t> Chain and Freight Analytics Dashboard</a:t>
          </a:r>
          <a:endParaRPr lang="en-IN" sz="1400" b="1">
            <a:ln>
              <a:noFill/>
            </a:ln>
            <a:latin typeface="Arial" panose="020B0604020202020204" pitchFamily="34" charset="0"/>
            <a:cs typeface="Arial" panose="020B0604020202020204" pitchFamily="34" charset="0"/>
          </a:endParaRPr>
        </a:p>
      </xdr:txBody>
    </xdr:sp>
    <xdr:clientData/>
  </xdr:twoCellAnchor>
  <xdr:twoCellAnchor>
    <xdr:from>
      <xdr:col>5</xdr:col>
      <xdr:colOff>152400</xdr:colOff>
      <xdr:row>8</xdr:row>
      <xdr:rowOff>114300</xdr:rowOff>
    </xdr:from>
    <xdr:to>
      <xdr:col>7</xdr:col>
      <xdr:colOff>472440</xdr:colOff>
      <xdr:row>17</xdr:row>
      <xdr:rowOff>68580</xdr:rowOff>
    </xdr:to>
    <xdr:grpSp>
      <xdr:nvGrpSpPr>
        <xdr:cNvPr id="23" name="Group 22">
          <a:extLst>
            <a:ext uri="{FF2B5EF4-FFF2-40B4-BE49-F238E27FC236}">
              <a16:creationId xmlns:a16="http://schemas.microsoft.com/office/drawing/2014/main" id="{FCD1C6EB-ADDF-41B0-A5E1-CDDDB6A90404}"/>
            </a:ext>
          </a:extLst>
        </xdr:cNvPr>
        <xdr:cNvGrpSpPr/>
      </xdr:nvGrpSpPr>
      <xdr:grpSpPr>
        <a:xfrm>
          <a:off x="3221567" y="1638300"/>
          <a:ext cx="1547706" cy="1668780"/>
          <a:chOff x="3535680" y="1356360"/>
          <a:chExt cx="1348740" cy="1691640"/>
        </a:xfrm>
        <a:effectLst>
          <a:outerShdw blurRad="50800" dist="38100" dir="8100000" algn="tr" rotWithShape="0">
            <a:prstClr val="black">
              <a:alpha val="40000"/>
            </a:prstClr>
          </a:outerShdw>
        </a:effectLst>
      </xdr:grpSpPr>
      <xdr:sp macro="" textlink="">
        <xdr:nvSpPr>
          <xdr:cNvPr id="24" name="Rectangle 23">
            <a:extLst>
              <a:ext uri="{FF2B5EF4-FFF2-40B4-BE49-F238E27FC236}">
                <a16:creationId xmlns:a16="http://schemas.microsoft.com/office/drawing/2014/main" id="{60E70F8A-48C8-2B83-0BC3-277977D35C45}"/>
              </a:ext>
            </a:extLst>
          </xdr:cNvPr>
          <xdr:cNvSpPr/>
        </xdr:nvSpPr>
        <xdr:spPr>
          <a:xfrm>
            <a:off x="3535680" y="1356360"/>
            <a:ext cx="1348740" cy="16916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B6">
        <xdr:nvSpPr>
          <xdr:cNvPr id="25" name="TextBox 24">
            <a:extLst>
              <a:ext uri="{FF2B5EF4-FFF2-40B4-BE49-F238E27FC236}">
                <a16:creationId xmlns:a16="http://schemas.microsoft.com/office/drawing/2014/main" id="{C1A1E410-9B31-7C24-C12E-CEEFA8C8BD06}"/>
              </a:ext>
            </a:extLst>
          </xdr:cNvPr>
          <xdr:cNvSpPr txBox="1"/>
        </xdr:nvSpPr>
        <xdr:spPr>
          <a:xfrm>
            <a:off x="3657600" y="2331720"/>
            <a:ext cx="12039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06DA69-5731-4932-B1FB-2F0FF186B111}" type="TxLink">
              <a:rPr lang="en-US" sz="1200" b="1" i="0" u="none" strike="noStrike">
                <a:ln>
                  <a:noFill/>
                </a:ln>
                <a:solidFill>
                  <a:srgbClr val="000000"/>
                </a:solidFill>
                <a:latin typeface="Arial"/>
                <a:cs typeface="Arial"/>
              </a:rPr>
              <a:pPr/>
              <a:t>$359.038</a:t>
            </a:fld>
            <a:endParaRPr lang="en-IN" sz="1400">
              <a:ln>
                <a:noFill/>
              </a:ln>
            </a:endParaRPr>
          </a:p>
        </xdr:txBody>
      </xdr:sp>
      <xdr:sp macro="" textlink="Pivottables!B7">
        <xdr:nvSpPr>
          <xdr:cNvPr id="26" name="TextBox 25">
            <a:extLst>
              <a:ext uri="{FF2B5EF4-FFF2-40B4-BE49-F238E27FC236}">
                <a16:creationId xmlns:a16="http://schemas.microsoft.com/office/drawing/2014/main" id="{8D3A3DDA-6DD8-3279-3542-85F8156FA187}"/>
              </a:ext>
            </a:extLst>
          </xdr:cNvPr>
          <xdr:cNvSpPr txBox="1"/>
        </xdr:nvSpPr>
        <xdr:spPr>
          <a:xfrm>
            <a:off x="3657600" y="2598420"/>
            <a:ext cx="12039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2E7F25-4656-4602-BBB4-66CFEA97CDA4}" type="TxLink">
              <a:rPr lang="en-US" sz="1100" b="1" i="0" u="none" strike="noStrike">
                <a:ln>
                  <a:noFill/>
                </a:ln>
                <a:solidFill>
                  <a:srgbClr val="808080"/>
                </a:solidFill>
                <a:latin typeface="Aptos Narrow"/>
              </a:rPr>
              <a:pPr/>
              <a:t>79%</a:t>
            </a:fld>
            <a:endParaRPr lang="en-IN" sz="1400">
              <a:ln>
                <a:noFill/>
              </a:ln>
            </a:endParaRPr>
          </a:p>
        </xdr:txBody>
      </xdr:sp>
      <xdr:sp macro="" textlink="">
        <xdr:nvSpPr>
          <xdr:cNvPr id="27" name="Rectangle: Rounded Corners 26">
            <a:extLst>
              <a:ext uri="{FF2B5EF4-FFF2-40B4-BE49-F238E27FC236}">
                <a16:creationId xmlns:a16="http://schemas.microsoft.com/office/drawing/2014/main" id="{EF657E6E-D284-85F8-DC5B-A60D8ECFDCB7}"/>
              </a:ext>
            </a:extLst>
          </xdr:cNvPr>
          <xdr:cNvSpPr/>
        </xdr:nvSpPr>
        <xdr:spPr>
          <a:xfrm>
            <a:off x="3627247" y="1593132"/>
            <a:ext cx="1127760" cy="365760"/>
          </a:xfrm>
          <a:prstGeom prst="roundRect">
            <a:avLst/>
          </a:prstGeom>
          <a:solidFill>
            <a:srgbClr val="38963F">
              <a:alpha val="12941"/>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accent6"/>
                </a:solidFill>
              </a:rPr>
              <a:t>Income</a:t>
            </a:r>
          </a:p>
        </xdr:txBody>
      </xdr:sp>
    </xdr:grpSp>
    <xdr:clientData/>
  </xdr:twoCellAnchor>
  <xdr:twoCellAnchor>
    <xdr:from>
      <xdr:col>8</xdr:col>
      <xdr:colOff>45720</xdr:colOff>
      <xdr:row>8</xdr:row>
      <xdr:rowOff>129540</xdr:rowOff>
    </xdr:from>
    <xdr:to>
      <xdr:col>10</xdr:col>
      <xdr:colOff>320040</xdr:colOff>
      <xdr:row>17</xdr:row>
      <xdr:rowOff>45720</xdr:rowOff>
    </xdr:to>
    <xdr:grpSp>
      <xdr:nvGrpSpPr>
        <xdr:cNvPr id="28" name="Group 27">
          <a:extLst>
            <a:ext uri="{FF2B5EF4-FFF2-40B4-BE49-F238E27FC236}">
              <a16:creationId xmlns:a16="http://schemas.microsoft.com/office/drawing/2014/main" id="{8756C08B-A2DB-4304-A256-718EF9FC650C}"/>
            </a:ext>
          </a:extLst>
        </xdr:cNvPr>
        <xdr:cNvGrpSpPr/>
      </xdr:nvGrpSpPr>
      <xdr:grpSpPr>
        <a:xfrm>
          <a:off x="4956387" y="1653540"/>
          <a:ext cx="1501986" cy="1630680"/>
          <a:chOff x="3535680" y="1356360"/>
          <a:chExt cx="1348740" cy="1691640"/>
        </a:xfrm>
        <a:effectLst>
          <a:outerShdw blurRad="50800" dist="38100" dir="8100000" algn="tr" rotWithShape="0">
            <a:prstClr val="black">
              <a:alpha val="40000"/>
            </a:prstClr>
          </a:outerShdw>
        </a:effectLst>
      </xdr:grpSpPr>
      <xdr:sp macro="" textlink="">
        <xdr:nvSpPr>
          <xdr:cNvPr id="29" name="Rectangle 28">
            <a:extLst>
              <a:ext uri="{FF2B5EF4-FFF2-40B4-BE49-F238E27FC236}">
                <a16:creationId xmlns:a16="http://schemas.microsoft.com/office/drawing/2014/main" id="{C2E5AB0F-9C29-FA1E-43A2-F18B4A529BB6}"/>
              </a:ext>
            </a:extLst>
          </xdr:cNvPr>
          <xdr:cNvSpPr/>
        </xdr:nvSpPr>
        <xdr:spPr>
          <a:xfrm>
            <a:off x="3535680" y="1356360"/>
            <a:ext cx="1348740" cy="16916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C6">
        <xdr:nvSpPr>
          <xdr:cNvPr id="30" name="TextBox 29">
            <a:extLst>
              <a:ext uri="{FF2B5EF4-FFF2-40B4-BE49-F238E27FC236}">
                <a16:creationId xmlns:a16="http://schemas.microsoft.com/office/drawing/2014/main" id="{FAA10114-A875-D586-9BA4-AF0571970B8C}"/>
              </a:ext>
            </a:extLst>
          </xdr:cNvPr>
          <xdr:cNvSpPr txBox="1"/>
        </xdr:nvSpPr>
        <xdr:spPr>
          <a:xfrm>
            <a:off x="3657600" y="2331720"/>
            <a:ext cx="12039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44D92B-6765-4C4F-B751-0C59539DD20F}" type="TxLink">
              <a:rPr lang="en-US" sz="1200" b="1" i="0" u="none" strike="noStrike">
                <a:ln>
                  <a:noFill/>
                </a:ln>
                <a:solidFill>
                  <a:srgbClr val="000000"/>
                </a:solidFill>
                <a:latin typeface="Arial"/>
                <a:cs typeface="Arial"/>
              </a:rPr>
              <a:pPr/>
              <a:t>$93.323</a:t>
            </a:fld>
            <a:endParaRPr lang="en-IN" sz="1800">
              <a:ln>
                <a:noFill/>
              </a:ln>
            </a:endParaRPr>
          </a:p>
        </xdr:txBody>
      </xdr:sp>
      <xdr:sp macro="" textlink="Pivottables!C7">
        <xdr:nvSpPr>
          <xdr:cNvPr id="31" name="TextBox 30">
            <a:extLst>
              <a:ext uri="{FF2B5EF4-FFF2-40B4-BE49-F238E27FC236}">
                <a16:creationId xmlns:a16="http://schemas.microsoft.com/office/drawing/2014/main" id="{F1F7A3DC-74F7-A8D8-55AC-2F31EA878E22}"/>
              </a:ext>
            </a:extLst>
          </xdr:cNvPr>
          <xdr:cNvSpPr txBox="1"/>
        </xdr:nvSpPr>
        <xdr:spPr>
          <a:xfrm>
            <a:off x="3657600" y="2598420"/>
            <a:ext cx="12039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43F0AC-51FF-4EDE-B4FC-58D274056829}" type="TxLink">
              <a:rPr lang="en-US" sz="1100" b="1" i="0" u="none" strike="noStrike">
                <a:ln>
                  <a:noFill/>
                </a:ln>
                <a:solidFill>
                  <a:srgbClr val="808080"/>
                </a:solidFill>
                <a:latin typeface="Aptos Narrow"/>
              </a:rPr>
              <a:pPr/>
              <a:t>21%</a:t>
            </a:fld>
            <a:endParaRPr lang="en-IN" sz="1400">
              <a:ln>
                <a:noFill/>
              </a:ln>
            </a:endParaRPr>
          </a:p>
        </xdr:txBody>
      </xdr:sp>
      <xdr:sp macro="" textlink="">
        <xdr:nvSpPr>
          <xdr:cNvPr id="32" name="Rectangle: Rounded Corners 31">
            <a:extLst>
              <a:ext uri="{FF2B5EF4-FFF2-40B4-BE49-F238E27FC236}">
                <a16:creationId xmlns:a16="http://schemas.microsoft.com/office/drawing/2014/main" id="{A4381CEF-74B5-039F-EB49-3D0F58A2C7A9}"/>
              </a:ext>
            </a:extLst>
          </xdr:cNvPr>
          <xdr:cNvSpPr/>
        </xdr:nvSpPr>
        <xdr:spPr>
          <a:xfrm>
            <a:off x="3634740" y="1600200"/>
            <a:ext cx="1127760" cy="365760"/>
          </a:xfrm>
          <a:prstGeom prst="roundRect">
            <a:avLst/>
          </a:prstGeom>
          <a:solidFill>
            <a:srgbClr val="F2AA84">
              <a:alpha val="17647"/>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accent2">
                    <a:lumMod val="75000"/>
                  </a:schemeClr>
                </a:solidFill>
              </a:rPr>
              <a:t>Expenses</a:t>
            </a:r>
          </a:p>
        </xdr:txBody>
      </xdr:sp>
    </xdr:grpSp>
    <xdr:clientData/>
  </xdr:twoCellAnchor>
  <xdr:twoCellAnchor>
    <xdr:from>
      <xdr:col>18</xdr:col>
      <xdr:colOff>480906</xdr:colOff>
      <xdr:row>8</xdr:row>
      <xdr:rowOff>137161</xdr:rowOff>
    </xdr:from>
    <xdr:to>
      <xdr:col>26</xdr:col>
      <xdr:colOff>44852</xdr:colOff>
      <xdr:row>18</xdr:row>
      <xdr:rowOff>114303</xdr:rowOff>
    </xdr:to>
    <xdr:grpSp>
      <xdr:nvGrpSpPr>
        <xdr:cNvPr id="52" name="Group 51">
          <a:extLst>
            <a:ext uri="{FF2B5EF4-FFF2-40B4-BE49-F238E27FC236}">
              <a16:creationId xmlns:a16="http://schemas.microsoft.com/office/drawing/2014/main" id="{883F5A10-1F1C-BB44-6AB1-92092E36392E}"/>
            </a:ext>
          </a:extLst>
        </xdr:cNvPr>
        <xdr:cNvGrpSpPr/>
      </xdr:nvGrpSpPr>
      <xdr:grpSpPr>
        <a:xfrm>
          <a:off x="11529906" y="1661161"/>
          <a:ext cx="4474613" cy="1882142"/>
          <a:chOff x="10805160" y="1897719"/>
          <a:chExt cx="2745973" cy="1554748"/>
        </a:xfrm>
      </xdr:grpSpPr>
      <xdr:sp macro="" textlink="">
        <xdr:nvSpPr>
          <xdr:cNvPr id="35" name="Rectangle 34">
            <a:extLst>
              <a:ext uri="{FF2B5EF4-FFF2-40B4-BE49-F238E27FC236}">
                <a16:creationId xmlns:a16="http://schemas.microsoft.com/office/drawing/2014/main" id="{04431A03-E856-43EE-8BF6-F24D81683695}"/>
              </a:ext>
            </a:extLst>
          </xdr:cNvPr>
          <xdr:cNvSpPr/>
        </xdr:nvSpPr>
        <xdr:spPr>
          <a:xfrm>
            <a:off x="10805160" y="1897719"/>
            <a:ext cx="2403719" cy="1554748"/>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TextBox 35">
            <a:extLst>
              <a:ext uri="{FF2B5EF4-FFF2-40B4-BE49-F238E27FC236}">
                <a16:creationId xmlns:a16="http://schemas.microsoft.com/office/drawing/2014/main" id="{F1CD89DC-3B2A-4B06-A95C-7650221B86F5}"/>
              </a:ext>
            </a:extLst>
          </xdr:cNvPr>
          <xdr:cNvSpPr txBox="1"/>
        </xdr:nvSpPr>
        <xdr:spPr>
          <a:xfrm>
            <a:off x="10854732" y="1960694"/>
            <a:ext cx="174168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latin typeface="Arial" panose="020B0604020202020204" pitchFamily="34" charset="0"/>
                <a:cs typeface="Arial" panose="020B0604020202020204" pitchFamily="34" charset="0"/>
              </a:rPr>
              <a:t>Truck</a:t>
            </a:r>
            <a:r>
              <a:rPr lang="en-IN" sz="1200" baseline="0">
                <a:ln>
                  <a:noFill/>
                </a:ln>
                <a:latin typeface="Arial" panose="020B0604020202020204" pitchFamily="34" charset="0"/>
                <a:cs typeface="Arial" panose="020B0604020202020204" pitchFamily="34" charset="0"/>
              </a:rPr>
              <a:t> expenses</a:t>
            </a:r>
            <a:endParaRPr lang="en-IN" sz="1200">
              <a:ln>
                <a:noFill/>
              </a:ln>
              <a:latin typeface="Arial" panose="020B0604020202020204" pitchFamily="34" charset="0"/>
              <a:cs typeface="Arial" panose="020B0604020202020204" pitchFamily="34" charset="0"/>
            </a:endParaRPr>
          </a:p>
        </xdr:txBody>
      </xdr:sp>
      <xdr:sp macro="" textlink="#REF!">
        <xdr:nvSpPr>
          <xdr:cNvPr id="37" name="TextBox 36">
            <a:extLst>
              <a:ext uri="{FF2B5EF4-FFF2-40B4-BE49-F238E27FC236}">
                <a16:creationId xmlns:a16="http://schemas.microsoft.com/office/drawing/2014/main" id="{575A3E1C-6724-4949-9043-1FC179AD8303}"/>
              </a:ext>
            </a:extLst>
          </xdr:cNvPr>
          <xdr:cNvSpPr txBox="1"/>
        </xdr:nvSpPr>
        <xdr:spPr>
          <a:xfrm>
            <a:off x="10899775" y="2226945"/>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Insurance</a:t>
            </a:r>
          </a:p>
        </xdr:txBody>
      </xdr:sp>
      <xdr:sp macro="" textlink="Pivottables!R6">
        <xdr:nvSpPr>
          <xdr:cNvPr id="38" name="TextBox 37">
            <a:extLst>
              <a:ext uri="{FF2B5EF4-FFF2-40B4-BE49-F238E27FC236}">
                <a16:creationId xmlns:a16="http://schemas.microsoft.com/office/drawing/2014/main" id="{C42CDE5B-03EE-4954-814D-F56342D27632}"/>
              </a:ext>
            </a:extLst>
          </xdr:cNvPr>
          <xdr:cNvSpPr txBox="1"/>
        </xdr:nvSpPr>
        <xdr:spPr>
          <a:xfrm>
            <a:off x="12450692" y="2258124"/>
            <a:ext cx="109247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D87FC90-5230-4B67-B63D-C023DA9DE0E4}" type="TxLink">
              <a:rPr lang="en-US" sz="1100" b="1" i="0" u="none" strike="noStrike">
                <a:ln>
                  <a:noFill/>
                </a:ln>
                <a:solidFill>
                  <a:srgbClr val="000000"/>
                </a:solidFill>
                <a:latin typeface="Arial"/>
                <a:ea typeface="+mn-ea"/>
                <a:cs typeface="Arial"/>
              </a:rPr>
              <a:pPr marL="0" indent="0"/>
              <a:t>$7.920</a:t>
            </a:fld>
            <a:endParaRPr lang="en-IN" sz="1100" b="1" i="0" u="none" strike="noStrike">
              <a:ln>
                <a:noFill/>
              </a:ln>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REF!">
        <xdr:nvSpPr>
          <xdr:cNvPr id="39" name="TextBox 38">
            <a:extLst>
              <a:ext uri="{FF2B5EF4-FFF2-40B4-BE49-F238E27FC236}">
                <a16:creationId xmlns:a16="http://schemas.microsoft.com/office/drawing/2014/main" id="{50F935FF-D3CB-4D35-9FF3-4359E94890F2}"/>
              </a:ext>
            </a:extLst>
          </xdr:cNvPr>
          <xdr:cNvSpPr txBox="1"/>
        </xdr:nvSpPr>
        <xdr:spPr>
          <a:xfrm>
            <a:off x="10899775" y="2510661"/>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Fuel</a:t>
            </a:r>
          </a:p>
        </xdr:txBody>
      </xdr:sp>
      <xdr:sp macro="" textlink="Pivottables!S6">
        <xdr:nvSpPr>
          <xdr:cNvPr id="40" name="TextBox 39">
            <a:extLst>
              <a:ext uri="{FF2B5EF4-FFF2-40B4-BE49-F238E27FC236}">
                <a16:creationId xmlns:a16="http://schemas.microsoft.com/office/drawing/2014/main" id="{C65C88CD-FFE1-4A63-8EC5-E1E6B9FEB975}"/>
              </a:ext>
            </a:extLst>
          </xdr:cNvPr>
          <xdr:cNvSpPr txBox="1"/>
        </xdr:nvSpPr>
        <xdr:spPr>
          <a:xfrm>
            <a:off x="12456280" y="2532165"/>
            <a:ext cx="109485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396E82-CB71-4593-AB4D-F3D962AB66FD}" type="TxLink">
              <a:rPr lang="en-US" sz="1100" b="1" i="0" u="none" strike="noStrike">
                <a:ln>
                  <a:noFill/>
                </a:ln>
                <a:solidFill>
                  <a:srgbClr val="000000"/>
                </a:solidFill>
                <a:latin typeface="Arial"/>
                <a:ea typeface="+mn-ea"/>
                <a:cs typeface="Arial"/>
              </a:rPr>
              <a:pPr marL="0" indent="0"/>
              <a:t>$23.720</a:t>
            </a:fld>
            <a:endParaRPr lang="en-IN" sz="1050" b="1" i="0" u="none" strike="noStrike">
              <a:ln>
                <a:noFill/>
              </a:ln>
              <a:solidFill>
                <a:schemeClr val="tx1">
                  <a:lumMod val="65000"/>
                  <a:lumOff val="35000"/>
                </a:schemeClr>
              </a:solidFill>
              <a:latin typeface="Aptos Narrow"/>
              <a:ea typeface="+mn-ea"/>
              <a:cs typeface="Arial" panose="020B0604020202020204" pitchFamily="34" charset="0"/>
            </a:endParaRPr>
          </a:p>
        </xdr:txBody>
      </xdr:sp>
      <xdr:sp macro="" textlink="#REF!">
        <xdr:nvSpPr>
          <xdr:cNvPr id="41" name="TextBox 40">
            <a:extLst>
              <a:ext uri="{FF2B5EF4-FFF2-40B4-BE49-F238E27FC236}">
                <a16:creationId xmlns:a16="http://schemas.microsoft.com/office/drawing/2014/main" id="{2BD6E46E-32BB-4292-83B0-43D7D8B1BBC1}"/>
              </a:ext>
            </a:extLst>
          </xdr:cNvPr>
          <xdr:cNvSpPr txBox="1"/>
        </xdr:nvSpPr>
        <xdr:spPr>
          <a:xfrm>
            <a:off x="10886019" y="2820713"/>
            <a:ext cx="1947924"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Diesel</a:t>
            </a:r>
            <a:r>
              <a:rPr lang="en-IN" sz="11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Exhaust Fluid</a:t>
            </a:r>
            <a:endPar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T6">
        <xdr:nvSpPr>
          <xdr:cNvPr id="42" name="TextBox 41">
            <a:extLst>
              <a:ext uri="{FF2B5EF4-FFF2-40B4-BE49-F238E27FC236}">
                <a16:creationId xmlns:a16="http://schemas.microsoft.com/office/drawing/2014/main" id="{6618698F-9109-443E-B623-F16C6A921928}"/>
              </a:ext>
            </a:extLst>
          </xdr:cNvPr>
          <xdr:cNvSpPr txBox="1"/>
        </xdr:nvSpPr>
        <xdr:spPr>
          <a:xfrm>
            <a:off x="12457010" y="2827289"/>
            <a:ext cx="100318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DE1A4E6-726B-4351-855D-67DD49902323}" type="TxLink">
              <a:rPr lang="en-US" sz="1100" b="1" i="0" u="none" strike="noStrike">
                <a:ln>
                  <a:noFill/>
                </a:ln>
                <a:solidFill>
                  <a:srgbClr val="000000"/>
                </a:solidFill>
                <a:latin typeface="Arial"/>
                <a:ea typeface="+mn-ea"/>
                <a:cs typeface="Arial"/>
              </a:rPr>
              <a:pPr marL="0" indent="0"/>
              <a:t>$3.164</a:t>
            </a:fld>
            <a:endParaRPr lang="en-IN" sz="1050" b="1" i="0" u="none" strike="noStrike">
              <a:ln>
                <a:noFill/>
              </a:ln>
              <a:solidFill>
                <a:schemeClr val="tx1">
                  <a:lumMod val="65000"/>
                  <a:lumOff val="35000"/>
                </a:schemeClr>
              </a:solidFill>
              <a:latin typeface="Aptos Narrow"/>
              <a:ea typeface="+mn-ea"/>
              <a:cs typeface="Arial" panose="020B0604020202020204" pitchFamily="34" charset="0"/>
            </a:endParaRPr>
          </a:p>
        </xdr:txBody>
      </xdr:sp>
      <xdr:sp macro="" textlink="#REF!">
        <xdr:nvSpPr>
          <xdr:cNvPr id="43" name="TextBox 42">
            <a:extLst>
              <a:ext uri="{FF2B5EF4-FFF2-40B4-BE49-F238E27FC236}">
                <a16:creationId xmlns:a16="http://schemas.microsoft.com/office/drawing/2014/main" id="{1A1A016C-15A9-468A-93F1-F24D49E7AE73}"/>
              </a:ext>
            </a:extLst>
          </xdr:cNvPr>
          <xdr:cNvSpPr txBox="1"/>
        </xdr:nvSpPr>
        <xdr:spPr>
          <a:xfrm>
            <a:off x="10924307" y="3111769"/>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Advance</a:t>
            </a:r>
          </a:p>
        </xdr:txBody>
      </xdr:sp>
      <xdr:sp macro="" textlink="Pivottables!U6">
        <xdr:nvSpPr>
          <xdr:cNvPr id="44" name="TextBox 43">
            <a:extLst>
              <a:ext uri="{FF2B5EF4-FFF2-40B4-BE49-F238E27FC236}">
                <a16:creationId xmlns:a16="http://schemas.microsoft.com/office/drawing/2014/main" id="{5251454F-EDA9-4908-B9E7-5E56E894A2A2}"/>
              </a:ext>
            </a:extLst>
          </xdr:cNvPr>
          <xdr:cNvSpPr txBox="1"/>
        </xdr:nvSpPr>
        <xdr:spPr>
          <a:xfrm>
            <a:off x="12456482" y="3104305"/>
            <a:ext cx="1083122"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47A295C-146C-4071-A38A-F8F6538C9968}" type="TxLink">
              <a:rPr lang="en-US" sz="1100" b="1" i="0" u="none" strike="noStrike">
                <a:ln>
                  <a:noFill/>
                </a:ln>
                <a:solidFill>
                  <a:srgbClr val="000000"/>
                </a:solidFill>
                <a:latin typeface="Arial"/>
                <a:ea typeface="+mn-ea"/>
                <a:cs typeface="Arial"/>
              </a:rPr>
              <a:pPr marL="0" indent="0"/>
              <a:t>$15.250</a:t>
            </a:fld>
            <a:endParaRPr lang="en-IN" sz="1050" b="1" i="0" u="none" strike="noStrike">
              <a:ln>
                <a:noFill/>
              </a:ln>
              <a:solidFill>
                <a:schemeClr val="tx1">
                  <a:lumMod val="65000"/>
                  <a:lumOff val="35000"/>
                </a:schemeClr>
              </a:solidFill>
              <a:latin typeface="Aptos Narrow"/>
              <a:ea typeface="+mn-ea"/>
              <a:cs typeface="Arial" panose="020B0604020202020204" pitchFamily="34" charset="0"/>
            </a:endParaRPr>
          </a:p>
        </xdr:txBody>
      </xdr:sp>
    </xdr:grpSp>
    <xdr:clientData/>
  </xdr:twoCellAnchor>
  <xdr:twoCellAnchor>
    <xdr:from>
      <xdr:col>0</xdr:col>
      <xdr:colOff>502920</xdr:colOff>
      <xdr:row>5</xdr:row>
      <xdr:rowOff>53340</xdr:rowOff>
    </xdr:from>
    <xdr:to>
      <xdr:col>4</xdr:col>
      <xdr:colOff>441960</xdr:colOff>
      <xdr:row>16</xdr:row>
      <xdr:rowOff>45720</xdr:rowOff>
    </xdr:to>
    <xdr:grpSp>
      <xdr:nvGrpSpPr>
        <xdr:cNvPr id="70" name="Group 69">
          <a:extLst>
            <a:ext uri="{FF2B5EF4-FFF2-40B4-BE49-F238E27FC236}">
              <a16:creationId xmlns:a16="http://schemas.microsoft.com/office/drawing/2014/main" id="{BA90424B-616C-9339-054B-D34F792370E4}"/>
            </a:ext>
          </a:extLst>
        </xdr:cNvPr>
        <xdr:cNvGrpSpPr/>
      </xdr:nvGrpSpPr>
      <xdr:grpSpPr>
        <a:xfrm>
          <a:off x="502920" y="1005840"/>
          <a:ext cx="2394373" cy="2087880"/>
          <a:chOff x="1074420" y="1325880"/>
          <a:chExt cx="2377440" cy="2004060"/>
        </a:xfrm>
      </xdr:grpSpPr>
      <xdr:grpSp>
        <xdr:nvGrpSpPr>
          <xdr:cNvPr id="54" name="Group 53">
            <a:extLst>
              <a:ext uri="{FF2B5EF4-FFF2-40B4-BE49-F238E27FC236}">
                <a16:creationId xmlns:a16="http://schemas.microsoft.com/office/drawing/2014/main" id="{94B4915A-6439-0D45-8E8D-071843A10F02}"/>
              </a:ext>
            </a:extLst>
          </xdr:cNvPr>
          <xdr:cNvGrpSpPr/>
        </xdr:nvGrpSpPr>
        <xdr:grpSpPr>
          <a:xfrm>
            <a:off x="1143000" y="1402080"/>
            <a:ext cx="411480" cy="381000"/>
            <a:chOff x="1028418" y="1357884"/>
            <a:chExt cx="472440" cy="457200"/>
          </a:xfrm>
        </xdr:grpSpPr>
        <xdr:sp macro="" textlink="">
          <xdr:nvSpPr>
            <xdr:cNvPr id="15" name="Rectangle: Rounded Corners 14">
              <a:extLst>
                <a:ext uri="{FF2B5EF4-FFF2-40B4-BE49-F238E27FC236}">
                  <a16:creationId xmlns:a16="http://schemas.microsoft.com/office/drawing/2014/main" id="{E35451B7-FA91-46F9-8F2D-5901C549FBDB}"/>
                </a:ext>
              </a:extLst>
            </xdr:cNvPr>
            <xdr:cNvSpPr/>
          </xdr:nvSpPr>
          <xdr:spPr>
            <a:xfrm>
              <a:off x="1028418" y="1357884"/>
              <a:ext cx="472440" cy="457200"/>
            </a:xfrm>
            <a:prstGeom prst="round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18" name="Picture 17" descr="Dollar outline">
              <a:extLst>
                <a:ext uri="{FF2B5EF4-FFF2-40B4-BE49-F238E27FC236}">
                  <a16:creationId xmlns:a16="http://schemas.microsoft.com/office/drawing/2014/main" id="{9500BA0E-777B-67EB-3822-8DC8EA4AB7DF}"/>
                </a:ext>
              </a:extLst>
            </xdr:cNvPr>
            <xdr:cNvPicPr>
              <a:picLocks noChangeAspect="1"/>
            </xdr:cNvPicPr>
          </xdr:nvPicPr>
          <xdr:blipFill>
            <a:blip xmlns:r="http://schemas.openxmlformats.org/officeDocument/2006/relationships" r:embed="rId1">
              <a:lum bright="70000" contrast="-70000"/>
            </a:blip>
            <a:stretch>
              <a:fillRect/>
            </a:stretch>
          </xdr:blipFill>
          <xdr:spPr>
            <a:xfrm>
              <a:off x="1065390" y="1386840"/>
              <a:ext cx="396240" cy="396240"/>
            </a:xfrm>
            <a:prstGeom prst="rect">
              <a:avLst/>
            </a:prstGeom>
            <a:ln>
              <a:noFill/>
            </a:ln>
          </xdr:spPr>
        </xdr:pic>
      </xdr:grpSp>
      <xdr:sp macro="" textlink="Pivottables!D6">
        <xdr:nvSpPr>
          <xdr:cNvPr id="21" name="TextBox 20">
            <a:extLst>
              <a:ext uri="{FF2B5EF4-FFF2-40B4-BE49-F238E27FC236}">
                <a16:creationId xmlns:a16="http://schemas.microsoft.com/office/drawing/2014/main" id="{695537CA-CA2E-4036-8193-AB8747F5EA5B}"/>
              </a:ext>
            </a:extLst>
          </xdr:cNvPr>
          <xdr:cNvSpPr txBox="1"/>
        </xdr:nvSpPr>
        <xdr:spPr>
          <a:xfrm>
            <a:off x="1516380" y="1325880"/>
            <a:ext cx="1373505" cy="417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486386-B489-4169-B5AA-5D49241B039C}" type="TxLink">
              <a:rPr lang="en-US" sz="2000" b="1" i="0" u="none" strike="noStrike">
                <a:ln>
                  <a:noFill/>
                </a:ln>
                <a:solidFill>
                  <a:srgbClr val="000000"/>
                </a:solidFill>
                <a:latin typeface="Arial"/>
                <a:cs typeface="Arial"/>
              </a:rPr>
              <a:pPr/>
              <a:t>265.715</a:t>
            </a:fld>
            <a:endParaRPr lang="en-IN" sz="3600" b="1">
              <a:ln>
                <a:noFill/>
              </a:ln>
              <a:latin typeface="Arial" panose="020B0604020202020204" pitchFamily="34" charset="0"/>
              <a:cs typeface="Arial" panose="020B0604020202020204" pitchFamily="34" charset="0"/>
            </a:endParaRPr>
          </a:p>
        </xdr:txBody>
      </xdr:sp>
      <xdr:sp macro="" textlink="">
        <xdr:nvSpPr>
          <xdr:cNvPr id="22" name="TextBox 21">
            <a:extLst>
              <a:ext uri="{FF2B5EF4-FFF2-40B4-BE49-F238E27FC236}">
                <a16:creationId xmlns:a16="http://schemas.microsoft.com/office/drawing/2014/main" id="{C01098CA-043C-49B3-809A-CD06985A135D}"/>
              </a:ext>
            </a:extLst>
          </xdr:cNvPr>
          <xdr:cNvSpPr txBox="1"/>
        </xdr:nvSpPr>
        <xdr:spPr>
          <a:xfrm>
            <a:off x="1501140" y="1562100"/>
            <a:ext cx="155638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tx1">
                    <a:lumMod val="85000"/>
                    <a:lumOff val="15000"/>
                  </a:schemeClr>
                </a:solidFill>
                <a:latin typeface="Arial" panose="020B0604020202020204" pitchFamily="34" charset="0"/>
                <a:cs typeface="Arial" panose="020B0604020202020204" pitchFamily="34" charset="0"/>
              </a:rPr>
              <a:t>Monthly</a:t>
            </a:r>
            <a:r>
              <a:rPr lang="en-IN" sz="1200" baseline="0">
                <a:ln>
                  <a:noFill/>
                </a:ln>
                <a:solidFill>
                  <a:schemeClr val="tx1">
                    <a:lumMod val="85000"/>
                    <a:lumOff val="15000"/>
                  </a:schemeClr>
                </a:solidFill>
                <a:latin typeface="Arial" panose="020B0604020202020204" pitchFamily="34" charset="0"/>
                <a:cs typeface="Arial" panose="020B0604020202020204" pitchFamily="34" charset="0"/>
              </a:rPr>
              <a:t>  Balance</a:t>
            </a:r>
            <a:endParaRPr lang="en-IN" sz="1200">
              <a:ln>
                <a:noFill/>
              </a:ln>
              <a:solidFill>
                <a:schemeClr val="tx1">
                  <a:lumMod val="85000"/>
                  <a:lumOff val="15000"/>
                </a:schemeClr>
              </a:solidFill>
              <a:latin typeface="Arial" panose="020B0604020202020204" pitchFamily="34" charset="0"/>
              <a:cs typeface="Arial" panose="020B0604020202020204" pitchFamily="34" charset="0"/>
            </a:endParaRPr>
          </a:p>
        </xdr:txBody>
      </xdr:sp>
      <xdr:grpSp>
        <xdr:nvGrpSpPr>
          <xdr:cNvPr id="56" name="Group 55">
            <a:extLst>
              <a:ext uri="{FF2B5EF4-FFF2-40B4-BE49-F238E27FC236}">
                <a16:creationId xmlns:a16="http://schemas.microsoft.com/office/drawing/2014/main" id="{0ECE4A09-9321-0302-21AD-6A87971E96F4}"/>
              </a:ext>
            </a:extLst>
          </xdr:cNvPr>
          <xdr:cNvGrpSpPr/>
        </xdr:nvGrpSpPr>
        <xdr:grpSpPr>
          <a:xfrm>
            <a:off x="1097280" y="2392680"/>
            <a:ext cx="2308862" cy="320040"/>
            <a:chOff x="1058915" y="2125980"/>
            <a:chExt cx="2288785" cy="320040"/>
          </a:xfrm>
        </xdr:grpSpPr>
        <xdr:sp macro="" textlink="Pivottables!O6">
          <xdr:nvSpPr>
            <xdr:cNvPr id="46" name="Rectangle: Rounded Corners 45">
              <a:extLst>
                <a:ext uri="{FF2B5EF4-FFF2-40B4-BE49-F238E27FC236}">
                  <a16:creationId xmlns:a16="http://schemas.microsoft.com/office/drawing/2014/main" id="{4F863BEA-A565-4D8C-A673-B2C9D75A87F2}"/>
                </a:ext>
              </a:extLst>
            </xdr:cNvPr>
            <xdr:cNvSpPr/>
          </xdr:nvSpPr>
          <xdr:spPr>
            <a:xfrm>
              <a:off x="2462918" y="2125980"/>
              <a:ext cx="884782" cy="320040"/>
            </a:xfrm>
            <a:prstGeom prst="roundRect">
              <a:avLst/>
            </a:prstGeom>
            <a:solidFill>
              <a:schemeClr val="bg1">
                <a:alpha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27986E4-B3AD-4694-AAA4-C5401818A78C}" type="TxLink">
                <a:rPr lang="en-US" sz="1100" b="1" i="0" u="none" strike="noStrike">
                  <a:solidFill>
                    <a:srgbClr val="000000"/>
                  </a:solidFill>
                  <a:latin typeface="Arial"/>
                  <a:cs typeface="Arial"/>
                </a:rPr>
                <a:pPr algn="ctr"/>
                <a:t>50</a:t>
              </a:fld>
              <a:endParaRPr lang="en-IN" sz="1200">
                <a:solidFill>
                  <a:schemeClr val="accent6"/>
                </a:solidFill>
              </a:endParaRPr>
            </a:p>
          </xdr:txBody>
        </xdr:sp>
        <xdr:sp macro="" textlink="#REF!">
          <xdr:nvSpPr>
            <xdr:cNvPr id="47" name="TextBox 46">
              <a:extLst>
                <a:ext uri="{FF2B5EF4-FFF2-40B4-BE49-F238E27FC236}">
                  <a16:creationId xmlns:a16="http://schemas.microsoft.com/office/drawing/2014/main" id="{E5BD80A2-2C8F-4352-85AC-6FC85E13D0A7}"/>
                </a:ext>
              </a:extLst>
            </xdr:cNvPr>
            <xdr:cNvSpPr txBox="1"/>
          </xdr:nvSpPr>
          <xdr:spPr>
            <a:xfrm>
              <a:off x="1058915" y="2133600"/>
              <a:ext cx="151828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D03AF6-15A4-4E6B-B363-205F178CEF1B}" type="TxLink">
                <a:rPr lang="en-US" sz="1100" b="1" i="0" u="none" strike="noStrike">
                  <a:ln>
                    <a:noFill/>
                  </a:ln>
                  <a:solidFill>
                    <a:schemeClr val="tx1">
                      <a:lumMod val="50000"/>
                      <a:lumOff val="50000"/>
                    </a:schemeClr>
                  </a:solidFill>
                  <a:latin typeface="Arial" panose="020B0604020202020204" pitchFamily="34" charset="0"/>
                  <a:cs typeface="Arial" panose="020B0604020202020204" pitchFamily="34" charset="0"/>
                </a:rPr>
                <a:pPr/>
                <a:t>Retaining customer</a:t>
              </a:fld>
              <a:endParaRPr lang="en-IN" sz="1200" b="1">
                <a:ln>
                  <a:noFill/>
                </a:ln>
                <a:solidFill>
                  <a:schemeClr val="tx1">
                    <a:lumMod val="50000"/>
                    <a:lumOff val="50000"/>
                  </a:schemeClr>
                </a:solidFill>
                <a:latin typeface="Arial" panose="020B0604020202020204" pitchFamily="34" charset="0"/>
                <a:cs typeface="Arial" panose="020B0604020202020204" pitchFamily="34" charset="0"/>
              </a:endParaRPr>
            </a:p>
          </xdr:txBody>
        </xdr:sp>
      </xdr:grpSp>
      <xdr:grpSp>
        <xdr:nvGrpSpPr>
          <xdr:cNvPr id="50" name="Group 49">
            <a:extLst>
              <a:ext uri="{FF2B5EF4-FFF2-40B4-BE49-F238E27FC236}">
                <a16:creationId xmlns:a16="http://schemas.microsoft.com/office/drawing/2014/main" id="{AD8D6F34-99D4-6602-B954-E9681377DB03}"/>
              </a:ext>
            </a:extLst>
          </xdr:cNvPr>
          <xdr:cNvGrpSpPr/>
        </xdr:nvGrpSpPr>
        <xdr:grpSpPr>
          <a:xfrm>
            <a:off x="1150620" y="2832734"/>
            <a:ext cx="2240281" cy="329565"/>
            <a:chOff x="495300" y="196214"/>
            <a:chExt cx="2240281" cy="329565"/>
          </a:xfrm>
        </xdr:grpSpPr>
        <xdr:sp macro="" textlink="#REF!">
          <xdr:nvSpPr>
            <xdr:cNvPr id="48" name="TextBox 47">
              <a:extLst>
                <a:ext uri="{FF2B5EF4-FFF2-40B4-BE49-F238E27FC236}">
                  <a16:creationId xmlns:a16="http://schemas.microsoft.com/office/drawing/2014/main" id="{CD9EB4E0-7BF5-4A6A-96BF-EFAB976A05F8}"/>
                </a:ext>
              </a:extLst>
            </xdr:cNvPr>
            <xdr:cNvSpPr txBox="1"/>
          </xdr:nvSpPr>
          <xdr:spPr>
            <a:xfrm>
              <a:off x="495300" y="243840"/>
              <a:ext cx="16478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29F87C-F9C8-459F-8329-043982A59418}" type="TxLink">
                <a:rPr lang="en-US" sz="1100" b="1" i="0" u="none" strike="noStrike">
                  <a:ln>
                    <a:noFill/>
                  </a:ln>
                  <a:solidFill>
                    <a:schemeClr val="tx1">
                      <a:lumMod val="50000"/>
                      <a:lumOff val="50000"/>
                    </a:schemeClr>
                  </a:solidFill>
                  <a:latin typeface="Arial" panose="020B0604020202020204" pitchFamily="34" charset="0"/>
                  <a:ea typeface="+mn-ea"/>
                  <a:cs typeface="Arial" panose="020B0604020202020204" pitchFamily="34" charset="0"/>
                </a:rPr>
                <a:pPr marL="0" indent="0"/>
                <a:t>New customer</a:t>
              </a:fld>
              <a:endParaRPr lang="en-IN" sz="1100" b="1" i="0" u="none" strike="noStrike">
                <a:ln>
                  <a:noFill/>
                </a:ln>
                <a:solidFill>
                  <a:schemeClr val="tx1">
                    <a:lumMod val="50000"/>
                    <a:lumOff val="50000"/>
                  </a:schemeClr>
                </a:solidFill>
                <a:latin typeface="Arial" panose="020B0604020202020204" pitchFamily="34" charset="0"/>
                <a:ea typeface="+mn-ea"/>
                <a:cs typeface="Arial" panose="020B0604020202020204" pitchFamily="34" charset="0"/>
              </a:endParaRPr>
            </a:p>
          </xdr:txBody>
        </xdr:sp>
        <xdr:sp macro="" textlink="Pivottables!M6">
          <xdr:nvSpPr>
            <xdr:cNvPr id="49" name="Rectangle: Rounded Corners 48">
              <a:extLst>
                <a:ext uri="{FF2B5EF4-FFF2-40B4-BE49-F238E27FC236}">
                  <a16:creationId xmlns:a16="http://schemas.microsoft.com/office/drawing/2014/main" id="{78926FE6-109B-4D7F-B5F2-23F95F77ADB8}"/>
                </a:ext>
              </a:extLst>
            </xdr:cNvPr>
            <xdr:cNvSpPr/>
          </xdr:nvSpPr>
          <xdr:spPr>
            <a:xfrm>
              <a:off x="1838325" y="196214"/>
              <a:ext cx="897256" cy="329565"/>
            </a:xfrm>
            <a:prstGeom prst="roundRect">
              <a:avLst/>
            </a:prstGeom>
            <a:solidFill>
              <a:schemeClr val="bg1">
                <a:alpha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BD87ED0-3F40-4252-8CBF-395736133DF9}" type="TxLink">
                <a:rPr lang="en-US" sz="1100" b="1" i="0" u="none" strike="noStrike">
                  <a:solidFill>
                    <a:srgbClr val="000000"/>
                  </a:solidFill>
                  <a:latin typeface="Arial"/>
                  <a:cs typeface="Arial"/>
                </a:rPr>
                <a:pPr algn="ctr"/>
                <a:t>11</a:t>
              </a:fld>
              <a:endParaRPr lang="en-IN" sz="1200">
                <a:solidFill>
                  <a:schemeClr val="accent6"/>
                </a:solidFill>
              </a:endParaRPr>
            </a:p>
          </xdr:txBody>
        </xdr:sp>
      </xdr:grpSp>
      <xdr:sp macro="" textlink="">
        <xdr:nvSpPr>
          <xdr:cNvPr id="51" name="TextBox 50">
            <a:extLst>
              <a:ext uri="{FF2B5EF4-FFF2-40B4-BE49-F238E27FC236}">
                <a16:creationId xmlns:a16="http://schemas.microsoft.com/office/drawing/2014/main" id="{92EF98F2-5870-48FD-BAD8-B11E54DA038F}"/>
              </a:ext>
            </a:extLst>
          </xdr:cNvPr>
          <xdr:cNvSpPr txBox="1"/>
        </xdr:nvSpPr>
        <xdr:spPr>
          <a:xfrm>
            <a:off x="1074420" y="1889760"/>
            <a:ext cx="11144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chemeClr val="bg2">
                    <a:lumMod val="50000"/>
                  </a:schemeClr>
                </a:solidFill>
                <a:latin typeface="Arial" panose="020B0604020202020204" pitchFamily="34" charset="0"/>
                <a:cs typeface="Arial" panose="020B0604020202020204" pitchFamily="34" charset="0"/>
              </a:rPr>
              <a:t>Year</a:t>
            </a:r>
            <a:r>
              <a:rPr lang="en-IN" sz="1100" b="1" baseline="0">
                <a:ln>
                  <a:noFill/>
                </a:ln>
                <a:solidFill>
                  <a:schemeClr val="bg2">
                    <a:lumMod val="50000"/>
                  </a:schemeClr>
                </a:solidFill>
                <a:latin typeface="Arial" panose="020B0604020202020204" pitchFamily="34" charset="0"/>
                <a:cs typeface="Arial" panose="020B0604020202020204" pitchFamily="34" charset="0"/>
              </a:rPr>
              <a:t> to Date</a:t>
            </a:r>
            <a:endParaRPr lang="en-IN" sz="1100" b="1">
              <a:ln>
                <a:noFill/>
              </a:ln>
              <a:solidFill>
                <a:schemeClr val="bg2">
                  <a:lumMod val="50000"/>
                </a:schemeClr>
              </a:solidFill>
              <a:latin typeface="Arial" panose="020B0604020202020204" pitchFamily="34" charset="0"/>
              <a:cs typeface="Arial" panose="020B0604020202020204" pitchFamily="34" charset="0"/>
            </a:endParaRPr>
          </a:p>
        </xdr:txBody>
      </xdr:sp>
      <xdr:sp macro="" textlink="Pivottables!H6">
        <xdr:nvSpPr>
          <xdr:cNvPr id="53" name="TextBox 52">
            <a:extLst>
              <a:ext uri="{FF2B5EF4-FFF2-40B4-BE49-F238E27FC236}">
                <a16:creationId xmlns:a16="http://schemas.microsoft.com/office/drawing/2014/main" id="{80D25F92-D15F-4BA8-B533-9CADFC5F225C}"/>
              </a:ext>
            </a:extLst>
          </xdr:cNvPr>
          <xdr:cNvSpPr txBox="1"/>
        </xdr:nvSpPr>
        <xdr:spPr>
          <a:xfrm>
            <a:off x="2080260" y="1889760"/>
            <a:ext cx="11144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F830FF-7128-4C11-843D-969E5E81DDE8}" type="TxLink">
              <a:rPr lang="en-US" sz="1200" b="1" i="0" u="none" strike="noStrike">
                <a:ln>
                  <a:noFill/>
                </a:ln>
                <a:solidFill>
                  <a:schemeClr val="tx1">
                    <a:lumMod val="50000"/>
                    <a:lumOff val="50000"/>
                  </a:schemeClr>
                </a:solidFill>
                <a:latin typeface="Arial"/>
                <a:cs typeface="Arial"/>
              </a:rPr>
              <a:pPr/>
              <a:t>$265.715</a:t>
            </a:fld>
            <a:endParaRPr lang="en-IN" sz="1200" b="1">
              <a:ln>
                <a:noFill/>
              </a:ln>
              <a:solidFill>
                <a:schemeClr val="tx1">
                  <a:lumMod val="50000"/>
                  <a:lumOff val="50000"/>
                </a:schemeClr>
              </a:solidFill>
              <a:latin typeface="Arial" panose="020B0604020202020204" pitchFamily="34" charset="0"/>
              <a:cs typeface="Arial" panose="020B0604020202020204" pitchFamily="34" charset="0"/>
            </a:endParaRPr>
          </a:p>
        </xdr:txBody>
      </xdr:sp>
      <xdr:cxnSp macro="">
        <xdr:nvCxnSpPr>
          <xdr:cNvPr id="58" name="Straight Connector 57">
            <a:extLst>
              <a:ext uri="{FF2B5EF4-FFF2-40B4-BE49-F238E27FC236}">
                <a16:creationId xmlns:a16="http://schemas.microsoft.com/office/drawing/2014/main" id="{5424F3F0-5F00-02BD-B8D0-56F25CD4A566}"/>
              </a:ext>
            </a:extLst>
          </xdr:cNvPr>
          <xdr:cNvCxnSpPr/>
        </xdr:nvCxnSpPr>
        <xdr:spPr>
          <a:xfrm flipV="1">
            <a:off x="1181100" y="2247900"/>
            <a:ext cx="2270760" cy="2286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2AD9857D-92EC-4BC4-B6A1-180520EAF26F}"/>
              </a:ext>
            </a:extLst>
          </xdr:cNvPr>
          <xdr:cNvCxnSpPr/>
        </xdr:nvCxnSpPr>
        <xdr:spPr>
          <a:xfrm flipV="1">
            <a:off x="1097280" y="3314700"/>
            <a:ext cx="2324100" cy="1524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18</xdr:col>
      <xdr:colOff>480059</xdr:colOff>
      <xdr:row>19</xdr:row>
      <xdr:rowOff>152399</xdr:rowOff>
    </xdr:from>
    <xdr:to>
      <xdr:col>26</xdr:col>
      <xdr:colOff>167640</xdr:colOff>
      <xdr:row>30</xdr:row>
      <xdr:rowOff>15240</xdr:rowOff>
    </xdr:to>
    <xdr:grpSp>
      <xdr:nvGrpSpPr>
        <xdr:cNvPr id="82" name="Group 81">
          <a:extLst>
            <a:ext uri="{FF2B5EF4-FFF2-40B4-BE49-F238E27FC236}">
              <a16:creationId xmlns:a16="http://schemas.microsoft.com/office/drawing/2014/main" id="{E4ABED3B-BF32-4D41-B2B2-00CF8837781F}"/>
            </a:ext>
          </a:extLst>
        </xdr:cNvPr>
        <xdr:cNvGrpSpPr/>
      </xdr:nvGrpSpPr>
      <xdr:grpSpPr>
        <a:xfrm>
          <a:off x="11529059" y="3771899"/>
          <a:ext cx="4598248" cy="1958341"/>
          <a:chOff x="10717534" y="1907994"/>
          <a:chExt cx="2747671" cy="1591937"/>
        </a:xfrm>
        <a:effectLst>
          <a:outerShdw blurRad="50800" dist="38100" dir="8100000" algn="tr" rotWithShape="0">
            <a:prstClr val="black">
              <a:alpha val="40000"/>
            </a:prstClr>
          </a:outerShdw>
        </a:effectLst>
      </xdr:grpSpPr>
      <xdr:sp macro="" textlink="">
        <xdr:nvSpPr>
          <xdr:cNvPr id="83" name="Rectangle 82">
            <a:extLst>
              <a:ext uri="{FF2B5EF4-FFF2-40B4-BE49-F238E27FC236}">
                <a16:creationId xmlns:a16="http://schemas.microsoft.com/office/drawing/2014/main" id="{3B296018-5511-A468-5373-0753D1963E81}"/>
              </a:ext>
            </a:extLst>
          </xdr:cNvPr>
          <xdr:cNvSpPr/>
        </xdr:nvSpPr>
        <xdr:spPr>
          <a:xfrm>
            <a:off x="10717534" y="1907994"/>
            <a:ext cx="2334871" cy="15919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TextBox 83">
            <a:extLst>
              <a:ext uri="{FF2B5EF4-FFF2-40B4-BE49-F238E27FC236}">
                <a16:creationId xmlns:a16="http://schemas.microsoft.com/office/drawing/2014/main" id="{D5CDDA3E-7400-525B-01BE-405519D6DE87}"/>
              </a:ext>
            </a:extLst>
          </xdr:cNvPr>
          <xdr:cNvSpPr txBox="1"/>
        </xdr:nvSpPr>
        <xdr:spPr>
          <a:xfrm>
            <a:off x="10847600" y="1929220"/>
            <a:ext cx="174168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n>
                  <a:noFill/>
                </a:ln>
                <a:latin typeface="Arial" panose="020B0604020202020204" pitchFamily="34" charset="0"/>
                <a:cs typeface="Arial" panose="020B0604020202020204" pitchFamily="34" charset="0"/>
              </a:rPr>
              <a:t>Freight expenses</a:t>
            </a:r>
            <a:endParaRPr lang="en-IN" sz="1200">
              <a:ln>
                <a:noFill/>
              </a:ln>
              <a:latin typeface="Arial" panose="020B0604020202020204" pitchFamily="34" charset="0"/>
              <a:cs typeface="Arial" panose="020B0604020202020204" pitchFamily="34" charset="0"/>
            </a:endParaRPr>
          </a:p>
        </xdr:txBody>
      </xdr:sp>
      <xdr:sp macro="" textlink="#REF!">
        <xdr:nvSpPr>
          <xdr:cNvPr id="85" name="TextBox 84">
            <a:extLst>
              <a:ext uri="{FF2B5EF4-FFF2-40B4-BE49-F238E27FC236}">
                <a16:creationId xmlns:a16="http://schemas.microsoft.com/office/drawing/2014/main" id="{1BF106B9-06C2-6B8D-4AF6-5A3E9160505C}"/>
              </a:ext>
            </a:extLst>
          </xdr:cNvPr>
          <xdr:cNvSpPr txBox="1"/>
        </xdr:nvSpPr>
        <xdr:spPr>
          <a:xfrm>
            <a:off x="10899775" y="2226945"/>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Fundings</a:t>
            </a:r>
          </a:p>
        </xdr:txBody>
      </xdr:sp>
      <xdr:sp macro="" textlink="Pivottables!AA6">
        <xdr:nvSpPr>
          <xdr:cNvPr id="86" name="TextBox 85">
            <a:extLst>
              <a:ext uri="{FF2B5EF4-FFF2-40B4-BE49-F238E27FC236}">
                <a16:creationId xmlns:a16="http://schemas.microsoft.com/office/drawing/2014/main" id="{3AE16A9E-BCFB-24A8-2D4A-90C75988218A}"/>
              </a:ext>
            </a:extLst>
          </xdr:cNvPr>
          <xdr:cNvSpPr txBox="1"/>
        </xdr:nvSpPr>
        <xdr:spPr>
          <a:xfrm>
            <a:off x="12356808" y="2258124"/>
            <a:ext cx="109247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9602CB-A1EF-4A33-ADC7-44940BDED128}" type="TxLink">
              <a:rPr lang="en-US" sz="1100" b="1" i="0" u="none" strike="noStrike">
                <a:ln>
                  <a:noFill/>
                </a:ln>
                <a:solidFill>
                  <a:srgbClr val="000000"/>
                </a:solidFill>
                <a:latin typeface="Arial"/>
                <a:ea typeface="+mn-ea"/>
                <a:cs typeface="Arial"/>
              </a:rPr>
              <a:pPr marL="0" indent="0"/>
              <a:t>$1.196</a:t>
            </a:fld>
            <a:endParaRPr lang="en-IN" sz="1050" b="1" i="0" u="none" strike="noStrike">
              <a:ln>
                <a:noFill/>
              </a:ln>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REF!">
        <xdr:nvSpPr>
          <xdr:cNvPr id="87" name="TextBox 86">
            <a:extLst>
              <a:ext uri="{FF2B5EF4-FFF2-40B4-BE49-F238E27FC236}">
                <a16:creationId xmlns:a16="http://schemas.microsoft.com/office/drawing/2014/main" id="{FEA61EAB-C9FA-9246-C2CC-0054D51FBEC1}"/>
              </a:ext>
            </a:extLst>
          </xdr:cNvPr>
          <xdr:cNvSpPr txBox="1"/>
        </xdr:nvSpPr>
        <xdr:spPr>
          <a:xfrm>
            <a:off x="10899775" y="2510661"/>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Warehouse</a:t>
            </a:r>
          </a:p>
        </xdr:txBody>
      </xdr:sp>
      <xdr:sp macro="" textlink="Pivottables!AB6">
        <xdr:nvSpPr>
          <xdr:cNvPr id="88" name="TextBox 87">
            <a:extLst>
              <a:ext uri="{FF2B5EF4-FFF2-40B4-BE49-F238E27FC236}">
                <a16:creationId xmlns:a16="http://schemas.microsoft.com/office/drawing/2014/main" id="{A1EBA312-530B-475B-9266-B130AE4FD53F}"/>
              </a:ext>
            </a:extLst>
          </xdr:cNvPr>
          <xdr:cNvSpPr txBox="1"/>
        </xdr:nvSpPr>
        <xdr:spPr>
          <a:xfrm>
            <a:off x="12368655" y="2525089"/>
            <a:ext cx="109485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B3AF1A-836C-42DA-AB03-909AC99C7B83}" type="TxLink">
              <a:rPr lang="en-US" sz="1100" b="1" i="0" u="none" strike="noStrike">
                <a:ln>
                  <a:noFill/>
                </a:ln>
                <a:solidFill>
                  <a:srgbClr val="000000"/>
                </a:solidFill>
                <a:latin typeface="Arial"/>
                <a:ea typeface="+mn-ea"/>
                <a:cs typeface="Arial"/>
              </a:rPr>
              <a:pPr marL="0" indent="0"/>
              <a:t>$7.785</a:t>
            </a:fld>
            <a:endParaRPr lang="en-IN" sz="1000" b="1" i="0" u="none" strike="noStrike">
              <a:ln>
                <a:noFill/>
              </a:ln>
              <a:solidFill>
                <a:schemeClr val="tx1">
                  <a:lumMod val="65000"/>
                  <a:lumOff val="35000"/>
                </a:schemeClr>
              </a:solidFill>
              <a:latin typeface="Aptos Narrow"/>
              <a:ea typeface="+mn-ea"/>
              <a:cs typeface="Arial" panose="020B0604020202020204" pitchFamily="34" charset="0"/>
            </a:endParaRPr>
          </a:p>
        </xdr:txBody>
      </xdr:sp>
      <xdr:sp macro="" textlink="#REF!">
        <xdr:nvSpPr>
          <xdr:cNvPr id="89" name="TextBox 88">
            <a:extLst>
              <a:ext uri="{FF2B5EF4-FFF2-40B4-BE49-F238E27FC236}">
                <a16:creationId xmlns:a16="http://schemas.microsoft.com/office/drawing/2014/main" id="{CE9E091E-1158-E29C-4300-CB597451A501}"/>
              </a:ext>
            </a:extLst>
          </xdr:cNvPr>
          <xdr:cNvSpPr txBox="1"/>
        </xdr:nvSpPr>
        <xdr:spPr>
          <a:xfrm>
            <a:off x="10904796" y="2834864"/>
            <a:ext cx="1947924"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Tolls</a:t>
            </a:r>
          </a:p>
        </xdr:txBody>
      </xdr:sp>
      <xdr:sp macro="" textlink="Pivottables!AC6">
        <xdr:nvSpPr>
          <xdr:cNvPr id="90" name="TextBox 89">
            <a:extLst>
              <a:ext uri="{FF2B5EF4-FFF2-40B4-BE49-F238E27FC236}">
                <a16:creationId xmlns:a16="http://schemas.microsoft.com/office/drawing/2014/main" id="{0DCE574E-713A-23A0-9487-72095A4F0231}"/>
              </a:ext>
            </a:extLst>
          </xdr:cNvPr>
          <xdr:cNvSpPr txBox="1"/>
        </xdr:nvSpPr>
        <xdr:spPr>
          <a:xfrm>
            <a:off x="12370094" y="2820214"/>
            <a:ext cx="100318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864AF9-A3A4-4F09-A0FE-3216D3E2590E}" type="TxLink">
              <a:rPr lang="en-US" sz="1100" b="1" i="0" u="none" strike="noStrike">
                <a:ln>
                  <a:noFill/>
                </a:ln>
                <a:solidFill>
                  <a:srgbClr val="000000"/>
                </a:solidFill>
                <a:latin typeface="Arial"/>
                <a:ea typeface="+mn-ea"/>
                <a:cs typeface="Arial"/>
              </a:rPr>
              <a:pPr marL="0" indent="0"/>
              <a:t>$7.372</a:t>
            </a:fld>
            <a:endParaRPr lang="en-IN" sz="1000" b="1" i="0" u="none" strike="noStrike">
              <a:ln>
                <a:noFill/>
              </a:ln>
              <a:solidFill>
                <a:schemeClr val="tx1">
                  <a:lumMod val="65000"/>
                  <a:lumOff val="35000"/>
                </a:schemeClr>
              </a:solidFill>
              <a:latin typeface="Aptos Narrow"/>
              <a:ea typeface="+mn-ea"/>
              <a:cs typeface="Arial" panose="020B0604020202020204" pitchFamily="34" charset="0"/>
            </a:endParaRPr>
          </a:p>
        </xdr:txBody>
      </xdr:sp>
      <xdr:sp macro="" textlink="#REF!">
        <xdr:nvSpPr>
          <xdr:cNvPr id="91" name="TextBox 90">
            <a:extLst>
              <a:ext uri="{FF2B5EF4-FFF2-40B4-BE49-F238E27FC236}">
                <a16:creationId xmlns:a16="http://schemas.microsoft.com/office/drawing/2014/main" id="{11A43FBF-22C5-9532-D023-FD8A73E0B588}"/>
              </a:ext>
            </a:extLst>
          </xdr:cNvPr>
          <xdr:cNvSpPr txBox="1"/>
        </xdr:nvSpPr>
        <xdr:spPr>
          <a:xfrm>
            <a:off x="10924307" y="3111769"/>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Repairs</a:t>
            </a:r>
            <a:r>
              <a:rPr lang="en-IN" sz="11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&amp; Cost</a:t>
            </a:r>
            <a:endPar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D6">
        <xdr:nvSpPr>
          <xdr:cNvPr id="92" name="TextBox 91">
            <a:extLst>
              <a:ext uri="{FF2B5EF4-FFF2-40B4-BE49-F238E27FC236}">
                <a16:creationId xmlns:a16="http://schemas.microsoft.com/office/drawing/2014/main" id="{8C664F2B-FAB5-A51E-9F5A-5E14A9A5CD93}"/>
              </a:ext>
            </a:extLst>
          </xdr:cNvPr>
          <xdr:cNvSpPr txBox="1"/>
        </xdr:nvSpPr>
        <xdr:spPr>
          <a:xfrm>
            <a:off x="12382083" y="3110865"/>
            <a:ext cx="1083122"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4F156AB-DEFA-4830-A2A6-02277CD48474}" type="TxLink">
              <a:rPr lang="en-US" sz="1100" b="1" i="0" u="none" strike="noStrike">
                <a:ln>
                  <a:noFill/>
                </a:ln>
                <a:solidFill>
                  <a:srgbClr val="000000"/>
                </a:solidFill>
                <a:latin typeface="Arial"/>
                <a:ea typeface="+mn-ea"/>
                <a:cs typeface="Arial"/>
              </a:rPr>
              <a:pPr marL="0" indent="0"/>
              <a:t>$2.215</a:t>
            </a:fld>
            <a:endParaRPr lang="en-IN" sz="1000" b="1" i="0" u="none" strike="noStrike">
              <a:ln>
                <a:noFill/>
              </a:ln>
              <a:solidFill>
                <a:schemeClr val="tx1">
                  <a:lumMod val="65000"/>
                  <a:lumOff val="35000"/>
                </a:schemeClr>
              </a:solidFill>
              <a:latin typeface="Aptos Narrow"/>
              <a:ea typeface="+mn-ea"/>
              <a:cs typeface="Arial" panose="020B0604020202020204" pitchFamily="34" charset="0"/>
            </a:endParaRPr>
          </a:p>
        </xdr:txBody>
      </xdr:sp>
    </xdr:grpSp>
    <xdr:clientData/>
  </xdr:twoCellAnchor>
  <xdr:twoCellAnchor>
    <xdr:from>
      <xdr:col>5</xdr:col>
      <xdr:colOff>121920</xdr:colOff>
      <xdr:row>17</xdr:row>
      <xdr:rowOff>137160</xdr:rowOff>
    </xdr:from>
    <xdr:to>
      <xdr:col>18</xdr:col>
      <xdr:colOff>365760</xdr:colOff>
      <xdr:row>25</xdr:row>
      <xdr:rowOff>91440</xdr:rowOff>
    </xdr:to>
    <xdr:sp macro="" textlink="">
      <xdr:nvSpPr>
        <xdr:cNvPr id="113" name="Rectangle 112">
          <a:extLst>
            <a:ext uri="{FF2B5EF4-FFF2-40B4-BE49-F238E27FC236}">
              <a16:creationId xmlns:a16="http://schemas.microsoft.com/office/drawing/2014/main" id="{373B3B90-6563-4A47-B313-1AAFD66248D6}"/>
            </a:ext>
          </a:extLst>
        </xdr:cNvPr>
        <xdr:cNvSpPr/>
      </xdr:nvSpPr>
      <xdr:spPr>
        <a:xfrm>
          <a:off x="3169920" y="3246120"/>
          <a:ext cx="8168640" cy="141732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541020</xdr:colOff>
      <xdr:row>8</xdr:row>
      <xdr:rowOff>137160</xdr:rowOff>
    </xdr:from>
    <xdr:to>
      <xdr:col>18</xdr:col>
      <xdr:colOff>320040</xdr:colOff>
      <xdr:row>17</xdr:row>
      <xdr:rowOff>30480</xdr:rowOff>
    </xdr:to>
    <xdr:sp macro="" textlink="">
      <xdr:nvSpPr>
        <xdr:cNvPr id="34" name="Rectangle 33">
          <a:extLst>
            <a:ext uri="{FF2B5EF4-FFF2-40B4-BE49-F238E27FC236}">
              <a16:creationId xmlns:a16="http://schemas.microsoft.com/office/drawing/2014/main" id="{6A430581-1C90-46F8-A504-BACBB9FD04A1}"/>
            </a:ext>
          </a:extLst>
        </xdr:cNvPr>
        <xdr:cNvSpPr/>
      </xdr:nvSpPr>
      <xdr:spPr>
        <a:xfrm>
          <a:off x="6637020" y="1600200"/>
          <a:ext cx="4655820" cy="153924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358141</xdr:colOff>
      <xdr:row>11</xdr:row>
      <xdr:rowOff>7621</xdr:rowOff>
    </xdr:from>
    <xdr:to>
      <xdr:col>17</xdr:col>
      <xdr:colOff>579120</xdr:colOff>
      <xdr:row>12</xdr:row>
      <xdr:rowOff>53341</xdr:rowOff>
    </xdr:to>
    <xdr:sp macro="" textlink="#REF!">
      <xdr:nvSpPr>
        <xdr:cNvPr id="61" name="TextBox 60">
          <a:extLst>
            <a:ext uri="{FF2B5EF4-FFF2-40B4-BE49-F238E27FC236}">
              <a16:creationId xmlns:a16="http://schemas.microsoft.com/office/drawing/2014/main" id="{9B53AE27-A2CD-469F-9F6F-3F60FF8205A1}"/>
            </a:ext>
          </a:extLst>
        </xdr:cNvPr>
        <xdr:cNvSpPr txBox="1"/>
      </xdr:nvSpPr>
      <xdr:spPr>
        <a:xfrm>
          <a:off x="10111741" y="2019301"/>
          <a:ext cx="83057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Balance</a:t>
          </a:r>
        </a:p>
      </xdr:txBody>
    </xdr:sp>
    <xdr:clientData/>
  </xdr:twoCellAnchor>
  <xdr:twoCellAnchor>
    <xdr:from>
      <xdr:col>19</xdr:col>
      <xdr:colOff>22860</xdr:colOff>
      <xdr:row>12</xdr:row>
      <xdr:rowOff>91440</xdr:rowOff>
    </xdr:from>
    <xdr:to>
      <xdr:col>24</xdr:col>
      <xdr:colOff>449580</xdr:colOff>
      <xdr:row>16</xdr:row>
      <xdr:rowOff>76200</xdr:rowOff>
    </xdr:to>
    <xdr:grpSp>
      <xdr:nvGrpSpPr>
        <xdr:cNvPr id="132" name="Group 131">
          <a:extLst>
            <a:ext uri="{FF2B5EF4-FFF2-40B4-BE49-F238E27FC236}">
              <a16:creationId xmlns:a16="http://schemas.microsoft.com/office/drawing/2014/main" id="{A1E517C6-5D84-AAF5-82ED-D645261F1512}"/>
            </a:ext>
          </a:extLst>
        </xdr:cNvPr>
        <xdr:cNvGrpSpPr/>
      </xdr:nvGrpSpPr>
      <xdr:grpSpPr>
        <a:xfrm>
          <a:off x="11685693" y="2377440"/>
          <a:ext cx="3495887" cy="746760"/>
          <a:chOff x="11727180" y="2263140"/>
          <a:chExt cx="1973580" cy="716280"/>
        </a:xfrm>
      </xdr:grpSpPr>
      <xdr:cxnSp macro="">
        <xdr:nvCxnSpPr>
          <xdr:cNvPr id="128" name="Straight Connector 127">
            <a:extLst>
              <a:ext uri="{FF2B5EF4-FFF2-40B4-BE49-F238E27FC236}">
                <a16:creationId xmlns:a16="http://schemas.microsoft.com/office/drawing/2014/main" id="{8068C233-6903-4496-88C6-79F48EA38CF9}"/>
              </a:ext>
            </a:extLst>
          </xdr:cNvPr>
          <xdr:cNvCxnSpPr/>
        </xdr:nvCxnSpPr>
        <xdr:spPr>
          <a:xfrm>
            <a:off x="11727180" y="226314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130" name="Straight Connector 129">
            <a:extLst>
              <a:ext uri="{FF2B5EF4-FFF2-40B4-BE49-F238E27FC236}">
                <a16:creationId xmlns:a16="http://schemas.microsoft.com/office/drawing/2014/main" id="{4D13C4AD-660A-4EB4-9844-07E5F175963B}"/>
              </a:ext>
            </a:extLst>
          </xdr:cNvPr>
          <xdr:cNvCxnSpPr/>
        </xdr:nvCxnSpPr>
        <xdr:spPr>
          <a:xfrm>
            <a:off x="11734800" y="259842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131" name="Straight Connector 130">
            <a:extLst>
              <a:ext uri="{FF2B5EF4-FFF2-40B4-BE49-F238E27FC236}">
                <a16:creationId xmlns:a16="http://schemas.microsoft.com/office/drawing/2014/main" id="{D1D7B39D-D07D-40FD-A0AD-C34E2FF21ABD}"/>
              </a:ext>
            </a:extLst>
          </xdr:cNvPr>
          <xdr:cNvCxnSpPr/>
        </xdr:nvCxnSpPr>
        <xdr:spPr>
          <a:xfrm>
            <a:off x="11734800" y="297180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15</xdr:col>
      <xdr:colOff>297180</xdr:colOff>
      <xdr:row>17</xdr:row>
      <xdr:rowOff>150321</xdr:rowOff>
    </xdr:from>
    <xdr:to>
      <xdr:col>19</xdr:col>
      <xdr:colOff>129540</xdr:colOff>
      <xdr:row>18</xdr:row>
      <xdr:rowOff>167640</xdr:rowOff>
    </xdr:to>
    <xdr:sp macro="" textlink="">
      <xdr:nvSpPr>
        <xdr:cNvPr id="140" name="TextBox 139">
          <a:extLst>
            <a:ext uri="{FF2B5EF4-FFF2-40B4-BE49-F238E27FC236}">
              <a16:creationId xmlns:a16="http://schemas.microsoft.com/office/drawing/2014/main" id="{7D6D897A-C031-43A9-8A26-F0A950709941}"/>
            </a:ext>
          </a:extLst>
        </xdr:cNvPr>
        <xdr:cNvSpPr txBox="1"/>
      </xdr:nvSpPr>
      <xdr:spPr>
        <a:xfrm>
          <a:off x="9441180" y="3259281"/>
          <a:ext cx="2270760" cy="200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baseline="0">
              <a:ln>
                <a:noFill/>
              </a:ln>
              <a:latin typeface="Arial" panose="020B0604020202020204" pitchFamily="34" charset="0"/>
              <a:cs typeface="Arial" panose="020B0604020202020204" pitchFamily="34" charset="0"/>
            </a:rPr>
            <a:t>Shipment Cost Settlemnent</a:t>
          </a:r>
          <a:endParaRPr lang="en-IN" sz="1000" b="1">
            <a:ln>
              <a:noFill/>
            </a:ln>
            <a:latin typeface="Arial" panose="020B0604020202020204" pitchFamily="34" charset="0"/>
            <a:cs typeface="Arial" panose="020B0604020202020204" pitchFamily="34" charset="0"/>
          </a:endParaRPr>
        </a:p>
      </xdr:txBody>
    </xdr:sp>
    <xdr:clientData/>
  </xdr:twoCellAnchor>
  <xdr:twoCellAnchor>
    <xdr:from>
      <xdr:col>5</xdr:col>
      <xdr:colOff>403860</xdr:colOff>
      <xdr:row>5</xdr:row>
      <xdr:rowOff>30480</xdr:rowOff>
    </xdr:from>
    <xdr:to>
      <xdr:col>18</xdr:col>
      <xdr:colOff>196596</xdr:colOff>
      <xdr:row>8</xdr:row>
      <xdr:rowOff>3048</xdr:rowOff>
    </xdr:to>
    <xdr:sp macro="" textlink="">
      <xdr:nvSpPr>
        <xdr:cNvPr id="142" name="Rectangle 141">
          <a:extLst>
            <a:ext uri="{FF2B5EF4-FFF2-40B4-BE49-F238E27FC236}">
              <a16:creationId xmlns:a16="http://schemas.microsoft.com/office/drawing/2014/main" id="{41F943C5-4B6F-4297-BE56-106226490F38}"/>
            </a:ext>
          </a:extLst>
        </xdr:cNvPr>
        <xdr:cNvSpPr/>
      </xdr:nvSpPr>
      <xdr:spPr>
        <a:xfrm>
          <a:off x="3451860" y="944880"/>
          <a:ext cx="7717536" cy="521208"/>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75000"/>
              </a:schemeClr>
            </a:solidFill>
          </a:endParaRPr>
        </a:p>
      </xdr:txBody>
    </xdr:sp>
    <xdr:clientData/>
  </xdr:twoCellAnchor>
  <xdr:twoCellAnchor>
    <xdr:from>
      <xdr:col>0</xdr:col>
      <xdr:colOff>583353</xdr:colOff>
      <xdr:row>17</xdr:row>
      <xdr:rowOff>98637</xdr:rowOff>
    </xdr:from>
    <xdr:to>
      <xdr:col>3</xdr:col>
      <xdr:colOff>310938</xdr:colOff>
      <xdr:row>18</xdr:row>
      <xdr:rowOff>167217</xdr:rowOff>
    </xdr:to>
    <xdr:sp macro="" textlink="">
      <xdr:nvSpPr>
        <xdr:cNvPr id="143" name="TextBox 142">
          <a:extLst>
            <a:ext uri="{FF2B5EF4-FFF2-40B4-BE49-F238E27FC236}">
              <a16:creationId xmlns:a16="http://schemas.microsoft.com/office/drawing/2014/main" id="{AAFF09AD-5CE8-490E-B8FC-497089198C47}"/>
            </a:ext>
          </a:extLst>
        </xdr:cNvPr>
        <xdr:cNvSpPr txBox="1"/>
      </xdr:nvSpPr>
      <xdr:spPr>
        <a:xfrm>
          <a:off x="583353" y="3337137"/>
          <a:ext cx="1569085"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ln>
                <a:noFill/>
              </a:ln>
              <a:solidFill>
                <a:schemeClr val="tx1">
                  <a:lumMod val="85000"/>
                  <a:lumOff val="15000"/>
                </a:schemeClr>
              </a:solidFill>
              <a:latin typeface="Arial" panose="020B0604020202020204" pitchFamily="34" charset="0"/>
              <a:cs typeface="Arial" panose="020B0604020202020204" pitchFamily="34" charset="0"/>
            </a:rPr>
            <a:t>Driver</a:t>
          </a:r>
          <a:r>
            <a:rPr lang="en-IN" sz="1200" b="1" i="0" baseline="0">
              <a:ln>
                <a:noFill/>
              </a:ln>
              <a:solidFill>
                <a:schemeClr val="tx1">
                  <a:lumMod val="85000"/>
                  <a:lumOff val="15000"/>
                </a:schemeClr>
              </a:solidFill>
              <a:latin typeface="Arial" panose="020B0604020202020204" pitchFamily="34" charset="0"/>
              <a:cs typeface="Arial" panose="020B0604020202020204" pitchFamily="34" charset="0"/>
            </a:rPr>
            <a:t> Payroll</a:t>
          </a:r>
          <a:endParaRPr lang="en-IN" sz="1200" b="1" i="0">
            <a:ln>
              <a:noFill/>
            </a:ln>
            <a:solidFill>
              <a:schemeClr val="tx1">
                <a:lumMod val="85000"/>
                <a:lumOff val="15000"/>
              </a:schemeClr>
            </a:solidFill>
            <a:latin typeface="Arial" panose="020B0604020202020204" pitchFamily="34" charset="0"/>
            <a:cs typeface="Arial" panose="020B0604020202020204" pitchFamily="34" charset="0"/>
          </a:endParaRPr>
        </a:p>
      </xdr:txBody>
    </xdr:sp>
    <xdr:clientData/>
  </xdr:twoCellAnchor>
  <xdr:twoCellAnchor>
    <xdr:from>
      <xdr:col>3</xdr:col>
      <xdr:colOff>22860</xdr:colOff>
      <xdr:row>17</xdr:row>
      <xdr:rowOff>45721</xdr:rowOff>
    </xdr:from>
    <xdr:to>
      <xdr:col>4</xdr:col>
      <xdr:colOff>373380</xdr:colOff>
      <xdr:row>19</xdr:row>
      <xdr:rowOff>7621</xdr:rowOff>
    </xdr:to>
    <xdr:sp macro="" textlink="Pivottables!AP3">
      <xdr:nvSpPr>
        <xdr:cNvPr id="144" name="Rectangle: Rounded Corners 143">
          <a:extLst>
            <a:ext uri="{FF2B5EF4-FFF2-40B4-BE49-F238E27FC236}">
              <a16:creationId xmlns:a16="http://schemas.microsoft.com/office/drawing/2014/main" id="{D50D9F3B-21E0-48F8-AE59-638DA9532CC7}"/>
            </a:ext>
          </a:extLst>
        </xdr:cNvPr>
        <xdr:cNvSpPr/>
      </xdr:nvSpPr>
      <xdr:spPr>
        <a:xfrm>
          <a:off x="1851660" y="3154681"/>
          <a:ext cx="960120" cy="327660"/>
        </a:xfrm>
        <a:prstGeom prst="roundRect">
          <a:avLst/>
        </a:prstGeom>
        <a:solidFill>
          <a:srgbClr val="CBC3E3">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400">
            <a:solidFill>
              <a:schemeClr val="accent6"/>
            </a:solidFill>
          </a:endParaRPr>
        </a:p>
      </xdr:txBody>
    </xdr:sp>
    <xdr:clientData/>
  </xdr:twoCellAnchor>
  <xdr:twoCellAnchor>
    <xdr:from>
      <xdr:col>0</xdr:col>
      <xdr:colOff>595630</xdr:colOff>
      <xdr:row>20</xdr:row>
      <xdr:rowOff>66948</xdr:rowOff>
    </xdr:from>
    <xdr:to>
      <xdr:col>2</xdr:col>
      <xdr:colOff>397510</xdr:colOff>
      <xdr:row>22</xdr:row>
      <xdr:rowOff>153094</xdr:rowOff>
    </xdr:to>
    <xdr:grpSp>
      <xdr:nvGrpSpPr>
        <xdr:cNvPr id="147" name="Group 146">
          <a:extLst>
            <a:ext uri="{FF2B5EF4-FFF2-40B4-BE49-F238E27FC236}">
              <a16:creationId xmlns:a16="http://schemas.microsoft.com/office/drawing/2014/main" id="{89A21C27-5D98-86DB-D7F4-D55CD8C95FE3}"/>
            </a:ext>
          </a:extLst>
        </xdr:cNvPr>
        <xdr:cNvGrpSpPr/>
      </xdr:nvGrpSpPr>
      <xdr:grpSpPr>
        <a:xfrm>
          <a:off x="595630" y="3876948"/>
          <a:ext cx="1029547" cy="467146"/>
          <a:chOff x="563880" y="3703393"/>
          <a:chExt cx="1021080" cy="450796"/>
        </a:xfrm>
      </xdr:grpSpPr>
      <xdr:sp macro="" textlink="#REF!">
        <xdr:nvSpPr>
          <xdr:cNvPr id="145" name="TextBox 144">
            <a:extLst>
              <a:ext uri="{FF2B5EF4-FFF2-40B4-BE49-F238E27FC236}">
                <a16:creationId xmlns:a16="http://schemas.microsoft.com/office/drawing/2014/main" id="{B40B3568-4B12-472E-AA80-2C8E8A4C91B7}"/>
              </a:ext>
            </a:extLst>
          </xdr:cNvPr>
          <xdr:cNvSpPr txBox="1"/>
        </xdr:nvSpPr>
        <xdr:spPr>
          <a:xfrm>
            <a:off x="563880" y="3855951"/>
            <a:ext cx="87630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Odometer</a:t>
            </a:r>
          </a:p>
        </xdr:txBody>
      </xdr:sp>
      <xdr:sp macro="" textlink="Pivottables!AM6">
        <xdr:nvSpPr>
          <xdr:cNvPr id="146" name="TextBox 145">
            <a:extLst>
              <a:ext uri="{FF2B5EF4-FFF2-40B4-BE49-F238E27FC236}">
                <a16:creationId xmlns:a16="http://schemas.microsoft.com/office/drawing/2014/main" id="{13DAC9A5-33C6-4499-AA72-4533F48EE704}"/>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7F149E2-CE55-4A1E-BB4B-2AB91E1407B6}" type="TxLink">
              <a:rPr lang="en-US" sz="1000" b="1" i="0" u="none" strike="noStrike">
                <a:ln>
                  <a:noFill/>
                </a:ln>
                <a:solidFill>
                  <a:srgbClr val="000000"/>
                </a:solidFill>
                <a:latin typeface="Arial"/>
                <a:ea typeface="+mn-ea"/>
                <a:cs typeface="Arial"/>
              </a:rPr>
              <a:pPr marL="0" indent="0"/>
              <a:t>18147</a:t>
            </a:fld>
            <a:endParaRPr lang="en-IN" sz="9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3</xdr:col>
      <xdr:colOff>91440</xdr:colOff>
      <xdr:row>20</xdr:row>
      <xdr:rowOff>76261</xdr:rowOff>
    </xdr:from>
    <xdr:to>
      <xdr:col>4</xdr:col>
      <xdr:colOff>502920</xdr:colOff>
      <xdr:row>22</xdr:row>
      <xdr:rowOff>162407</xdr:rowOff>
    </xdr:to>
    <xdr:grpSp>
      <xdr:nvGrpSpPr>
        <xdr:cNvPr id="148" name="Group 147">
          <a:extLst>
            <a:ext uri="{FF2B5EF4-FFF2-40B4-BE49-F238E27FC236}">
              <a16:creationId xmlns:a16="http://schemas.microsoft.com/office/drawing/2014/main" id="{52016EF8-E2CF-4780-BB5D-F31084D718F3}"/>
            </a:ext>
          </a:extLst>
        </xdr:cNvPr>
        <xdr:cNvGrpSpPr/>
      </xdr:nvGrpSpPr>
      <xdr:grpSpPr>
        <a:xfrm>
          <a:off x="1932940" y="3886261"/>
          <a:ext cx="1025313" cy="467146"/>
          <a:chOff x="563880" y="3703393"/>
          <a:chExt cx="1021080" cy="450796"/>
        </a:xfrm>
      </xdr:grpSpPr>
      <xdr:sp macro="" textlink="#REF!">
        <xdr:nvSpPr>
          <xdr:cNvPr id="149" name="TextBox 148">
            <a:extLst>
              <a:ext uri="{FF2B5EF4-FFF2-40B4-BE49-F238E27FC236}">
                <a16:creationId xmlns:a16="http://schemas.microsoft.com/office/drawing/2014/main" id="{DD40AD75-F6F9-BAFA-B2D3-158420AAF62E}"/>
              </a:ext>
            </a:extLst>
          </xdr:cNvPr>
          <xdr:cNvSpPr txBox="1"/>
        </xdr:nvSpPr>
        <xdr:spPr>
          <a:xfrm>
            <a:off x="563880" y="3855951"/>
            <a:ext cx="94488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Extra</a:t>
            </a:r>
            <a:r>
              <a:rPr lang="en-IN" sz="1000" b="1"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Stops</a:t>
            </a:r>
            <a:endParaRPr lang="en-IN" sz="10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P6">
        <xdr:nvSpPr>
          <xdr:cNvPr id="150" name="TextBox 149">
            <a:extLst>
              <a:ext uri="{FF2B5EF4-FFF2-40B4-BE49-F238E27FC236}">
                <a16:creationId xmlns:a16="http://schemas.microsoft.com/office/drawing/2014/main" id="{53BDBFCF-12A4-246D-8BA2-1B406C5FD17C}"/>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AA6B7E4-427E-4582-BDFE-4B7B29D96666}" type="TxLink">
              <a:rPr lang="en-US" sz="1000" b="1" i="0" u="none" strike="noStrike">
                <a:ln>
                  <a:noFill/>
                </a:ln>
                <a:solidFill>
                  <a:srgbClr val="000000"/>
                </a:solidFill>
                <a:latin typeface="Arial"/>
                <a:ea typeface="+mn-ea"/>
                <a:cs typeface="Arial"/>
              </a:rPr>
              <a:pPr marL="0" indent="0"/>
              <a:t>$6.100</a:t>
            </a:fld>
            <a:endParaRPr lang="en-IN" sz="6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525780</xdr:colOff>
      <xdr:row>23</xdr:row>
      <xdr:rowOff>52978</xdr:rowOff>
    </xdr:from>
    <xdr:to>
      <xdr:col>2</xdr:col>
      <xdr:colOff>388620</xdr:colOff>
      <xdr:row>25</xdr:row>
      <xdr:rowOff>139124</xdr:rowOff>
    </xdr:to>
    <xdr:grpSp>
      <xdr:nvGrpSpPr>
        <xdr:cNvPr id="151" name="Group 150">
          <a:extLst>
            <a:ext uri="{FF2B5EF4-FFF2-40B4-BE49-F238E27FC236}">
              <a16:creationId xmlns:a16="http://schemas.microsoft.com/office/drawing/2014/main" id="{E6A8325E-2829-426E-BC7F-B1273D3900F1}"/>
            </a:ext>
          </a:extLst>
        </xdr:cNvPr>
        <xdr:cNvGrpSpPr/>
      </xdr:nvGrpSpPr>
      <xdr:grpSpPr>
        <a:xfrm>
          <a:off x="525780" y="4434478"/>
          <a:ext cx="1090507" cy="467146"/>
          <a:chOff x="502920" y="3703393"/>
          <a:chExt cx="1082040" cy="450796"/>
        </a:xfrm>
      </xdr:grpSpPr>
      <xdr:sp macro="" textlink="#REF!">
        <xdr:nvSpPr>
          <xdr:cNvPr id="152" name="TextBox 151">
            <a:extLst>
              <a:ext uri="{FF2B5EF4-FFF2-40B4-BE49-F238E27FC236}">
                <a16:creationId xmlns:a16="http://schemas.microsoft.com/office/drawing/2014/main" id="{40C26A55-9E04-B51A-2329-A0F0749DA4C2}"/>
              </a:ext>
            </a:extLst>
          </xdr:cNvPr>
          <xdr:cNvSpPr txBox="1"/>
        </xdr:nvSpPr>
        <xdr:spPr>
          <a:xfrm>
            <a:off x="502920" y="3855951"/>
            <a:ext cx="87630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Miles</a:t>
            </a:r>
          </a:p>
        </xdr:txBody>
      </xdr:sp>
      <xdr:sp macro="" textlink="Pivottables!AN6">
        <xdr:nvSpPr>
          <xdr:cNvPr id="153" name="TextBox 152">
            <a:extLst>
              <a:ext uri="{FF2B5EF4-FFF2-40B4-BE49-F238E27FC236}">
                <a16:creationId xmlns:a16="http://schemas.microsoft.com/office/drawing/2014/main" id="{5ECCABE7-126B-7678-FD33-1BD180E4B383}"/>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EAA70A1-169A-4F26-8CF7-8394F913FB79}" type="TxLink">
              <a:rPr lang="en-US" sz="1000" b="1" i="0" u="none" strike="noStrike">
                <a:ln>
                  <a:noFill/>
                </a:ln>
                <a:solidFill>
                  <a:srgbClr val="000000"/>
                </a:solidFill>
                <a:latin typeface="Arial"/>
                <a:ea typeface="+mn-ea"/>
                <a:cs typeface="Arial"/>
              </a:rPr>
              <a:pPr marL="0" indent="0"/>
              <a:t>21353</a:t>
            </a:fld>
            <a:endParaRPr lang="en-IN" sz="6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3</xdr:col>
      <xdr:colOff>83820</xdr:colOff>
      <xdr:row>23</xdr:row>
      <xdr:rowOff>22921</xdr:rowOff>
    </xdr:from>
    <xdr:to>
      <xdr:col>4</xdr:col>
      <xdr:colOff>495300</xdr:colOff>
      <xdr:row>25</xdr:row>
      <xdr:rowOff>109067</xdr:rowOff>
    </xdr:to>
    <xdr:grpSp>
      <xdr:nvGrpSpPr>
        <xdr:cNvPr id="154" name="Group 153">
          <a:extLst>
            <a:ext uri="{FF2B5EF4-FFF2-40B4-BE49-F238E27FC236}">
              <a16:creationId xmlns:a16="http://schemas.microsoft.com/office/drawing/2014/main" id="{28AEB5F8-0289-403E-81AA-BB2CA565A4BA}"/>
            </a:ext>
          </a:extLst>
        </xdr:cNvPr>
        <xdr:cNvGrpSpPr/>
      </xdr:nvGrpSpPr>
      <xdr:grpSpPr>
        <a:xfrm>
          <a:off x="1925320" y="4404421"/>
          <a:ext cx="1025313" cy="467146"/>
          <a:chOff x="563880" y="3703393"/>
          <a:chExt cx="1021080" cy="450796"/>
        </a:xfrm>
      </xdr:grpSpPr>
      <xdr:sp macro="" textlink="#REF!">
        <xdr:nvSpPr>
          <xdr:cNvPr id="155" name="TextBox 154">
            <a:extLst>
              <a:ext uri="{FF2B5EF4-FFF2-40B4-BE49-F238E27FC236}">
                <a16:creationId xmlns:a16="http://schemas.microsoft.com/office/drawing/2014/main" id="{4963EB39-16D0-E60C-1E2F-961FAC3CC499}"/>
              </a:ext>
            </a:extLst>
          </xdr:cNvPr>
          <xdr:cNvSpPr txBox="1"/>
        </xdr:nvSpPr>
        <xdr:spPr>
          <a:xfrm>
            <a:off x="563880" y="3855951"/>
            <a:ext cx="87630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Extra</a:t>
            </a:r>
            <a:r>
              <a:rPr lang="en-IN" sz="1000" b="1"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Pays</a:t>
            </a:r>
            <a:endParaRPr lang="en-IN" sz="10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Q6">
        <xdr:nvSpPr>
          <xdr:cNvPr id="156" name="TextBox 155">
            <a:extLst>
              <a:ext uri="{FF2B5EF4-FFF2-40B4-BE49-F238E27FC236}">
                <a16:creationId xmlns:a16="http://schemas.microsoft.com/office/drawing/2014/main" id="{345B8935-1869-253C-ED8D-666C9D798A39}"/>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3858E3D-D60E-4A64-A7B1-DB3D9A376E6B}" type="TxLink">
              <a:rPr lang="en-US" sz="1000" b="1" i="0" u="none" strike="noStrike">
                <a:ln>
                  <a:noFill/>
                </a:ln>
                <a:solidFill>
                  <a:srgbClr val="000000"/>
                </a:solidFill>
                <a:latin typeface="Arial"/>
                <a:ea typeface="+mn-ea"/>
                <a:cs typeface="Arial"/>
              </a:rPr>
              <a:pPr marL="0" indent="0"/>
              <a:t>$1.546</a:t>
            </a:fld>
            <a:endParaRPr lang="en-IN" sz="6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533400</xdr:colOff>
      <xdr:row>26</xdr:row>
      <xdr:rowOff>36468</xdr:rowOff>
    </xdr:from>
    <xdr:to>
      <xdr:col>2</xdr:col>
      <xdr:colOff>525780</xdr:colOff>
      <xdr:row>28</xdr:row>
      <xdr:rowOff>122614</xdr:rowOff>
    </xdr:to>
    <xdr:grpSp>
      <xdr:nvGrpSpPr>
        <xdr:cNvPr id="157" name="Group 156">
          <a:extLst>
            <a:ext uri="{FF2B5EF4-FFF2-40B4-BE49-F238E27FC236}">
              <a16:creationId xmlns:a16="http://schemas.microsoft.com/office/drawing/2014/main" id="{4B962C4B-F41B-436E-94A3-2E67006919F1}"/>
            </a:ext>
          </a:extLst>
        </xdr:cNvPr>
        <xdr:cNvGrpSpPr/>
      </xdr:nvGrpSpPr>
      <xdr:grpSpPr>
        <a:xfrm>
          <a:off x="533400" y="4989468"/>
          <a:ext cx="1220047" cy="467146"/>
          <a:chOff x="563880" y="3703393"/>
          <a:chExt cx="1211580" cy="450796"/>
        </a:xfrm>
      </xdr:grpSpPr>
      <xdr:sp macro="" textlink="#REF!">
        <xdr:nvSpPr>
          <xdr:cNvPr id="158" name="TextBox 157">
            <a:extLst>
              <a:ext uri="{FF2B5EF4-FFF2-40B4-BE49-F238E27FC236}">
                <a16:creationId xmlns:a16="http://schemas.microsoft.com/office/drawing/2014/main" id="{33188DBD-60B6-FC15-87CD-49D6B369C251}"/>
              </a:ext>
            </a:extLst>
          </xdr:cNvPr>
          <xdr:cNvSpPr txBox="1"/>
        </xdr:nvSpPr>
        <xdr:spPr>
          <a:xfrm>
            <a:off x="563880" y="3855951"/>
            <a:ext cx="121158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Rates</a:t>
            </a:r>
            <a:r>
              <a:rPr lang="en-IN" sz="11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Per Miles</a:t>
            </a:r>
            <a:endPar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O6">
        <xdr:nvSpPr>
          <xdr:cNvPr id="159" name="TextBox 158">
            <a:extLst>
              <a:ext uri="{FF2B5EF4-FFF2-40B4-BE49-F238E27FC236}">
                <a16:creationId xmlns:a16="http://schemas.microsoft.com/office/drawing/2014/main" id="{FDECBE4D-4B08-C50E-DF0E-61D9CC070342}"/>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244241-62B0-4098-A82A-6ED3B0D1B134}" type="TxLink">
              <a:rPr lang="en-US" sz="1050" b="1" i="0" u="none" strike="noStrike">
                <a:ln>
                  <a:noFill/>
                </a:ln>
                <a:solidFill>
                  <a:srgbClr val="000000"/>
                </a:solidFill>
                <a:latin typeface="Arial"/>
                <a:ea typeface="+mn-ea"/>
                <a:cs typeface="Arial"/>
              </a:rPr>
              <a:pPr marL="0" indent="0"/>
              <a:t>$14.944</a:t>
            </a:fld>
            <a:endParaRPr lang="en-IN" sz="7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2</xdr:col>
      <xdr:colOff>487680</xdr:colOff>
      <xdr:row>26</xdr:row>
      <xdr:rowOff>30553</xdr:rowOff>
    </xdr:from>
    <xdr:to>
      <xdr:col>4</xdr:col>
      <xdr:colOff>579120</xdr:colOff>
      <xdr:row>28</xdr:row>
      <xdr:rowOff>115431</xdr:rowOff>
    </xdr:to>
    <xdr:grpSp>
      <xdr:nvGrpSpPr>
        <xdr:cNvPr id="160" name="Group 159">
          <a:extLst>
            <a:ext uri="{FF2B5EF4-FFF2-40B4-BE49-F238E27FC236}">
              <a16:creationId xmlns:a16="http://schemas.microsoft.com/office/drawing/2014/main" id="{6D0C36EB-68AA-412C-B638-F92681C02CBD}"/>
            </a:ext>
          </a:extLst>
        </xdr:cNvPr>
        <xdr:cNvGrpSpPr/>
      </xdr:nvGrpSpPr>
      <xdr:grpSpPr>
        <a:xfrm>
          <a:off x="1715347" y="4983553"/>
          <a:ext cx="1319106" cy="465878"/>
          <a:chOff x="640080" y="3695773"/>
          <a:chExt cx="1310640" cy="450638"/>
        </a:xfrm>
      </xdr:grpSpPr>
      <xdr:sp macro="" textlink="#REF!">
        <xdr:nvSpPr>
          <xdr:cNvPr id="161" name="TextBox 160">
            <a:extLst>
              <a:ext uri="{FF2B5EF4-FFF2-40B4-BE49-F238E27FC236}">
                <a16:creationId xmlns:a16="http://schemas.microsoft.com/office/drawing/2014/main" id="{2F929B4B-6910-572D-1104-4387DE61944F}"/>
              </a:ext>
            </a:extLst>
          </xdr:cNvPr>
          <xdr:cNvSpPr txBox="1"/>
        </xdr:nvSpPr>
        <xdr:spPr>
          <a:xfrm>
            <a:off x="640080" y="3848173"/>
            <a:ext cx="131064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Cost</a:t>
            </a:r>
            <a:r>
              <a:rPr lang="en-IN" sz="11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Driver Paid</a:t>
            </a:r>
            <a:endPar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R6">
        <xdr:nvSpPr>
          <xdr:cNvPr id="162" name="TextBox 161">
            <a:extLst>
              <a:ext uri="{FF2B5EF4-FFF2-40B4-BE49-F238E27FC236}">
                <a16:creationId xmlns:a16="http://schemas.microsoft.com/office/drawing/2014/main" id="{0AFCB6A7-1300-F1B7-4A20-128C84EC8B5D}"/>
              </a:ext>
            </a:extLst>
          </xdr:cNvPr>
          <xdr:cNvSpPr txBox="1"/>
        </xdr:nvSpPr>
        <xdr:spPr>
          <a:xfrm>
            <a:off x="929640" y="369577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835512-8B1D-4D55-B6A5-7C1B0D17A048}" type="TxLink">
              <a:rPr lang="en-US" sz="1000" b="1" i="0" u="none" strike="noStrike">
                <a:ln>
                  <a:noFill/>
                </a:ln>
                <a:solidFill>
                  <a:srgbClr val="000000"/>
                </a:solidFill>
                <a:latin typeface="Arial"/>
                <a:ea typeface="+mn-ea"/>
                <a:cs typeface="Arial"/>
              </a:rPr>
              <a:pPr marL="0" indent="0"/>
              <a:t>$3.498</a:t>
            </a:fld>
            <a:endParaRPr lang="en-IN" sz="6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editAs="oneCell">
    <xdr:from>
      <xdr:col>5</xdr:col>
      <xdr:colOff>396240</xdr:colOff>
      <xdr:row>5</xdr:row>
      <xdr:rowOff>15240</xdr:rowOff>
    </xdr:from>
    <xdr:to>
      <xdr:col>18</xdr:col>
      <xdr:colOff>190500</xdr:colOff>
      <xdr:row>8</xdr:row>
      <xdr:rowOff>0</xdr:rowOff>
    </xdr:to>
    <mc:AlternateContent xmlns:mc="http://schemas.openxmlformats.org/markup-compatibility/2006" xmlns:a14="http://schemas.microsoft.com/office/drawing/2010/main">
      <mc:Choice Requires="a14">
        <xdr:graphicFrame macro="">
          <xdr:nvGraphicFramePr>
            <xdr:cNvPr id="164" name="Month">
              <a:extLst>
                <a:ext uri="{FF2B5EF4-FFF2-40B4-BE49-F238E27FC236}">
                  <a16:creationId xmlns:a16="http://schemas.microsoft.com/office/drawing/2014/main" id="{F0BDC578-C268-43A1-BD4B-379D6A9573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444240" y="946573"/>
              <a:ext cx="7719060" cy="54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160020</xdr:colOff>
      <xdr:row>17</xdr:row>
      <xdr:rowOff>76200</xdr:rowOff>
    </xdr:from>
    <xdr:to>
      <xdr:col>4</xdr:col>
      <xdr:colOff>320040</xdr:colOff>
      <xdr:row>18</xdr:row>
      <xdr:rowOff>114300</xdr:rowOff>
    </xdr:to>
    <xdr:sp macro="" textlink="Pivottables!AP3">
      <xdr:nvSpPr>
        <xdr:cNvPr id="165" name="TextBox 164">
          <a:extLst>
            <a:ext uri="{FF2B5EF4-FFF2-40B4-BE49-F238E27FC236}">
              <a16:creationId xmlns:a16="http://schemas.microsoft.com/office/drawing/2014/main" id="{DA1444FA-F01E-A2C6-3CCE-BF7ED4C0DA46}"/>
            </a:ext>
          </a:extLst>
        </xdr:cNvPr>
        <xdr:cNvSpPr txBox="1"/>
      </xdr:nvSpPr>
      <xdr:spPr>
        <a:xfrm>
          <a:off x="1988820" y="3185160"/>
          <a:ext cx="7696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A4B2CB-5D1E-4345-8ED6-768D15627891}" type="TxLink">
            <a:rPr lang="en-US" sz="1200" b="1" i="0" u="none" strike="noStrike">
              <a:solidFill>
                <a:srgbClr val="002060"/>
              </a:solidFill>
              <a:latin typeface="Arial"/>
              <a:cs typeface="Arial"/>
            </a:rPr>
            <a:pPr/>
            <a:t>$1.704</a:t>
          </a:fld>
          <a:endParaRPr lang="en-IN" sz="1100">
            <a:solidFill>
              <a:srgbClr val="002060"/>
            </a:solidFill>
          </a:endParaRPr>
        </a:p>
      </xdr:txBody>
    </xdr:sp>
    <xdr:clientData/>
  </xdr:twoCellAnchor>
  <xdr:twoCellAnchor>
    <xdr:from>
      <xdr:col>0</xdr:col>
      <xdr:colOff>525780</xdr:colOff>
      <xdr:row>29</xdr:row>
      <xdr:rowOff>0</xdr:rowOff>
    </xdr:from>
    <xdr:to>
      <xdr:col>4</xdr:col>
      <xdr:colOff>411480</xdr:colOff>
      <xdr:row>29</xdr:row>
      <xdr:rowOff>15240</xdr:rowOff>
    </xdr:to>
    <xdr:cxnSp macro="">
      <xdr:nvCxnSpPr>
        <xdr:cNvPr id="6" name="Straight Connector 5">
          <a:extLst>
            <a:ext uri="{FF2B5EF4-FFF2-40B4-BE49-F238E27FC236}">
              <a16:creationId xmlns:a16="http://schemas.microsoft.com/office/drawing/2014/main" id="{5141A869-D321-4146-AA9D-5C9F6B336817}"/>
            </a:ext>
          </a:extLst>
        </xdr:cNvPr>
        <xdr:cNvCxnSpPr/>
      </xdr:nvCxnSpPr>
      <xdr:spPr>
        <a:xfrm flipV="1">
          <a:off x="525780" y="5303520"/>
          <a:ext cx="2324100" cy="1524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548640</xdr:colOff>
      <xdr:row>8</xdr:row>
      <xdr:rowOff>144780</xdr:rowOff>
    </xdr:from>
    <xdr:to>
      <xdr:col>18</xdr:col>
      <xdr:colOff>297180</xdr:colOff>
      <xdr:row>17</xdr:row>
      <xdr:rowOff>38100</xdr:rowOff>
    </xdr:to>
    <xdr:graphicFrame macro="">
      <xdr:nvGraphicFramePr>
        <xdr:cNvPr id="7" name="Chart 6">
          <a:extLst>
            <a:ext uri="{FF2B5EF4-FFF2-40B4-BE49-F238E27FC236}">
              <a16:creationId xmlns:a16="http://schemas.microsoft.com/office/drawing/2014/main" id="{A1DACF02-F182-4B43-8411-3ABA992B3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518160</xdr:colOff>
      <xdr:row>29</xdr:row>
      <xdr:rowOff>68580</xdr:rowOff>
    </xdr:from>
    <xdr:to>
      <xdr:col>4</xdr:col>
      <xdr:colOff>480060</xdr:colOff>
      <xdr:row>40</xdr:row>
      <xdr:rowOff>160020</xdr:rowOff>
    </xdr:to>
    <xdr:sp macro="" textlink="">
      <xdr:nvSpPr>
        <xdr:cNvPr id="8" name="Rectangle 7">
          <a:extLst>
            <a:ext uri="{FF2B5EF4-FFF2-40B4-BE49-F238E27FC236}">
              <a16:creationId xmlns:a16="http://schemas.microsoft.com/office/drawing/2014/main" id="{1A99ABFF-2DD1-45CB-B4DC-1B24F611D94E}"/>
            </a:ext>
          </a:extLst>
        </xdr:cNvPr>
        <xdr:cNvSpPr/>
      </xdr:nvSpPr>
      <xdr:spPr>
        <a:xfrm>
          <a:off x="518160" y="5372100"/>
          <a:ext cx="2400300" cy="210312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487680</xdr:colOff>
      <xdr:row>30</xdr:row>
      <xdr:rowOff>167640</xdr:rowOff>
    </xdr:from>
    <xdr:to>
      <xdr:col>25</xdr:col>
      <xdr:colOff>68580</xdr:colOff>
      <xdr:row>40</xdr:row>
      <xdr:rowOff>137160</xdr:rowOff>
    </xdr:to>
    <xdr:sp macro="" textlink="">
      <xdr:nvSpPr>
        <xdr:cNvPr id="9" name="Rectangle 8">
          <a:extLst>
            <a:ext uri="{FF2B5EF4-FFF2-40B4-BE49-F238E27FC236}">
              <a16:creationId xmlns:a16="http://schemas.microsoft.com/office/drawing/2014/main" id="{F57E9EB3-DF53-4CFD-BAFD-3881CAFB828E}"/>
            </a:ext>
          </a:extLst>
        </xdr:cNvPr>
        <xdr:cNvSpPr/>
      </xdr:nvSpPr>
      <xdr:spPr>
        <a:xfrm>
          <a:off x="11460480" y="5654040"/>
          <a:ext cx="3848100" cy="179832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502920</xdr:colOff>
      <xdr:row>25</xdr:row>
      <xdr:rowOff>167640</xdr:rowOff>
    </xdr:from>
    <xdr:to>
      <xdr:col>18</xdr:col>
      <xdr:colOff>350520</xdr:colOff>
      <xdr:row>41</xdr:row>
      <xdr:rowOff>0</xdr:rowOff>
    </xdr:to>
    <xdr:sp macro="" textlink="">
      <xdr:nvSpPr>
        <xdr:cNvPr id="16" name="Rectangle 15">
          <a:extLst>
            <a:ext uri="{FF2B5EF4-FFF2-40B4-BE49-F238E27FC236}">
              <a16:creationId xmlns:a16="http://schemas.microsoft.com/office/drawing/2014/main" id="{B2472155-6A0E-4B26-A094-81ECD3C53D31}"/>
            </a:ext>
          </a:extLst>
        </xdr:cNvPr>
        <xdr:cNvSpPr/>
      </xdr:nvSpPr>
      <xdr:spPr>
        <a:xfrm>
          <a:off x="6584938" y="4711677"/>
          <a:ext cx="4713215" cy="274054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129540</xdr:colOff>
      <xdr:row>26</xdr:row>
      <xdr:rowOff>7620</xdr:rowOff>
    </xdr:from>
    <xdr:to>
      <xdr:col>10</xdr:col>
      <xdr:colOff>358140</xdr:colOff>
      <xdr:row>40</xdr:row>
      <xdr:rowOff>167640</xdr:rowOff>
    </xdr:to>
    <xdr:sp macro="" textlink="">
      <xdr:nvSpPr>
        <xdr:cNvPr id="17" name="Rectangle 16">
          <a:extLst>
            <a:ext uri="{FF2B5EF4-FFF2-40B4-BE49-F238E27FC236}">
              <a16:creationId xmlns:a16="http://schemas.microsoft.com/office/drawing/2014/main" id="{BE0BD667-FC97-452F-90FF-F7E98148FDAD}"/>
            </a:ext>
          </a:extLst>
        </xdr:cNvPr>
        <xdr:cNvSpPr/>
      </xdr:nvSpPr>
      <xdr:spPr>
        <a:xfrm>
          <a:off x="3177540" y="4762500"/>
          <a:ext cx="3276600" cy="272034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10584</xdr:colOff>
      <xdr:row>29</xdr:row>
      <xdr:rowOff>68580</xdr:rowOff>
    </xdr:from>
    <xdr:to>
      <xdr:col>4</xdr:col>
      <xdr:colOff>413940</xdr:colOff>
      <xdr:row>40</xdr:row>
      <xdr:rowOff>108900</xdr:rowOff>
    </xdr:to>
    <mc:AlternateContent xmlns:mc="http://schemas.openxmlformats.org/markup-compatibility/2006" xmlns:a14="http://schemas.microsoft.com/office/drawing/2010/main">
      <mc:Choice Requires="a14">
        <xdr:graphicFrame macro="">
          <xdr:nvGraphicFramePr>
            <xdr:cNvPr id="19" name="Driver Name">
              <a:extLst>
                <a:ext uri="{FF2B5EF4-FFF2-40B4-BE49-F238E27FC236}">
                  <a16:creationId xmlns:a16="http://schemas.microsoft.com/office/drawing/2014/main" id="{6B86920A-BE1C-46F4-B4F7-4DE6C91285D9}"/>
                </a:ext>
              </a:extLst>
            </xdr:cNvPr>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1196340" y="5372100"/>
              <a:ext cx="1656000" cy="20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502920</xdr:colOff>
      <xdr:row>41</xdr:row>
      <xdr:rowOff>68580</xdr:rowOff>
    </xdr:from>
    <xdr:to>
      <xdr:col>4</xdr:col>
      <xdr:colOff>479196</xdr:colOff>
      <xdr:row>41</xdr:row>
      <xdr:rowOff>78557</xdr:rowOff>
    </xdr:to>
    <xdr:cxnSp macro="">
      <xdr:nvCxnSpPr>
        <xdr:cNvPr id="20" name="Straight Connector 19">
          <a:extLst>
            <a:ext uri="{FF2B5EF4-FFF2-40B4-BE49-F238E27FC236}">
              <a16:creationId xmlns:a16="http://schemas.microsoft.com/office/drawing/2014/main" id="{F764C54E-4F52-4C5A-AA59-33FFA5B08F7F}"/>
            </a:ext>
          </a:extLst>
        </xdr:cNvPr>
        <xdr:cNvCxnSpPr/>
      </xdr:nvCxnSpPr>
      <xdr:spPr>
        <a:xfrm>
          <a:off x="502920" y="7476477"/>
          <a:ext cx="2427245" cy="9977"/>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137160</xdr:colOff>
      <xdr:row>23</xdr:row>
      <xdr:rowOff>45720</xdr:rowOff>
    </xdr:from>
    <xdr:to>
      <xdr:col>24</xdr:col>
      <xdr:colOff>563880</xdr:colOff>
      <xdr:row>27</xdr:row>
      <xdr:rowOff>30480</xdr:rowOff>
    </xdr:to>
    <xdr:grpSp>
      <xdr:nvGrpSpPr>
        <xdr:cNvPr id="45" name="Group 44">
          <a:extLst>
            <a:ext uri="{FF2B5EF4-FFF2-40B4-BE49-F238E27FC236}">
              <a16:creationId xmlns:a16="http://schemas.microsoft.com/office/drawing/2014/main" id="{EE5E6247-B449-4C4D-8C72-525D08493979}"/>
            </a:ext>
          </a:extLst>
        </xdr:cNvPr>
        <xdr:cNvGrpSpPr/>
      </xdr:nvGrpSpPr>
      <xdr:grpSpPr>
        <a:xfrm>
          <a:off x="11799993" y="4427220"/>
          <a:ext cx="3495887" cy="746760"/>
          <a:chOff x="11727180" y="2263140"/>
          <a:chExt cx="1973580" cy="716280"/>
        </a:xfrm>
      </xdr:grpSpPr>
      <xdr:cxnSp macro="">
        <xdr:nvCxnSpPr>
          <xdr:cNvPr id="57" name="Straight Connector 56">
            <a:extLst>
              <a:ext uri="{FF2B5EF4-FFF2-40B4-BE49-F238E27FC236}">
                <a16:creationId xmlns:a16="http://schemas.microsoft.com/office/drawing/2014/main" id="{7B719093-F8A0-3821-6604-74FE1860FD69}"/>
              </a:ext>
            </a:extLst>
          </xdr:cNvPr>
          <xdr:cNvCxnSpPr/>
        </xdr:nvCxnSpPr>
        <xdr:spPr>
          <a:xfrm>
            <a:off x="11727180" y="226314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7D5482A9-AD8C-625A-DEAD-CEF598301506}"/>
              </a:ext>
            </a:extLst>
          </xdr:cNvPr>
          <xdr:cNvCxnSpPr/>
        </xdr:nvCxnSpPr>
        <xdr:spPr>
          <a:xfrm>
            <a:off x="11734800" y="259842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A0F618E5-7A15-E23E-A6C3-735E5CD78C5A}"/>
              </a:ext>
            </a:extLst>
          </xdr:cNvPr>
          <xdr:cNvCxnSpPr/>
        </xdr:nvCxnSpPr>
        <xdr:spPr>
          <a:xfrm>
            <a:off x="11734800" y="297180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19</xdr:col>
      <xdr:colOff>7619</xdr:colOff>
      <xdr:row>31</xdr:row>
      <xdr:rowOff>91441</xdr:rowOff>
    </xdr:from>
    <xdr:to>
      <xdr:col>24</xdr:col>
      <xdr:colOff>299252</xdr:colOff>
      <xdr:row>32</xdr:row>
      <xdr:rowOff>179381</xdr:rowOff>
    </xdr:to>
    <xdr:sp macro="" textlink="">
      <xdr:nvSpPr>
        <xdr:cNvPr id="5" name="TextBox 4">
          <a:extLst>
            <a:ext uri="{FF2B5EF4-FFF2-40B4-BE49-F238E27FC236}">
              <a16:creationId xmlns:a16="http://schemas.microsoft.com/office/drawing/2014/main" id="{1EEF8551-7B74-4BCB-A8E9-AC732AC9D302}"/>
            </a:ext>
          </a:extLst>
        </xdr:cNvPr>
        <xdr:cNvSpPr txBox="1"/>
      </xdr:nvSpPr>
      <xdr:spPr>
        <a:xfrm>
          <a:off x="11590019" y="5760721"/>
          <a:ext cx="2120433"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n>
                <a:noFill/>
              </a:ln>
              <a:latin typeface="Arial" panose="020B0604020202020204" pitchFamily="34" charset="0"/>
              <a:cs typeface="Arial" panose="020B0604020202020204" pitchFamily="34" charset="0"/>
            </a:rPr>
            <a:t>Load</a:t>
          </a:r>
          <a:endParaRPr lang="en-IN" sz="1200">
            <a:ln>
              <a:noFill/>
            </a:ln>
            <a:latin typeface="Arial" panose="020B0604020202020204" pitchFamily="34" charset="0"/>
            <a:cs typeface="Arial" panose="020B0604020202020204" pitchFamily="34" charset="0"/>
          </a:endParaRPr>
        </a:p>
      </xdr:txBody>
    </xdr:sp>
    <xdr:clientData/>
  </xdr:twoCellAnchor>
  <xdr:twoCellAnchor>
    <xdr:from>
      <xdr:col>19</xdr:col>
      <xdr:colOff>10820</xdr:colOff>
      <xdr:row>34</xdr:row>
      <xdr:rowOff>68581</xdr:rowOff>
    </xdr:from>
    <xdr:to>
      <xdr:col>20</xdr:col>
      <xdr:colOff>215054</xdr:colOff>
      <xdr:row>35</xdr:row>
      <xdr:rowOff>156521</xdr:rowOff>
    </xdr:to>
    <xdr:sp macro="" textlink="#REF!">
      <xdr:nvSpPr>
        <xdr:cNvPr id="55" name="TextBox 54">
          <a:extLst>
            <a:ext uri="{FF2B5EF4-FFF2-40B4-BE49-F238E27FC236}">
              <a16:creationId xmlns:a16="http://schemas.microsoft.com/office/drawing/2014/main" id="{2C97C9A1-F60F-45F6-B8E3-A0AE519EE7B1}"/>
            </a:ext>
          </a:extLst>
        </xdr:cNvPr>
        <xdr:cNvSpPr txBox="1"/>
      </xdr:nvSpPr>
      <xdr:spPr>
        <a:xfrm>
          <a:off x="11593220" y="6401648"/>
          <a:ext cx="813834" cy="27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Iron</a:t>
          </a:r>
        </a:p>
      </xdr:txBody>
    </xdr:sp>
    <xdr:clientData/>
  </xdr:twoCellAnchor>
  <xdr:twoCellAnchor>
    <xdr:from>
      <xdr:col>20</xdr:col>
      <xdr:colOff>434266</xdr:colOff>
      <xdr:row>34</xdr:row>
      <xdr:rowOff>117400</xdr:rowOff>
    </xdr:from>
    <xdr:to>
      <xdr:col>21</xdr:col>
      <xdr:colOff>373380</xdr:colOff>
      <xdr:row>36</xdr:row>
      <xdr:rowOff>22460</xdr:rowOff>
    </xdr:to>
    <xdr:sp macro="" textlink="Pivottables!BC7">
      <xdr:nvSpPr>
        <xdr:cNvPr id="63" name="TextBox 62">
          <a:extLst>
            <a:ext uri="{FF2B5EF4-FFF2-40B4-BE49-F238E27FC236}">
              <a16:creationId xmlns:a16="http://schemas.microsoft.com/office/drawing/2014/main" id="{BCF7A033-F486-461A-A831-0C783CF9D49E}"/>
            </a:ext>
          </a:extLst>
        </xdr:cNvPr>
        <xdr:cNvSpPr txBox="1"/>
      </xdr:nvSpPr>
      <xdr:spPr>
        <a:xfrm>
          <a:off x="12626266" y="6335320"/>
          <a:ext cx="548714"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947E78-B149-4ADC-8EC0-9A17306EB268}" type="TxLink">
            <a:rPr lang="en-US" sz="1100" b="1" i="0" u="none" strike="noStrike">
              <a:ln>
                <a:noFill/>
              </a:ln>
              <a:solidFill>
                <a:srgbClr val="000000"/>
              </a:solidFill>
              <a:latin typeface="Arial"/>
              <a:ea typeface="+mn-ea"/>
              <a:cs typeface="Arial"/>
            </a:rPr>
            <a:pPr marL="0" indent="0"/>
            <a:t>235,8</a:t>
          </a:fld>
          <a:endParaRPr lang="en-IN" sz="1000" b="1" i="0" u="none" strike="noStrike">
            <a:ln>
              <a:noFill/>
            </a:ln>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18</xdr:col>
      <xdr:colOff>603487</xdr:colOff>
      <xdr:row>36</xdr:row>
      <xdr:rowOff>23620</xdr:rowOff>
    </xdr:from>
    <xdr:to>
      <xdr:col>19</xdr:col>
      <xdr:colOff>571501</xdr:colOff>
      <xdr:row>37</xdr:row>
      <xdr:rowOff>111560</xdr:rowOff>
    </xdr:to>
    <xdr:sp macro="" textlink="#REF!">
      <xdr:nvSpPr>
        <xdr:cNvPr id="64" name="TextBox 63">
          <a:extLst>
            <a:ext uri="{FF2B5EF4-FFF2-40B4-BE49-F238E27FC236}">
              <a16:creationId xmlns:a16="http://schemas.microsoft.com/office/drawing/2014/main" id="{4F216BF1-5DAB-47EE-9CE8-C2DE0F42EB0D}"/>
            </a:ext>
          </a:extLst>
        </xdr:cNvPr>
        <xdr:cNvSpPr txBox="1"/>
      </xdr:nvSpPr>
      <xdr:spPr>
        <a:xfrm>
          <a:off x="11576287" y="6607300"/>
          <a:ext cx="577614"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Sand</a:t>
          </a:r>
        </a:p>
      </xdr:txBody>
    </xdr:sp>
    <xdr:clientData/>
  </xdr:twoCellAnchor>
  <xdr:twoCellAnchor>
    <xdr:from>
      <xdr:col>20</xdr:col>
      <xdr:colOff>463930</xdr:colOff>
      <xdr:row>36</xdr:row>
      <xdr:rowOff>69640</xdr:rowOff>
    </xdr:from>
    <xdr:to>
      <xdr:col>21</xdr:col>
      <xdr:colOff>419100</xdr:colOff>
      <xdr:row>37</xdr:row>
      <xdr:rowOff>157580</xdr:rowOff>
    </xdr:to>
    <xdr:sp macro="" textlink="Pivottables!BD7">
      <xdr:nvSpPr>
        <xdr:cNvPr id="65" name="TextBox 64">
          <a:extLst>
            <a:ext uri="{FF2B5EF4-FFF2-40B4-BE49-F238E27FC236}">
              <a16:creationId xmlns:a16="http://schemas.microsoft.com/office/drawing/2014/main" id="{8208DEEC-535A-4FE4-9421-71953A1A686E}"/>
            </a:ext>
          </a:extLst>
        </xdr:cNvPr>
        <xdr:cNvSpPr txBox="1"/>
      </xdr:nvSpPr>
      <xdr:spPr>
        <a:xfrm>
          <a:off x="12655930" y="6653320"/>
          <a:ext cx="564770"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11F8B7-1D38-473F-916D-627C983809A3}" type="TxLink">
            <a:rPr lang="en-US" sz="1100" b="1" i="0" u="none" strike="noStrike">
              <a:ln>
                <a:noFill/>
              </a:ln>
              <a:solidFill>
                <a:srgbClr val="000000"/>
              </a:solidFill>
              <a:latin typeface="Arial"/>
              <a:ea typeface="+mn-ea"/>
              <a:cs typeface="Arial"/>
            </a:rPr>
            <a:pPr marL="0" indent="0"/>
            <a:t>283,9</a:t>
          </a:fld>
          <a:endParaRPr lang="en-IN" sz="900" b="1" i="0" u="none" strike="noStrike">
            <a:ln>
              <a:noFill/>
            </a:ln>
            <a:solidFill>
              <a:schemeClr val="tx1">
                <a:lumMod val="65000"/>
                <a:lumOff val="35000"/>
              </a:schemeClr>
            </a:solidFill>
            <a:latin typeface="Aptos Narrow"/>
            <a:ea typeface="+mn-ea"/>
            <a:cs typeface="Arial" panose="020B0604020202020204" pitchFamily="34" charset="0"/>
          </a:endParaRPr>
        </a:p>
      </xdr:txBody>
    </xdr:sp>
    <xdr:clientData/>
  </xdr:twoCellAnchor>
  <xdr:twoCellAnchor>
    <xdr:from>
      <xdr:col>18</xdr:col>
      <xdr:colOff>594359</xdr:colOff>
      <xdr:row>38</xdr:row>
      <xdr:rowOff>7023</xdr:rowOff>
    </xdr:from>
    <xdr:to>
      <xdr:col>20</xdr:col>
      <xdr:colOff>83820</xdr:colOff>
      <xdr:row>39</xdr:row>
      <xdr:rowOff>94963</xdr:rowOff>
    </xdr:to>
    <xdr:sp macro="" textlink="#REF!">
      <xdr:nvSpPr>
        <xdr:cNvPr id="71" name="TextBox 70">
          <a:extLst>
            <a:ext uri="{FF2B5EF4-FFF2-40B4-BE49-F238E27FC236}">
              <a16:creationId xmlns:a16="http://schemas.microsoft.com/office/drawing/2014/main" id="{B29BBD0B-D3CE-42FD-AA0D-C1F3B361FD02}"/>
            </a:ext>
          </a:extLst>
        </xdr:cNvPr>
        <xdr:cNvSpPr txBox="1"/>
      </xdr:nvSpPr>
      <xdr:spPr>
        <a:xfrm>
          <a:off x="11567159" y="6956463"/>
          <a:ext cx="708661"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Wood</a:t>
          </a:r>
        </a:p>
      </xdr:txBody>
    </xdr:sp>
    <xdr:clientData/>
  </xdr:twoCellAnchor>
  <xdr:twoCellAnchor>
    <xdr:from>
      <xdr:col>20</xdr:col>
      <xdr:colOff>458063</xdr:colOff>
      <xdr:row>38</xdr:row>
      <xdr:rowOff>36965</xdr:rowOff>
    </xdr:from>
    <xdr:to>
      <xdr:col>21</xdr:col>
      <xdr:colOff>426721</xdr:colOff>
      <xdr:row>39</xdr:row>
      <xdr:rowOff>124905</xdr:rowOff>
    </xdr:to>
    <xdr:sp macro="" textlink="Pivottables!BE7">
      <xdr:nvSpPr>
        <xdr:cNvPr id="73" name="TextBox 72">
          <a:extLst>
            <a:ext uri="{FF2B5EF4-FFF2-40B4-BE49-F238E27FC236}">
              <a16:creationId xmlns:a16="http://schemas.microsoft.com/office/drawing/2014/main" id="{C183B793-B0C3-4ACC-9A0D-F26E1D052102}"/>
            </a:ext>
          </a:extLst>
        </xdr:cNvPr>
        <xdr:cNvSpPr txBox="1"/>
      </xdr:nvSpPr>
      <xdr:spPr>
        <a:xfrm>
          <a:off x="12650063" y="6986405"/>
          <a:ext cx="578258"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9A8C5C-66DD-4F39-B296-855CDE310658}" type="TxLink">
            <a:rPr lang="en-US" sz="1100" b="1" i="0" u="none" strike="noStrike">
              <a:ln>
                <a:noFill/>
              </a:ln>
              <a:solidFill>
                <a:srgbClr val="000000"/>
              </a:solidFill>
              <a:latin typeface="Arial"/>
              <a:ea typeface="+mn-ea"/>
              <a:cs typeface="Arial"/>
            </a:rPr>
            <a:pPr marL="0" indent="0"/>
            <a:t>528,1</a:t>
          </a:fld>
          <a:endParaRPr lang="en-IN" sz="900" b="1" i="0" u="none" strike="noStrike">
            <a:ln>
              <a:noFill/>
            </a:ln>
            <a:solidFill>
              <a:schemeClr val="tx1">
                <a:lumMod val="65000"/>
                <a:lumOff val="35000"/>
              </a:schemeClr>
            </a:solidFill>
            <a:latin typeface="Aptos Narrow"/>
            <a:ea typeface="+mn-ea"/>
            <a:cs typeface="Arial" panose="020B0604020202020204" pitchFamily="34" charset="0"/>
          </a:endParaRPr>
        </a:p>
      </xdr:txBody>
    </xdr:sp>
    <xdr:clientData/>
  </xdr:twoCellAnchor>
  <xdr:twoCellAnchor>
    <xdr:from>
      <xdr:col>23</xdr:col>
      <xdr:colOff>408866</xdr:colOff>
      <xdr:row>34</xdr:row>
      <xdr:rowOff>140260</xdr:rowOff>
    </xdr:from>
    <xdr:to>
      <xdr:col>24</xdr:col>
      <xdr:colOff>165100</xdr:colOff>
      <xdr:row>36</xdr:row>
      <xdr:rowOff>45320</xdr:rowOff>
    </xdr:to>
    <xdr:sp macro="" textlink="Pivottables!BC8">
      <xdr:nvSpPr>
        <xdr:cNvPr id="75" name="TextBox 74">
          <a:extLst>
            <a:ext uri="{FF2B5EF4-FFF2-40B4-BE49-F238E27FC236}">
              <a16:creationId xmlns:a16="http://schemas.microsoft.com/office/drawing/2014/main" id="{71F633E2-66D9-45DD-8BB8-3364A95CB1FF}"/>
            </a:ext>
          </a:extLst>
        </xdr:cNvPr>
        <xdr:cNvSpPr txBox="1"/>
      </xdr:nvSpPr>
      <xdr:spPr>
        <a:xfrm>
          <a:off x="14429666" y="6473327"/>
          <a:ext cx="365834" cy="27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8C32CE3-0CE0-42C8-B7E8-3A594F84A98C}" type="TxLink">
            <a:rPr lang="en-US" sz="1100" b="1" i="0" u="none" strike="noStrike">
              <a:ln>
                <a:noFill/>
              </a:ln>
              <a:solidFill>
                <a:srgbClr val="000000"/>
              </a:solidFill>
              <a:latin typeface="Arial"/>
              <a:ea typeface="+mn-ea"/>
              <a:cs typeface="Arial"/>
            </a:rPr>
            <a:pPr marL="0" indent="0"/>
            <a:t>13</a:t>
          </a:fld>
          <a:endParaRPr lang="en-IN" sz="1000" b="1" i="0" u="none" strike="noStrike">
            <a:ln>
              <a:noFill/>
            </a:ln>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23</xdr:col>
      <xdr:colOff>406356</xdr:colOff>
      <xdr:row>36</xdr:row>
      <xdr:rowOff>45087</xdr:rowOff>
    </xdr:from>
    <xdr:to>
      <xdr:col>24</xdr:col>
      <xdr:colOff>384386</xdr:colOff>
      <xdr:row>37</xdr:row>
      <xdr:rowOff>133027</xdr:rowOff>
    </xdr:to>
    <xdr:sp macro="" textlink="Pivottables!BD8">
      <xdr:nvSpPr>
        <xdr:cNvPr id="77" name="TextBox 76">
          <a:extLst>
            <a:ext uri="{FF2B5EF4-FFF2-40B4-BE49-F238E27FC236}">
              <a16:creationId xmlns:a16="http://schemas.microsoft.com/office/drawing/2014/main" id="{0E6A79F7-B8FB-4B84-ADC4-A3B2F5AC3D3A}"/>
            </a:ext>
          </a:extLst>
        </xdr:cNvPr>
        <xdr:cNvSpPr txBox="1"/>
      </xdr:nvSpPr>
      <xdr:spPr>
        <a:xfrm>
          <a:off x="14427156" y="6750687"/>
          <a:ext cx="587630" cy="27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2665AD-A943-4A1B-975A-A7199087AE08}" type="TxLink">
            <a:rPr lang="en-US" sz="1100" b="1" i="0" u="none" strike="noStrike">
              <a:ln>
                <a:noFill/>
              </a:ln>
              <a:solidFill>
                <a:srgbClr val="000000"/>
              </a:solidFill>
              <a:latin typeface="Arial"/>
              <a:ea typeface="+mn-ea"/>
              <a:cs typeface="Arial"/>
            </a:rPr>
            <a:pPr marL="0" indent="0"/>
            <a:t>17</a:t>
          </a:fld>
          <a:endParaRPr lang="en-IN" sz="900" b="1" i="0" u="none" strike="noStrike">
            <a:ln>
              <a:noFill/>
            </a:ln>
            <a:solidFill>
              <a:schemeClr val="tx1">
                <a:lumMod val="65000"/>
                <a:lumOff val="35000"/>
              </a:schemeClr>
            </a:solidFill>
            <a:latin typeface="Aptos Narrow"/>
            <a:ea typeface="+mn-ea"/>
            <a:cs typeface="Arial" panose="020B0604020202020204" pitchFamily="34" charset="0"/>
          </a:endParaRPr>
        </a:p>
      </xdr:txBody>
    </xdr:sp>
    <xdr:clientData/>
  </xdr:twoCellAnchor>
  <xdr:twoCellAnchor>
    <xdr:from>
      <xdr:col>23</xdr:col>
      <xdr:colOff>441130</xdr:colOff>
      <xdr:row>37</xdr:row>
      <xdr:rowOff>180898</xdr:rowOff>
    </xdr:from>
    <xdr:to>
      <xdr:col>24</xdr:col>
      <xdr:colOff>364068</xdr:colOff>
      <xdr:row>39</xdr:row>
      <xdr:rowOff>82572</xdr:rowOff>
    </xdr:to>
    <xdr:sp macro="" textlink="Pivottables!BE8">
      <xdr:nvSpPr>
        <xdr:cNvPr id="78" name="TextBox 77">
          <a:extLst>
            <a:ext uri="{FF2B5EF4-FFF2-40B4-BE49-F238E27FC236}">
              <a16:creationId xmlns:a16="http://schemas.microsoft.com/office/drawing/2014/main" id="{212DB01F-08F1-4282-8E84-8F48297CD157}"/>
            </a:ext>
          </a:extLst>
        </xdr:cNvPr>
        <xdr:cNvSpPr txBox="1"/>
      </xdr:nvSpPr>
      <xdr:spPr>
        <a:xfrm>
          <a:off x="14461930" y="7072765"/>
          <a:ext cx="532538" cy="27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DD54AB-E2B1-4DBB-B5E5-2EBAA27A0B2B}" type="TxLink">
            <a:rPr lang="en-US" sz="1100" b="1" i="0" u="none" strike="noStrike">
              <a:ln>
                <a:noFill/>
              </a:ln>
              <a:solidFill>
                <a:srgbClr val="000000"/>
              </a:solidFill>
              <a:latin typeface="Arial"/>
              <a:ea typeface="+mn-ea"/>
              <a:cs typeface="Arial"/>
            </a:rPr>
            <a:pPr marL="0" indent="0"/>
            <a:t>31</a:t>
          </a:fld>
          <a:endParaRPr lang="en-IN" sz="900" b="1" i="0" u="none" strike="noStrike">
            <a:ln>
              <a:noFill/>
            </a:ln>
            <a:solidFill>
              <a:schemeClr val="tx1">
                <a:lumMod val="65000"/>
                <a:lumOff val="35000"/>
              </a:schemeClr>
            </a:solidFill>
            <a:latin typeface="Aptos Narrow"/>
            <a:ea typeface="+mn-ea"/>
            <a:cs typeface="Arial" panose="020B0604020202020204" pitchFamily="34" charset="0"/>
          </a:endParaRPr>
        </a:p>
      </xdr:txBody>
    </xdr:sp>
    <xdr:clientData/>
  </xdr:twoCellAnchor>
  <xdr:twoCellAnchor>
    <xdr:from>
      <xdr:col>21</xdr:col>
      <xdr:colOff>184387</xdr:colOff>
      <xdr:row>34</xdr:row>
      <xdr:rowOff>114301</xdr:rowOff>
    </xdr:from>
    <xdr:to>
      <xdr:col>21</xdr:col>
      <xdr:colOff>579120</xdr:colOff>
      <xdr:row>36</xdr:row>
      <xdr:rowOff>19361</xdr:rowOff>
    </xdr:to>
    <xdr:sp macro="" textlink="#REF!">
      <xdr:nvSpPr>
        <xdr:cNvPr id="96" name="TextBox 95">
          <a:hlinkClick xmlns:r="http://schemas.openxmlformats.org/officeDocument/2006/relationships" r:id="rId3" tooltip="FREIGHT TON (FRT means Cargo weight in Metric Tonne)"/>
          <a:extLst>
            <a:ext uri="{FF2B5EF4-FFF2-40B4-BE49-F238E27FC236}">
              <a16:creationId xmlns:a16="http://schemas.microsoft.com/office/drawing/2014/main" id="{EA6F7F2E-2145-454A-8E59-AF8D35FBFBF9}"/>
            </a:ext>
          </a:extLst>
        </xdr:cNvPr>
        <xdr:cNvSpPr txBox="1"/>
      </xdr:nvSpPr>
      <xdr:spPr>
        <a:xfrm>
          <a:off x="12985987" y="6332221"/>
          <a:ext cx="394733"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Frt.</a:t>
          </a:r>
        </a:p>
      </xdr:txBody>
    </xdr:sp>
    <xdr:clientData/>
  </xdr:twoCellAnchor>
  <xdr:twoCellAnchor>
    <xdr:from>
      <xdr:col>21</xdr:col>
      <xdr:colOff>222487</xdr:colOff>
      <xdr:row>36</xdr:row>
      <xdr:rowOff>83821</xdr:rowOff>
    </xdr:from>
    <xdr:to>
      <xdr:col>24</xdr:col>
      <xdr:colOff>7620</xdr:colOff>
      <xdr:row>37</xdr:row>
      <xdr:rowOff>171761</xdr:rowOff>
    </xdr:to>
    <xdr:sp macro="" textlink="#REF!">
      <xdr:nvSpPr>
        <xdr:cNvPr id="97" name="TextBox 96">
          <a:extLst>
            <a:ext uri="{FF2B5EF4-FFF2-40B4-BE49-F238E27FC236}">
              <a16:creationId xmlns:a16="http://schemas.microsoft.com/office/drawing/2014/main" id="{7673F3D9-883D-4DB6-8658-22F3D49C2673}"/>
            </a:ext>
          </a:extLst>
        </xdr:cNvPr>
        <xdr:cNvSpPr txBox="1"/>
      </xdr:nvSpPr>
      <xdr:spPr>
        <a:xfrm>
          <a:off x="13024087" y="6667501"/>
          <a:ext cx="394733"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Frt.</a:t>
          </a:r>
        </a:p>
      </xdr:txBody>
    </xdr:sp>
    <xdr:clientData/>
  </xdr:twoCellAnchor>
  <xdr:twoCellAnchor>
    <xdr:from>
      <xdr:col>21</xdr:col>
      <xdr:colOff>207247</xdr:colOff>
      <xdr:row>38</xdr:row>
      <xdr:rowOff>53341</xdr:rowOff>
    </xdr:from>
    <xdr:to>
      <xdr:col>21</xdr:col>
      <xdr:colOff>601980</xdr:colOff>
      <xdr:row>39</xdr:row>
      <xdr:rowOff>141281</xdr:rowOff>
    </xdr:to>
    <xdr:sp macro="" textlink="#REF!">
      <xdr:nvSpPr>
        <xdr:cNvPr id="98" name="TextBox 97">
          <a:extLst>
            <a:ext uri="{FF2B5EF4-FFF2-40B4-BE49-F238E27FC236}">
              <a16:creationId xmlns:a16="http://schemas.microsoft.com/office/drawing/2014/main" id="{113BF696-B306-43D1-A655-EA3423B7B033}"/>
            </a:ext>
          </a:extLst>
        </xdr:cNvPr>
        <xdr:cNvSpPr txBox="1"/>
      </xdr:nvSpPr>
      <xdr:spPr>
        <a:xfrm>
          <a:off x="13008847" y="7002781"/>
          <a:ext cx="394733"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Frt.</a:t>
          </a:r>
        </a:p>
      </xdr:txBody>
    </xdr:sp>
    <xdr:clientData/>
  </xdr:twoCellAnchor>
  <xdr:twoCellAnchor>
    <xdr:from>
      <xdr:col>18</xdr:col>
      <xdr:colOff>472911</xdr:colOff>
      <xdr:row>41</xdr:row>
      <xdr:rowOff>61903</xdr:rowOff>
    </xdr:from>
    <xdr:to>
      <xdr:col>25</xdr:col>
      <xdr:colOff>244311</xdr:colOff>
      <xdr:row>41</xdr:row>
      <xdr:rowOff>77143</xdr:rowOff>
    </xdr:to>
    <xdr:cxnSp macro="">
      <xdr:nvCxnSpPr>
        <xdr:cNvPr id="99" name="Straight Connector 98">
          <a:extLst>
            <a:ext uri="{FF2B5EF4-FFF2-40B4-BE49-F238E27FC236}">
              <a16:creationId xmlns:a16="http://schemas.microsoft.com/office/drawing/2014/main" id="{C1D5E227-1897-4B22-8AF4-46FD4E1E628E}"/>
            </a:ext>
          </a:extLst>
        </xdr:cNvPr>
        <xdr:cNvCxnSpPr/>
      </xdr:nvCxnSpPr>
      <xdr:spPr>
        <a:xfrm flipV="1">
          <a:off x="11502272" y="7469800"/>
          <a:ext cx="2835111" cy="1524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23</xdr:col>
      <xdr:colOff>604335</xdr:colOff>
      <xdr:row>34</xdr:row>
      <xdr:rowOff>169334</xdr:rowOff>
    </xdr:from>
    <xdr:to>
      <xdr:col>24</xdr:col>
      <xdr:colOff>389468</xdr:colOff>
      <xdr:row>36</xdr:row>
      <xdr:rowOff>74394</xdr:rowOff>
    </xdr:to>
    <xdr:sp macro="" textlink="#REF!">
      <xdr:nvSpPr>
        <xdr:cNvPr id="101" name="TextBox 100">
          <a:extLst>
            <a:ext uri="{FF2B5EF4-FFF2-40B4-BE49-F238E27FC236}">
              <a16:creationId xmlns:a16="http://schemas.microsoft.com/office/drawing/2014/main" id="{C8608714-F2D6-48AA-88E5-DF0EC0B12E9E}"/>
            </a:ext>
          </a:extLst>
        </xdr:cNvPr>
        <xdr:cNvSpPr txBox="1"/>
      </xdr:nvSpPr>
      <xdr:spPr>
        <a:xfrm>
          <a:off x="14625135" y="6502401"/>
          <a:ext cx="394733" cy="27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Qty.</a:t>
          </a:r>
        </a:p>
      </xdr:txBody>
    </xdr:sp>
    <xdr:clientData/>
  </xdr:twoCellAnchor>
  <xdr:twoCellAnchor>
    <xdr:from>
      <xdr:col>24</xdr:col>
      <xdr:colOff>26908</xdr:colOff>
      <xdr:row>36</xdr:row>
      <xdr:rowOff>58421</xdr:rowOff>
    </xdr:from>
    <xdr:to>
      <xdr:col>24</xdr:col>
      <xdr:colOff>421641</xdr:colOff>
      <xdr:row>37</xdr:row>
      <xdr:rowOff>146361</xdr:rowOff>
    </xdr:to>
    <xdr:sp macro="" textlink="#REF!">
      <xdr:nvSpPr>
        <xdr:cNvPr id="102" name="TextBox 101">
          <a:extLst>
            <a:ext uri="{FF2B5EF4-FFF2-40B4-BE49-F238E27FC236}">
              <a16:creationId xmlns:a16="http://schemas.microsoft.com/office/drawing/2014/main" id="{934D66BA-97A1-443A-AF01-80231C7AF89B}"/>
            </a:ext>
          </a:extLst>
        </xdr:cNvPr>
        <xdr:cNvSpPr txBox="1"/>
      </xdr:nvSpPr>
      <xdr:spPr>
        <a:xfrm>
          <a:off x="14657308" y="6764021"/>
          <a:ext cx="394733" cy="27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Qty.</a:t>
          </a:r>
        </a:p>
      </xdr:txBody>
    </xdr:sp>
    <xdr:clientData/>
  </xdr:twoCellAnchor>
  <xdr:twoCellAnchor>
    <xdr:from>
      <xdr:col>24</xdr:col>
      <xdr:colOff>49767</xdr:colOff>
      <xdr:row>38</xdr:row>
      <xdr:rowOff>27941</xdr:rowOff>
    </xdr:from>
    <xdr:to>
      <xdr:col>24</xdr:col>
      <xdr:colOff>444500</xdr:colOff>
      <xdr:row>39</xdr:row>
      <xdr:rowOff>115881</xdr:rowOff>
    </xdr:to>
    <xdr:sp macro="" textlink="#REF!">
      <xdr:nvSpPr>
        <xdr:cNvPr id="103" name="TextBox 102">
          <a:extLst>
            <a:ext uri="{FF2B5EF4-FFF2-40B4-BE49-F238E27FC236}">
              <a16:creationId xmlns:a16="http://schemas.microsoft.com/office/drawing/2014/main" id="{2DE5F9ED-AAC7-4EEC-B0DA-A4F16C0C0BBB}"/>
            </a:ext>
          </a:extLst>
        </xdr:cNvPr>
        <xdr:cNvSpPr txBox="1"/>
      </xdr:nvSpPr>
      <xdr:spPr>
        <a:xfrm>
          <a:off x="14680167" y="7106074"/>
          <a:ext cx="394733" cy="27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Qty.</a:t>
          </a:r>
        </a:p>
      </xdr:txBody>
    </xdr:sp>
    <xdr:clientData/>
  </xdr:twoCellAnchor>
  <xdr:twoCellAnchor>
    <xdr:from>
      <xdr:col>19</xdr:col>
      <xdr:colOff>45720</xdr:colOff>
      <xdr:row>37</xdr:row>
      <xdr:rowOff>137160</xdr:rowOff>
    </xdr:from>
    <xdr:to>
      <xdr:col>24</xdr:col>
      <xdr:colOff>304800</xdr:colOff>
      <xdr:row>37</xdr:row>
      <xdr:rowOff>143933</xdr:rowOff>
    </xdr:to>
    <xdr:cxnSp macro="">
      <xdr:nvCxnSpPr>
        <xdr:cNvPr id="106" name="Straight Connector 105">
          <a:extLst>
            <a:ext uri="{FF2B5EF4-FFF2-40B4-BE49-F238E27FC236}">
              <a16:creationId xmlns:a16="http://schemas.microsoft.com/office/drawing/2014/main" id="{833EE65C-6617-4E3F-B6CA-9AA06D1D7E95}"/>
            </a:ext>
          </a:extLst>
        </xdr:cNvPr>
        <xdr:cNvCxnSpPr/>
      </xdr:nvCxnSpPr>
      <xdr:spPr>
        <a:xfrm>
          <a:off x="11628120" y="7029027"/>
          <a:ext cx="3307080" cy="6773"/>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60960</xdr:colOff>
      <xdr:row>35</xdr:row>
      <xdr:rowOff>167640</xdr:rowOff>
    </xdr:from>
    <xdr:to>
      <xdr:col>24</xdr:col>
      <xdr:colOff>296333</xdr:colOff>
      <xdr:row>36</xdr:row>
      <xdr:rowOff>8467</xdr:rowOff>
    </xdr:to>
    <xdr:cxnSp macro="">
      <xdr:nvCxnSpPr>
        <xdr:cNvPr id="108" name="Straight Connector 107">
          <a:extLst>
            <a:ext uri="{FF2B5EF4-FFF2-40B4-BE49-F238E27FC236}">
              <a16:creationId xmlns:a16="http://schemas.microsoft.com/office/drawing/2014/main" id="{5573522C-1425-48F5-9154-50AA956A4E6A}"/>
            </a:ext>
          </a:extLst>
        </xdr:cNvPr>
        <xdr:cNvCxnSpPr/>
      </xdr:nvCxnSpPr>
      <xdr:spPr>
        <a:xfrm>
          <a:off x="11643360" y="6686973"/>
          <a:ext cx="3283373" cy="27094"/>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573150</xdr:colOff>
      <xdr:row>32</xdr:row>
      <xdr:rowOff>175496</xdr:rowOff>
    </xdr:from>
    <xdr:to>
      <xdr:col>20</xdr:col>
      <xdr:colOff>184530</xdr:colOff>
      <xdr:row>34</xdr:row>
      <xdr:rowOff>76436</xdr:rowOff>
    </xdr:to>
    <xdr:sp macro="" textlink="Pivottables!BF7">
      <xdr:nvSpPr>
        <xdr:cNvPr id="109" name="TextBox 108">
          <a:extLst>
            <a:ext uri="{FF2B5EF4-FFF2-40B4-BE49-F238E27FC236}">
              <a16:creationId xmlns:a16="http://schemas.microsoft.com/office/drawing/2014/main" id="{F6D183B0-820B-E587-1D36-D9F2BED55624}"/>
            </a:ext>
          </a:extLst>
        </xdr:cNvPr>
        <xdr:cNvSpPr txBox="1"/>
      </xdr:nvSpPr>
      <xdr:spPr>
        <a:xfrm>
          <a:off x="11545950" y="6027656"/>
          <a:ext cx="830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A4F655-DFE0-40F9-B0D5-81E354915E2E}" type="TxLink">
            <a:rPr lang="en-US" sz="1200" b="1" i="0" u="none" strike="noStrike">
              <a:solidFill>
                <a:srgbClr val="3849AB"/>
              </a:solidFill>
              <a:latin typeface="Arial"/>
              <a:cs typeface="Arial"/>
            </a:rPr>
            <a:pPr/>
            <a:t>1.047,8</a:t>
          </a:fld>
          <a:endParaRPr lang="en-IN" sz="1100">
            <a:solidFill>
              <a:srgbClr val="3849AB"/>
            </a:solidFill>
          </a:endParaRPr>
        </a:p>
      </xdr:txBody>
    </xdr:sp>
    <xdr:clientData/>
  </xdr:twoCellAnchor>
  <xdr:twoCellAnchor>
    <xdr:from>
      <xdr:col>20</xdr:col>
      <xdr:colOff>339521</xdr:colOff>
      <xdr:row>33</xdr:row>
      <xdr:rowOff>15947</xdr:rowOff>
    </xdr:from>
    <xdr:to>
      <xdr:col>21</xdr:col>
      <xdr:colOff>118541</xdr:colOff>
      <xdr:row>34</xdr:row>
      <xdr:rowOff>99767</xdr:rowOff>
    </xdr:to>
    <xdr:sp macro="" textlink="Pivottables!BF8">
      <xdr:nvSpPr>
        <xdr:cNvPr id="111" name="TextBox 110">
          <a:extLst>
            <a:ext uri="{FF2B5EF4-FFF2-40B4-BE49-F238E27FC236}">
              <a16:creationId xmlns:a16="http://schemas.microsoft.com/office/drawing/2014/main" id="{14DDA9A1-4216-4B45-ADAD-C1F24FB87B15}"/>
            </a:ext>
          </a:extLst>
        </xdr:cNvPr>
        <xdr:cNvSpPr txBox="1"/>
      </xdr:nvSpPr>
      <xdr:spPr>
        <a:xfrm>
          <a:off x="12531521" y="6050987"/>
          <a:ext cx="3886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1F7C1D-75E2-48A7-921A-D99D826F59DD}" type="TxLink">
            <a:rPr lang="en-US" sz="1000" b="0" i="0" u="none" strike="noStrike">
              <a:solidFill>
                <a:srgbClr val="3849AB"/>
              </a:solidFill>
              <a:latin typeface="Arial"/>
              <a:cs typeface="Arial"/>
            </a:rPr>
            <a:pPr/>
            <a:t>61</a:t>
          </a:fld>
          <a:endParaRPr lang="en-IN" sz="900" b="0">
            <a:solidFill>
              <a:srgbClr val="3849AB"/>
            </a:solidFill>
          </a:endParaRPr>
        </a:p>
      </xdr:txBody>
    </xdr:sp>
    <xdr:clientData/>
  </xdr:twoCellAnchor>
  <xdr:twoCellAnchor>
    <xdr:from>
      <xdr:col>19</xdr:col>
      <xdr:colOff>484302</xdr:colOff>
      <xdr:row>33</xdr:row>
      <xdr:rowOff>7620</xdr:rowOff>
    </xdr:from>
    <xdr:to>
      <xdr:col>20</xdr:col>
      <xdr:colOff>545262</xdr:colOff>
      <xdr:row>34</xdr:row>
      <xdr:rowOff>22860</xdr:rowOff>
    </xdr:to>
    <xdr:sp macro="" textlink="">
      <xdr:nvSpPr>
        <xdr:cNvPr id="116" name="TextBox 115">
          <a:extLst>
            <a:ext uri="{FF2B5EF4-FFF2-40B4-BE49-F238E27FC236}">
              <a16:creationId xmlns:a16="http://schemas.microsoft.com/office/drawing/2014/main" id="{BA2A21B6-A4A8-75D7-480B-E0CBF962C36B}"/>
            </a:ext>
          </a:extLst>
        </xdr:cNvPr>
        <xdr:cNvSpPr txBox="1"/>
      </xdr:nvSpPr>
      <xdr:spPr>
        <a:xfrm>
          <a:off x="12066702" y="6042660"/>
          <a:ext cx="6705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3849AB"/>
              </a:solidFill>
            </a:rPr>
            <a:t>Tonne  /</a:t>
          </a:r>
        </a:p>
      </xdr:txBody>
    </xdr:sp>
    <xdr:clientData/>
  </xdr:twoCellAnchor>
  <xdr:twoCellAnchor>
    <xdr:from>
      <xdr:col>20</xdr:col>
      <xdr:colOff>537170</xdr:colOff>
      <xdr:row>33</xdr:row>
      <xdr:rowOff>15711</xdr:rowOff>
    </xdr:from>
    <xdr:to>
      <xdr:col>21</xdr:col>
      <xdr:colOff>594988</xdr:colOff>
      <xdr:row>34</xdr:row>
      <xdr:rowOff>30951</xdr:rowOff>
    </xdr:to>
    <xdr:sp macro="" textlink="">
      <xdr:nvSpPr>
        <xdr:cNvPr id="117" name="TextBox 116">
          <a:extLst>
            <a:ext uri="{FF2B5EF4-FFF2-40B4-BE49-F238E27FC236}">
              <a16:creationId xmlns:a16="http://schemas.microsoft.com/office/drawing/2014/main" id="{E11A68A5-64AF-4D82-9F0B-22E74E5847A3}"/>
            </a:ext>
          </a:extLst>
        </xdr:cNvPr>
        <xdr:cNvSpPr txBox="1"/>
      </xdr:nvSpPr>
      <xdr:spPr>
        <a:xfrm>
          <a:off x="12729170" y="6050751"/>
          <a:ext cx="667418"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a:solidFill>
                <a:srgbClr val="3849AB"/>
              </a:solidFill>
            </a:rPr>
            <a:t>Qty.</a:t>
          </a:r>
        </a:p>
      </xdr:txBody>
    </xdr:sp>
    <xdr:clientData/>
  </xdr:twoCellAnchor>
  <xdr:twoCellAnchor>
    <xdr:from>
      <xdr:col>10</xdr:col>
      <xdr:colOff>510540</xdr:colOff>
      <xdr:row>25</xdr:row>
      <xdr:rowOff>137160</xdr:rowOff>
    </xdr:from>
    <xdr:to>
      <xdr:col>18</xdr:col>
      <xdr:colOff>327660</xdr:colOff>
      <xdr:row>40</xdr:row>
      <xdr:rowOff>137160</xdr:rowOff>
    </xdr:to>
    <xdr:graphicFrame macro="">
      <xdr:nvGraphicFramePr>
        <xdr:cNvPr id="118" name="Chart 117">
          <a:extLst>
            <a:ext uri="{FF2B5EF4-FFF2-40B4-BE49-F238E27FC236}">
              <a16:creationId xmlns:a16="http://schemas.microsoft.com/office/drawing/2014/main" id="{67DBC268-A527-4E03-B9AA-1DB8E5A7A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85470</xdr:colOff>
      <xdr:row>41</xdr:row>
      <xdr:rowOff>68816</xdr:rowOff>
    </xdr:from>
    <xdr:to>
      <xdr:col>10</xdr:col>
      <xdr:colOff>322082</xdr:colOff>
      <xdr:row>41</xdr:row>
      <xdr:rowOff>78557</xdr:rowOff>
    </xdr:to>
    <xdr:cxnSp macro="">
      <xdr:nvCxnSpPr>
        <xdr:cNvPr id="119" name="Straight Connector 118">
          <a:extLst>
            <a:ext uri="{FF2B5EF4-FFF2-40B4-BE49-F238E27FC236}">
              <a16:creationId xmlns:a16="http://schemas.microsoft.com/office/drawing/2014/main" id="{9BD8E97F-895D-462D-B102-5CBDA56C5C9F}"/>
            </a:ext>
          </a:extLst>
        </xdr:cNvPr>
        <xdr:cNvCxnSpPr/>
      </xdr:nvCxnSpPr>
      <xdr:spPr>
        <a:xfrm>
          <a:off x="3149181" y="7476713"/>
          <a:ext cx="3300324" cy="9741"/>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492550</xdr:colOff>
      <xdr:row>41</xdr:row>
      <xdr:rowOff>68580</xdr:rowOff>
    </xdr:from>
    <xdr:to>
      <xdr:col>18</xdr:col>
      <xdr:colOff>377072</xdr:colOff>
      <xdr:row>41</xdr:row>
      <xdr:rowOff>86412</xdr:rowOff>
    </xdr:to>
    <xdr:cxnSp macro="">
      <xdr:nvCxnSpPr>
        <xdr:cNvPr id="121" name="Straight Connector 120">
          <a:extLst>
            <a:ext uri="{FF2B5EF4-FFF2-40B4-BE49-F238E27FC236}">
              <a16:creationId xmlns:a16="http://schemas.microsoft.com/office/drawing/2014/main" id="{16B7C0C5-A9B0-4C0F-A4C5-AD9562A53814}"/>
            </a:ext>
          </a:extLst>
        </xdr:cNvPr>
        <xdr:cNvCxnSpPr/>
      </xdr:nvCxnSpPr>
      <xdr:spPr>
        <a:xfrm>
          <a:off x="6619973" y="7476477"/>
          <a:ext cx="4786460" cy="17832"/>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106680</xdr:colOff>
      <xdr:row>17</xdr:row>
      <xdr:rowOff>150321</xdr:rowOff>
    </xdr:from>
    <xdr:to>
      <xdr:col>8</xdr:col>
      <xdr:colOff>114300</xdr:colOff>
      <xdr:row>19</xdr:row>
      <xdr:rowOff>15240</xdr:rowOff>
    </xdr:to>
    <xdr:sp macro="" textlink="">
      <xdr:nvSpPr>
        <xdr:cNvPr id="124" name="TextBox 123">
          <a:hlinkClick xmlns:r="http://schemas.openxmlformats.org/officeDocument/2006/relationships" r:id="rId3" tooltip="Executive Shipping Services"/>
          <a:extLst>
            <a:ext uri="{FF2B5EF4-FFF2-40B4-BE49-F238E27FC236}">
              <a16:creationId xmlns:a16="http://schemas.microsoft.com/office/drawing/2014/main" id="{246DA072-DD7F-4758-87AD-2FEA4C502A47}"/>
            </a:ext>
          </a:extLst>
        </xdr:cNvPr>
        <xdr:cNvSpPr txBox="1"/>
      </xdr:nvSpPr>
      <xdr:spPr>
        <a:xfrm>
          <a:off x="3154680" y="3259281"/>
          <a:ext cx="1836420" cy="2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n>
                <a:noFill/>
              </a:ln>
              <a:solidFill>
                <a:schemeClr val="tx1">
                  <a:lumMod val="65000"/>
                  <a:lumOff val="35000"/>
                </a:schemeClr>
              </a:solidFill>
              <a:latin typeface="Arial" panose="020B0604020202020204" pitchFamily="34" charset="0"/>
              <a:cs typeface="Arial" panose="020B0604020202020204" pitchFamily="34" charset="0"/>
            </a:rPr>
            <a:t>ESS</a:t>
          </a:r>
          <a:r>
            <a:rPr lang="en-IN" sz="1000" baseline="0">
              <a:ln>
                <a:noFill/>
              </a:ln>
              <a:solidFill>
                <a:schemeClr val="tx1">
                  <a:lumMod val="65000"/>
                  <a:lumOff val="35000"/>
                </a:schemeClr>
              </a:solidFill>
              <a:latin typeface="Arial" panose="020B0604020202020204" pitchFamily="34" charset="0"/>
              <a:cs typeface="Arial" panose="020B0604020202020204" pitchFamily="34" charset="0"/>
            </a:rPr>
            <a:t> Shipment Request</a:t>
          </a:r>
          <a:endParaRPr lang="en-IN" sz="1000">
            <a:ln>
              <a:noFill/>
            </a:ln>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6</xdr:col>
      <xdr:colOff>190500</xdr:colOff>
      <xdr:row>23</xdr:row>
      <xdr:rowOff>15241</xdr:rowOff>
    </xdr:from>
    <xdr:to>
      <xdr:col>10</xdr:col>
      <xdr:colOff>403860</xdr:colOff>
      <xdr:row>24</xdr:row>
      <xdr:rowOff>144781</xdr:rowOff>
    </xdr:to>
    <xdr:sp macro="" textlink="">
      <xdr:nvSpPr>
        <xdr:cNvPr id="126" name="Rectangle: Rounded Corners 125">
          <a:extLst>
            <a:ext uri="{FF2B5EF4-FFF2-40B4-BE49-F238E27FC236}">
              <a16:creationId xmlns:a16="http://schemas.microsoft.com/office/drawing/2014/main" id="{8E9EE4C1-C4AD-404A-87A4-303232A162FE}"/>
            </a:ext>
          </a:extLst>
        </xdr:cNvPr>
        <xdr:cNvSpPr/>
      </xdr:nvSpPr>
      <xdr:spPr>
        <a:xfrm>
          <a:off x="3848100" y="4221481"/>
          <a:ext cx="2651760" cy="312420"/>
        </a:xfrm>
        <a:prstGeom prst="roundRect">
          <a:avLst/>
        </a:prstGeom>
        <a:solidFill>
          <a:schemeClr val="tx1">
            <a:lumMod val="65000"/>
            <a:lumOff val="35000"/>
            <a:alpha val="1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tx1">
                  <a:lumMod val="75000"/>
                  <a:lumOff val="25000"/>
                </a:schemeClr>
              </a:solidFill>
            </a:rPr>
            <a:t>                 Shipment</a:t>
          </a:r>
          <a:r>
            <a:rPr lang="en-IN" sz="1200" baseline="0">
              <a:solidFill>
                <a:schemeClr val="tx1">
                  <a:lumMod val="75000"/>
                  <a:lumOff val="25000"/>
                </a:schemeClr>
              </a:solidFill>
            </a:rPr>
            <a:t> cost sub-items</a:t>
          </a:r>
          <a:endParaRPr lang="en-IN" sz="1200">
            <a:solidFill>
              <a:schemeClr val="tx1">
                <a:lumMod val="75000"/>
                <a:lumOff val="25000"/>
              </a:schemeClr>
            </a:solidFill>
          </a:endParaRPr>
        </a:p>
      </xdr:txBody>
    </xdr:sp>
    <xdr:clientData/>
  </xdr:twoCellAnchor>
  <xdr:twoCellAnchor>
    <xdr:from>
      <xdr:col>11</xdr:col>
      <xdr:colOff>106680</xdr:colOff>
      <xdr:row>23</xdr:row>
      <xdr:rowOff>7621</xdr:rowOff>
    </xdr:from>
    <xdr:to>
      <xdr:col>13</xdr:col>
      <xdr:colOff>342900</xdr:colOff>
      <xdr:row>24</xdr:row>
      <xdr:rowOff>137161</xdr:rowOff>
    </xdr:to>
    <xdr:sp macro="" textlink="">
      <xdr:nvSpPr>
        <xdr:cNvPr id="127" name="Rectangle: Rounded Corners 126">
          <a:extLst>
            <a:ext uri="{FF2B5EF4-FFF2-40B4-BE49-F238E27FC236}">
              <a16:creationId xmlns:a16="http://schemas.microsoft.com/office/drawing/2014/main" id="{B80964BE-FE1A-439E-BD98-ABEFCDD320A2}"/>
            </a:ext>
          </a:extLst>
        </xdr:cNvPr>
        <xdr:cNvSpPr/>
      </xdr:nvSpPr>
      <xdr:spPr>
        <a:xfrm>
          <a:off x="6812280" y="4213861"/>
          <a:ext cx="1455420" cy="312420"/>
        </a:xfrm>
        <a:prstGeom prst="roundRect">
          <a:avLst/>
        </a:prstGeom>
        <a:solidFill>
          <a:schemeClr val="tx1">
            <a:lumMod val="65000"/>
            <a:lumOff val="35000"/>
            <a:alpha val="1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lumMod val="75000"/>
                  <a:lumOff val="25000"/>
                </a:schemeClr>
              </a:solidFill>
            </a:rPr>
            <a:t>               </a:t>
          </a:r>
          <a:r>
            <a:rPr lang="en-IN" sz="1200">
              <a:solidFill>
                <a:schemeClr val="tx1">
                  <a:lumMod val="75000"/>
                  <a:lumOff val="25000"/>
                </a:schemeClr>
              </a:solidFill>
            </a:rPr>
            <a:t>ERE</a:t>
          </a:r>
          <a:r>
            <a:rPr lang="en-IN" sz="1200" baseline="0">
              <a:solidFill>
                <a:schemeClr val="tx1">
                  <a:lumMod val="75000"/>
                  <a:lumOff val="25000"/>
                </a:schemeClr>
              </a:solidFill>
            </a:rPr>
            <a:t> Stage</a:t>
          </a:r>
          <a:endParaRPr lang="en-IN" sz="1400">
            <a:solidFill>
              <a:schemeClr val="tx1">
                <a:lumMod val="75000"/>
                <a:lumOff val="25000"/>
              </a:schemeClr>
            </a:solidFill>
          </a:endParaRPr>
        </a:p>
      </xdr:txBody>
    </xdr:sp>
    <xdr:clientData/>
  </xdr:twoCellAnchor>
  <xdr:twoCellAnchor>
    <xdr:from>
      <xdr:col>14</xdr:col>
      <xdr:colOff>76200</xdr:colOff>
      <xdr:row>23</xdr:row>
      <xdr:rowOff>7621</xdr:rowOff>
    </xdr:from>
    <xdr:to>
      <xdr:col>16</xdr:col>
      <xdr:colOff>518160</xdr:colOff>
      <xdr:row>24</xdr:row>
      <xdr:rowOff>137161</xdr:rowOff>
    </xdr:to>
    <xdr:sp macro="" textlink="">
      <xdr:nvSpPr>
        <xdr:cNvPr id="129" name="Rectangle: Rounded Corners 128">
          <a:extLst>
            <a:ext uri="{FF2B5EF4-FFF2-40B4-BE49-F238E27FC236}">
              <a16:creationId xmlns:a16="http://schemas.microsoft.com/office/drawing/2014/main" id="{E0A07F31-B371-4B2B-98F9-57481790E08F}"/>
            </a:ext>
          </a:extLst>
        </xdr:cNvPr>
        <xdr:cNvSpPr/>
      </xdr:nvSpPr>
      <xdr:spPr>
        <a:xfrm>
          <a:off x="8610600" y="4213861"/>
          <a:ext cx="1661160" cy="312420"/>
        </a:xfrm>
        <a:prstGeom prst="roundRect">
          <a:avLst/>
        </a:prstGeom>
        <a:solidFill>
          <a:schemeClr val="tx1">
            <a:lumMod val="65000"/>
            <a:lumOff val="35000"/>
            <a:alpha val="1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lumMod val="75000"/>
                  <a:lumOff val="25000"/>
                </a:schemeClr>
              </a:solidFill>
            </a:rPr>
            <a:t>        </a:t>
          </a:r>
          <a:r>
            <a:rPr lang="en-IN" sz="1200">
              <a:solidFill>
                <a:schemeClr val="tx1">
                  <a:lumMod val="75000"/>
                  <a:lumOff val="25000"/>
                </a:schemeClr>
              </a:solidFill>
            </a:rPr>
            <a:t>Basic</a:t>
          </a:r>
          <a:r>
            <a:rPr lang="en-IN" sz="1200" baseline="0">
              <a:solidFill>
                <a:schemeClr val="tx1">
                  <a:lumMod val="75000"/>
                  <a:lumOff val="25000"/>
                </a:schemeClr>
              </a:solidFill>
            </a:rPr>
            <a:t> freight</a:t>
          </a:r>
          <a:endParaRPr lang="en-IN" sz="1400">
            <a:solidFill>
              <a:schemeClr val="tx1">
                <a:lumMod val="75000"/>
                <a:lumOff val="25000"/>
              </a:schemeClr>
            </a:solidFill>
          </a:endParaRPr>
        </a:p>
      </xdr:txBody>
    </xdr:sp>
    <xdr:clientData/>
  </xdr:twoCellAnchor>
  <xdr:twoCellAnchor>
    <xdr:from>
      <xdr:col>15</xdr:col>
      <xdr:colOff>434340</xdr:colOff>
      <xdr:row>19</xdr:row>
      <xdr:rowOff>160020</xdr:rowOff>
    </xdr:from>
    <xdr:to>
      <xdr:col>18</xdr:col>
      <xdr:colOff>242979</xdr:colOff>
      <xdr:row>21</xdr:row>
      <xdr:rowOff>132011</xdr:rowOff>
    </xdr:to>
    <xdr:sp macro="" textlink="">
      <xdr:nvSpPr>
        <xdr:cNvPr id="133" name="Rectangle: Rounded Corners 132">
          <a:extLst>
            <a:ext uri="{FF2B5EF4-FFF2-40B4-BE49-F238E27FC236}">
              <a16:creationId xmlns:a16="http://schemas.microsoft.com/office/drawing/2014/main" id="{67B47FCD-CEE3-4E4E-822C-ED1EB074315E}"/>
            </a:ext>
          </a:extLst>
        </xdr:cNvPr>
        <xdr:cNvSpPr/>
      </xdr:nvSpPr>
      <xdr:spPr>
        <a:xfrm>
          <a:off x="9578340" y="3634740"/>
          <a:ext cx="1637439" cy="337751"/>
        </a:xfrm>
        <a:prstGeom prst="roundRect">
          <a:avLst/>
        </a:prstGeom>
        <a:solidFill>
          <a:schemeClr val="tx1">
            <a:lumMod val="65000"/>
            <a:lumOff val="35000"/>
            <a:alpha val="1764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lumMod val="75000"/>
                  <a:lumOff val="25000"/>
                </a:schemeClr>
              </a:solidFill>
            </a:rPr>
            <a:t>                 </a:t>
          </a:r>
          <a:r>
            <a:rPr lang="en-IN" sz="1200">
              <a:solidFill>
                <a:schemeClr val="tx1">
                  <a:lumMod val="75000"/>
                  <a:lumOff val="25000"/>
                </a:schemeClr>
              </a:solidFill>
            </a:rPr>
            <a:t>Final</a:t>
          </a:r>
          <a:r>
            <a:rPr lang="en-IN" sz="1200" baseline="0">
              <a:solidFill>
                <a:schemeClr val="tx1">
                  <a:lumMod val="75000"/>
                  <a:lumOff val="25000"/>
                </a:schemeClr>
              </a:solidFill>
            </a:rPr>
            <a:t> Amount</a:t>
          </a:r>
          <a:endParaRPr lang="en-IN" sz="1400">
            <a:solidFill>
              <a:schemeClr val="tx1">
                <a:lumMod val="75000"/>
                <a:lumOff val="25000"/>
              </a:schemeClr>
            </a:solidFill>
          </a:endParaRPr>
        </a:p>
      </xdr:txBody>
    </xdr:sp>
    <xdr:clientData/>
  </xdr:twoCellAnchor>
  <xdr:twoCellAnchor>
    <xdr:from>
      <xdr:col>5</xdr:col>
      <xdr:colOff>190500</xdr:colOff>
      <xdr:row>19</xdr:row>
      <xdr:rowOff>144781</xdr:rowOff>
    </xdr:from>
    <xdr:to>
      <xdr:col>8</xdr:col>
      <xdr:colOff>413700</xdr:colOff>
      <xdr:row>21</xdr:row>
      <xdr:rowOff>103021</xdr:rowOff>
    </xdr:to>
    <xdr:sp macro="" textlink="">
      <xdr:nvSpPr>
        <xdr:cNvPr id="134" name="Rectangle: Rounded Corners 133">
          <a:extLst>
            <a:ext uri="{FF2B5EF4-FFF2-40B4-BE49-F238E27FC236}">
              <a16:creationId xmlns:a16="http://schemas.microsoft.com/office/drawing/2014/main" id="{F04C9EFF-ACD5-4D1E-999F-F391643765DF}"/>
            </a:ext>
          </a:extLst>
        </xdr:cNvPr>
        <xdr:cNvSpPr/>
      </xdr:nvSpPr>
      <xdr:spPr>
        <a:xfrm>
          <a:off x="3238500" y="3619501"/>
          <a:ext cx="2052000" cy="324000"/>
        </a:xfrm>
        <a:prstGeom prst="roundRect">
          <a:avLst/>
        </a:prstGeom>
        <a:solidFill>
          <a:schemeClr val="bg2">
            <a:lumMod val="50000"/>
            <a:alpha val="1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lumMod val="75000"/>
                  <a:lumOff val="25000"/>
                </a:schemeClr>
              </a:solidFill>
            </a:rPr>
            <a:t>                   </a:t>
          </a:r>
          <a:r>
            <a:rPr lang="en-IN" sz="1200">
              <a:solidFill>
                <a:schemeClr val="tx1">
                  <a:lumMod val="75000"/>
                  <a:lumOff val="25000"/>
                </a:schemeClr>
              </a:solidFill>
            </a:rPr>
            <a:t>First</a:t>
          </a:r>
          <a:r>
            <a:rPr lang="en-IN" sz="1200" baseline="0">
              <a:solidFill>
                <a:schemeClr val="tx1">
                  <a:lumMod val="75000"/>
                  <a:lumOff val="25000"/>
                </a:schemeClr>
              </a:solidFill>
            </a:rPr>
            <a:t> condition type</a:t>
          </a:r>
          <a:endParaRPr lang="en-IN" sz="1400">
            <a:solidFill>
              <a:schemeClr val="tx1">
                <a:lumMod val="75000"/>
                <a:lumOff val="25000"/>
              </a:schemeClr>
            </a:solidFill>
          </a:endParaRPr>
        </a:p>
      </xdr:txBody>
    </xdr:sp>
    <xdr:clientData/>
  </xdr:twoCellAnchor>
  <xdr:twoCellAnchor>
    <xdr:from>
      <xdr:col>5</xdr:col>
      <xdr:colOff>312420</xdr:colOff>
      <xdr:row>20</xdr:row>
      <xdr:rowOff>15313</xdr:rowOff>
    </xdr:from>
    <xdr:to>
      <xdr:col>6</xdr:col>
      <xdr:colOff>579120</xdr:colOff>
      <xdr:row>21</xdr:row>
      <xdr:rowOff>45720</xdr:rowOff>
    </xdr:to>
    <xdr:sp macro="" textlink="Pivottables!BX27">
      <xdr:nvSpPr>
        <xdr:cNvPr id="135" name="TextBox 134">
          <a:extLst>
            <a:ext uri="{FF2B5EF4-FFF2-40B4-BE49-F238E27FC236}">
              <a16:creationId xmlns:a16="http://schemas.microsoft.com/office/drawing/2014/main" id="{90712605-4E06-47FD-9D86-D99E32453568}"/>
            </a:ext>
          </a:extLst>
        </xdr:cNvPr>
        <xdr:cNvSpPr txBox="1"/>
      </xdr:nvSpPr>
      <xdr:spPr>
        <a:xfrm>
          <a:off x="3360420" y="367291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4D75C0A-676A-41E0-8E10-116723CF604D}" type="TxLink">
            <a:rPr lang="en-US" sz="1050" b="1" i="0" u="none" strike="noStrike">
              <a:ln>
                <a:noFill/>
              </a:ln>
              <a:solidFill>
                <a:srgbClr val="000000"/>
              </a:solidFill>
              <a:latin typeface="Aptos Narrow"/>
              <a:ea typeface="+mn-ea"/>
              <a:cs typeface="Arial" panose="020B0604020202020204" pitchFamily="34" charset="0"/>
            </a:rPr>
            <a:pPr marL="0" indent="0"/>
            <a:t>$46.671</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327660</xdr:colOff>
      <xdr:row>23</xdr:row>
      <xdr:rowOff>45793</xdr:rowOff>
    </xdr:from>
    <xdr:to>
      <xdr:col>7</xdr:col>
      <xdr:colOff>594360</xdr:colOff>
      <xdr:row>24</xdr:row>
      <xdr:rowOff>76200</xdr:rowOff>
    </xdr:to>
    <xdr:sp macro="" textlink="Pivottables!BY27">
      <xdr:nvSpPr>
        <xdr:cNvPr id="136" name="TextBox 135">
          <a:extLst>
            <a:ext uri="{FF2B5EF4-FFF2-40B4-BE49-F238E27FC236}">
              <a16:creationId xmlns:a16="http://schemas.microsoft.com/office/drawing/2014/main" id="{F16FE7B0-4374-4FA9-A3FA-A0EEF79A206D}"/>
            </a:ext>
          </a:extLst>
        </xdr:cNvPr>
        <xdr:cNvSpPr txBox="1"/>
      </xdr:nvSpPr>
      <xdr:spPr>
        <a:xfrm>
          <a:off x="3985260" y="425203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627CDD-2CC6-4701-8FD4-FDCB7A7AF422}" type="TxLink">
            <a:rPr lang="en-US" sz="1100" b="1" i="0" u="none" strike="noStrike">
              <a:ln>
                <a:noFill/>
              </a:ln>
              <a:solidFill>
                <a:srgbClr val="000000"/>
              </a:solidFill>
              <a:latin typeface="Aptos Narrow"/>
              <a:ea typeface="+mn-ea"/>
              <a:cs typeface="Arial" panose="020B0604020202020204" pitchFamily="34" charset="0"/>
            </a:rPr>
            <a:pPr marL="0" indent="0"/>
            <a:t>$71.811</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11</xdr:col>
      <xdr:colOff>182880</xdr:colOff>
      <xdr:row>23</xdr:row>
      <xdr:rowOff>53413</xdr:rowOff>
    </xdr:from>
    <xdr:to>
      <xdr:col>12</xdr:col>
      <xdr:colOff>449580</xdr:colOff>
      <xdr:row>24</xdr:row>
      <xdr:rowOff>83820</xdr:rowOff>
    </xdr:to>
    <xdr:sp macro="" textlink="Pivottables!BZ27">
      <xdr:nvSpPr>
        <xdr:cNvPr id="137" name="TextBox 136">
          <a:extLst>
            <a:ext uri="{FF2B5EF4-FFF2-40B4-BE49-F238E27FC236}">
              <a16:creationId xmlns:a16="http://schemas.microsoft.com/office/drawing/2014/main" id="{C2ADA572-FDC2-4B05-8030-8AF4F4BE8516}"/>
            </a:ext>
          </a:extLst>
        </xdr:cNvPr>
        <xdr:cNvSpPr txBox="1"/>
      </xdr:nvSpPr>
      <xdr:spPr>
        <a:xfrm>
          <a:off x="6888480" y="425965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76250D-4000-4BD6-9371-B13648A2C336}" type="TxLink">
            <a:rPr lang="en-US" sz="1100" b="1" i="0" u="none" strike="noStrike">
              <a:ln>
                <a:noFill/>
              </a:ln>
              <a:solidFill>
                <a:srgbClr val="000000"/>
              </a:solidFill>
              <a:latin typeface="Aptos Narrow"/>
              <a:ea typeface="+mn-ea"/>
              <a:cs typeface="Arial" panose="020B0604020202020204" pitchFamily="34" charset="0"/>
            </a:rPr>
            <a:pPr marL="0" indent="0"/>
            <a:t>$61.039</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14</xdr:col>
      <xdr:colOff>76200</xdr:colOff>
      <xdr:row>23</xdr:row>
      <xdr:rowOff>61033</xdr:rowOff>
    </xdr:from>
    <xdr:to>
      <xdr:col>15</xdr:col>
      <xdr:colOff>342900</xdr:colOff>
      <xdr:row>24</xdr:row>
      <xdr:rowOff>91440</xdr:rowOff>
    </xdr:to>
    <xdr:sp macro="" textlink="Pivottables!CA27">
      <xdr:nvSpPr>
        <xdr:cNvPr id="141" name="TextBox 140">
          <a:extLst>
            <a:ext uri="{FF2B5EF4-FFF2-40B4-BE49-F238E27FC236}">
              <a16:creationId xmlns:a16="http://schemas.microsoft.com/office/drawing/2014/main" id="{9BE28545-D893-4987-B0A0-AC0071B0D41D}"/>
            </a:ext>
          </a:extLst>
        </xdr:cNvPr>
        <xdr:cNvSpPr txBox="1"/>
      </xdr:nvSpPr>
      <xdr:spPr>
        <a:xfrm>
          <a:off x="8610600" y="426727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411A44-45AD-498E-945B-B3B36A9C894A}" type="TxLink">
            <a:rPr lang="en-US" sz="1100" b="1" i="0" u="none" strike="noStrike">
              <a:ln>
                <a:noFill/>
              </a:ln>
              <a:solidFill>
                <a:srgbClr val="000000"/>
              </a:solidFill>
              <a:latin typeface="Aptos Narrow"/>
              <a:ea typeface="+mn-ea"/>
              <a:cs typeface="Arial" panose="020B0604020202020204" pitchFamily="34" charset="0"/>
            </a:rPr>
            <a:pPr marL="0" indent="0"/>
            <a:t>$89.770</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15</xdr:col>
      <xdr:colOff>434340</xdr:colOff>
      <xdr:row>20</xdr:row>
      <xdr:rowOff>30553</xdr:rowOff>
    </xdr:from>
    <xdr:to>
      <xdr:col>17</xdr:col>
      <xdr:colOff>91440</xdr:colOff>
      <xdr:row>21</xdr:row>
      <xdr:rowOff>60960</xdr:rowOff>
    </xdr:to>
    <xdr:sp macro="" textlink="Pivottables!CB27">
      <xdr:nvSpPr>
        <xdr:cNvPr id="163" name="TextBox 162">
          <a:extLst>
            <a:ext uri="{FF2B5EF4-FFF2-40B4-BE49-F238E27FC236}">
              <a16:creationId xmlns:a16="http://schemas.microsoft.com/office/drawing/2014/main" id="{8387B3C4-0F7E-4A85-B87A-B9B366012FDF}"/>
            </a:ext>
          </a:extLst>
        </xdr:cNvPr>
        <xdr:cNvSpPr txBox="1"/>
      </xdr:nvSpPr>
      <xdr:spPr>
        <a:xfrm>
          <a:off x="9578340" y="368815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9CE1FFF-6460-4F9E-B54A-6B793E681184}" type="TxLink">
            <a:rPr lang="en-US" sz="1100" b="1" i="0" u="none" strike="noStrike">
              <a:ln>
                <a:noFill/>
              </a:ln>
              <a:solidFill>
                <a:srgbClr val="000000"/>
              </a:solidFill>
              <a:latin typeface="Aptos Narrow"/>
              <a:ea typeface="+mn-ea"/>
              <a:cs typeface="Arial" panose="020B0604020202020204" pitchFamily="34" charset="0"/>
            </a:rPr>
            <a:pPr marL="0" indent="0"/>
            <a:t>$107.713</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11</xdr:col>
      <xdr:colOff>220980</xdr:colOff>
      <xdr:row>19</xdr:row>
      <xdr:rowOff>173181</xdr:rowOff>
    </xdr:from>
    <xdr:to>
      <xdr:col>13</xdr:col>
      <xdr:colOff>487680</xdr:colOff>
      <xdr:row>21</xdr:row>
      <xdr:rowOff>99060</xdr:rowOff>
    </xdr:to>
    <xdr:sp macro="" textlink="">
      <xdr:nvSpPr>
        <xdr:cNvPr id="166" name="TextBox 165">
          <a:extLst>
            <a:ext uri="{FF2B5EF4-FFF2-40B4-BE49-F238E27FC236}">
              <a16:creationId xmlns:a16="http://schemas.microsoft.com/office/drawing/2014/main" id="{2689E020-E451-41E4-8BB5-3A5F475B408C}"/>
            </a:ext>
          </a:extLst>
        </xdr:cNvPr>
        <xdr:cNvSpPr txBox="1"/>
      </xdr:nvSpPr>
      <xdr:spPr>
        <a:xfrm>
          <a:off x="6926580" y="3647901"/>
          <a:ext cx="1485900" cy="291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n>
                <a:noFill/>
              </a:ln>
              <a:solidFill>
                <a:schemeClr val="tx1"/>
              </a:solidFill>
              <a:latin typeface="Arial" panose="020B0604020202020204" pitchFamily="34" charset="0"/>
              <a:cs typeface="Arial" panose="020B0604020202020204" pitchFamily="34" charset="0"/>
            </a:rPr>
            <a:t>Pricing</a:t>
          </a:r>
          <a:r>
            <a:rPr lang="en-IN" sz="1000" b="1" baseline="0">
              <a:ln>
                <a:noFill/>
              </a:ln>
              <a:solidFill>
                <a:schemeClr val="tx1"/>
              </a:solidFill>
              <a:latin typeface="Arial" panose="020B0604020202020204" pitchFamily="34" charset="0"/>
              <a:cs typeface="Arial" panose="020B0604020202020204" pitchFamily="34" charset="0"/>
            </a:rPr>
            <a:t> Procedure</a:t>
          </a:r>
          <a:endParaRPr lang="en-IN" sz="1000" b="1">
            <a:ln>
              <a:noFill/>
            </a:ln>
            <a:solidFill>
              <a:schemeClr val="tx1"/>
            </a:solidFill>
            <a:latin typeface="Arial" panose="020B0604020202020204" pitchFamily="34" charset="0"/>
            <a:cs typeface="Arial" panose="020B0604020202020204" pitchFamily="34" charset="0"/>
          </a:endParaRPr>
        </a:p>
      </xdr:txBody>
    </xdr:sp>
    <xdr:clientData/>
  </xdr:twoCellAnchor>
  <xdr:twoCellAnchor>
    <xdr:from>
      <xdr:col>11</xdr:col>
      <xdr:colOff>144780</xdr:colOff>
      <xdr:row>19</xdr:row>
      <xdr:rowOff>144780</xdr:rowOff>
    </xdr:from>
    <xdr:to>
      <xdr:col>11</xdr:col>
      <xdr:colOff>304800</xdr:colOff>
      <xdr:row>20</xdr:row>
      <xdr:rowOff>129540</xdr:rowOff>
    </xdr:to>
    <xdr:grpSp>
      <xdr:nvGrpSpPr>
        <xdr:cNvPr id="173" name="Group 172">
          <a:extLst>
            <a:ext uri="{FF2B5EF4-FFF2-40B4-BE49-F238E27FC236}">
              <a16:creationId xmlns:a16="http://schemas.microsoft.com/office/drawing/2014/main" id="{8B615A9D-E000-6B88-A56B-9C6D5407E4D1}"/>
            </a:ext>
          </a:extLst>
        </xdr:cNvPr>
        <xdr:cNvGrpSpPr/>
      </xdr:nvGrpSpPr>
      <xdr:grpSpPr>
        <a:xfrm>
          <a:off x="6896947" y="3764280"/>
          <a:ext cx="160020" cy="175260"/>
          <a:chOff x="6995160" y="3299460"/>
          <a:chExt cx="449580" cy="449580"/>
        </a:xfrm>
      </xdr:grpSpPr>
      <xdr:cxnSp macro="">
        <xdr:nvCxnSpPr>
          <xdr:cNvPr id="169" name="Straight Connector 168">
            <a:extLst>
              <a:ext uri="{FF2B5EF4-FFF2-40B4-BE49-F238E27FC236}">
                <a16:creationId xmlns:a16="http://schemas.microsoft.com/office/drawing/2014/main" id="{D2DA3CEC-8CA2-4DC9-3D5E-B07C8985C96D}"/>
              </a:ext>
            </a:extLst>
          </xdr:cNvPr>
          <xdr:cNvCxnSpPr/>
        </xdr:nvCxnSpPr>
        <xdr:spPr>
          <a:xfrm rot="5400000" flipV="1">
            <a:off x="6789420" y="3520440"/>
            <a:ext cx="449580" cy="7620"/>
          </a:xfrm>
          <a:prstGeom prst="line">
            <a:avLst/>
          </a:prstGeom>
          <a:ln>
            <a:solidFill>
              <a:schemeClr val="bg2">
                <a:lumMod val="75000"/>
              </a:schemeClr>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xnSp macro="">
        <xdr:nvCxnSpPr>
          <xdr:cNvPr id="172" name="Straight Connector 171">
            <a:extLst>
              <a:ext uri="{FF2B5EF4-FFF2-40B4-BE49-F238E27FC236}">
                <a16:creationId xmlns:a16="http://schemas.microsoft.com/office/drawing/2014/main" id="{39BBA752-8AB0-4E5E-9A16-AB52C56FFACE}"/>
              </a:ext>
            </a:extLst>
          </xdr:cNvPr>
          <xdr:cNvCxnSpPr/>
        </xdr:nvCxnSpPr>
        <xdr:spPr>
          <a:xfrm rot="10800000" flipV="1">
            <a:off x="6995160" y="3307080"/>
            <a:ext cx="449580" cy="7620"/>
          </a:xfrm>
          <a:prstGeom prst="line">
            <a:avLst/>
          </a:prstGeom>
          <a:ln>
            <a:solidFill>
              <a:schemeClr val="bg2">
                <a:lumMod val="75000"/>
              </a:schemeClr>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xdr:col>
      <xdr:colOff>144780</xdr:colOff>
      <xdr:row>20</xdr:row>
      <xdr:rowOff>114300</xdr:rowOff>
    </xdr:from>
    <xdr:to>
      <xdr:col>13</xdr:col>
      <xdr:colOff>304800</xdr:colOff>
      <xdr:row>21</xdr:row>
      <xdr:rowOff>99060</xdr:rowOff>
    </xdr:to>
    <xdr:grpSp>
      <xdr:nvGrpSpPr>
        <xdr:cNvPr id="175" name="Group 174">
          <a:extLst>
            <a:ext uri="{FF2B5EF4-FFF2-40B4-BE49-F238E27FC236}">
              <a16:creationId xmlns:a16="http://schemas.microsoft.com/office/drawing/2014/main" id="{B1D93DD8-1187-434A-AD7C-CB24631EA276}"/>
            </a:ext>
          </a:extLst>
        </xdr:cNvPr>
        <xdr:cNvGrpSpPr/>
      </xdr:nvGrpSpPr>
      <xdr:grpSpPr>
        <a:xfrm rot="10800000">
          <a:off x="8124613" y="3924300"/>
          <a:ext cx="160020" cy="175260"/>
          <a:chOff x="6995160" y="3299460"/>
          <a:chExt cx="449580" cy="449580"/>
        </a:xfrm>
      </xdr:grpSpPr>
      <xdr:cxnSp macro="">
        <xdr:nvCxnSpPr>
          <xdr:cNvPr id="176" name="Straight Connector 175">
            <a:extLst>
              <a:ext uri="{FF2B5EF4-FFF2-40B4-BE49-F238E27FC236}">
                <a16:creationId xmlns:a16="http://schemas.microsoft.com/office/drawing/2014/main" id="{BAB7D6E1-B24F-EC29-784D-A6D54B97A9C7}"/>
              </a:ext>
            </a:extLst>
          </xdr:cNvPr>
          <xdr:cNvCxnSpPr/>
        </xdr:nvCxnSpPr>
        <xdr:spPr>
          <a:xfrm rot="5400000" flipV="1">
            <a:off x="6789420" y="3520440"/>
            <a:ext cx="449580" cy="7620"/>
          </a:xfrm>
          <a:prstGeom prst="line">
            <a:avLst/>
          </a:prstGeom>
          <a:ln>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xnSp macro="">
        <xdr:nvCxnSpPr>
          <xdr:cNvPr id="177" name="Straight Connector 176">
            <a:extLst>
              <a:ext uri="{FF2B5EF4-FFF2-40B4-BE49-F238E27FC236}">
                <a16:creationId xmlns:a16="http://schemas.microsoft.com/office/drawing/2014/main" id="{6B15AEDD-64CE-05FE-E42D-0E1D2A5BA520}"/>
              </a:ext>
            </a:extLst>
          </xdr:cNvPr>
          <xdr:cNvCxnSpPr/>
        </xdr:nvCxnSpPr>
        <xdr:spPr>
          <a:xfrm rot="10800000" flipV="1">
            <a:off x="6995160" y="3307080"/>
            <a:ext cx="449580" cy="7620"/>
          </a:xfrm>
          <a:prstGeom prst="line">
            <a:avLst/>
          </a:prstGeom>
          <a:ln>
            <a:solidFill>
              <a:schemeClr val="bg2">
                <a:lumMod val="75000"/>
              </a:schemeClr>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525780</xdr:colOff>
      <xdr:row>18</xdr:row>
      <xdr:rowOff>152400</xdr:rowOff>
    </xdr:from>
    <xdr:to>
      <xdr:col>5</xdr:col>
      <xdr:colOff>533400</xdr:colOff>
      <xdr:row>19</xdr:row>
      <xdr:rowOff>149520</xdr:rowOff>
    </xdr:to>
    <xdr:cxnSp macro="">
      <xdr:nvCxnSpPr>
        <xdr:cNvPr id="179" name="Straight Connector 178">
          <a:extLst>
            <a:ext uri="{FF2B5EF4-FFF2-40B4-BE49-F238E27FC236}">
              <a16:creationId xmlns:a16="http://schemas.microsoft.com/office/drawing/2014/main" id="{C6965AAC-5AB8-D2C9-67FF-2C8D0748D92B}"/>
            </a:ext>
          </a:extLst>
        </xdr:cNvPr>
        <xdr:cNvCxnSpPr/>
      </xdr:nvCxnSpPr>
      <xdr:spPr>
        <a:xfrm flipH="1">
          <a:off x="3573780" y="3444240"/>
          <a:ext cx="7620" cy="180000"/>
        </a:xfrm>
        <a:prstGeom prst="line">
          <a:avLst/>
        </a:prstGeom>
        <a:ln>
          <a:solidFill>
            <a:srgbClr val="3849AB"/>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533403</xdr:colOff>
      <xdr:row>21</xdr:row>
      <xdr:rowOff>99063</xdr:rowOff>
    </xdr:from>
    <xdr:to>
      <xdr:col>6</xdr:col>
      <xdr:colOff>182881</xdr:colOff>
      <xdr:row>24</xdr:row>
      <xdr:rowOff>3811</xdr:rowOff>
    </xdr:to>
    <xdr:cxnSp macro="">
      <xdr:nvCxnSpPr>
        <xdr:cNvPr id="189" name="Connector: Curved 188">
          <a:extLst>
            <a:ext uri="{FF2B5EF4-FFF2-40B4-BE49-F238E27FC236}">
              <a16:creationId xmlns:a16="http://schemas.microsoft.com/office/drawing/2014/main" id="{3C138E57-5F87-3E26-0DD0-9DACC28ABC7E}"/>
            </a:ext>
          </a:extLst>
        </xdr:cNvPr>
        <xdr:cNvCxnSpPr/>
      </xdr:nvCxnSpPr>
      <xdr:spPr>
        <a:xfrm rot="16200000" flipH="1">
          <a:off x="3484248" y="4036698"/>
          <a:ext cx="453388" cy="259078"/>
        </a:xfrm>
        <a:prstGeom prst="curvedConnector3">
          <a:avLst>
            <a:gd name="adj1" fmla="val 97059"/>
          </a:avLst>
        </a:prstGeom>
        <a:ln>
          <a:solidFill>
            <a:srgbClr val="3849AB"/>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403860</xdr:colOff>
      <xdr:row>23</xdr:row>
      <xdr:rowOff>163831</xdr:rowOff>
    </xdr:from>
    <xdr:to>
      <xdr:col>11</xdr:col>
      <xdr:colOff>106680</xdr:colOff>
      <xdr:row>23</xdr:row>
      <xdr:rowOff>171451</xdr:rowOff>
    </xdr:to>
    <xdr:cxnSp macro="">
      <xdr:nvCxnSpPr>
        <xdr:cNvPr id="199" name="Straight Arrow Connector 198">
          <a:extLst>
            <a:ext uri="{FF2B5EF4-FFF2-40B4-BE49-F238E27FC236}">
              <a16:creationId xmlns:a16="http://schemas.microsoft.com/office/drawing/2014/main" id="{F76388EB-B509-D1A8-04FC-7BB31CD2E97C}"/>
            </a:ext>
          </a:extLst>
        </xdr:cNvPr>
        <xdr:cNvCxnSpPr>
          <a:stCxn id="126" idx="3"/>
          <a:endCxn id="127" idx="1"/>
        </xdr:cNvCxnSpPr>
      </xdr:nvCxnSpPr>
      <xdr:spPr>
        <a:xfrm flipV="1">
          <a:off x="6499860" y="4370071"/>
          <a:ext cx="312420" cy="7620"/>
        </a:xfrm>
        <a:prstGeom prst="straightConnector1">
          <a:avLst/>
        </a:prstGeom>
        <a:ln>
          <a:solidFill>
            <a:srgbClr val="3849AB"/>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342900</xdr:colOff>
      <xdr:row>23</xdr:row>
      <xdr:rowOff>163831</xdr:rowOff>
    </xdr:from>
    <xdr:to>
      <xdr:col>14</xdr:col>
      <xdr:colOff>76200</xdr:colOff>
      <xdr:row>23</xdr:row>
      <xdr:rowOff>163831</xdr:rowOff>
    </xdr:to>
    <xdr:cxnSp macro="">
      <xdr:nvCxnSpPr>
        <xdr:cNvPr id="201" name="Straight Arrow Connector 200">
          <a:extLst>
            <a:ext uri="{FF2B5EF4-FFF2-40B4-BE49-F238E27FC236}">
              <a16:creationId xmlns:a16="http://schemas.microsoft.com/office/drawing/2014/main" id="{F9205C1E-CD87-4DC9-8DC9-35FF37A90053}"/>
            </a:ext>
          </a:extLst>
        </xdr:cNvPr>
        <xdr:cNvCxnSpPr>
          <a:stCxn id="127" idx="3"/>
          <a:endCxn id="129" idx="1"/>
        </xdr:cNvCxnSpPr>
      </xdr:nvCxnSpPr>
      <xdr:spPr>
        <a:xfrm>
          <a:off x="8267700" y="4370071"/>
          <a:ext cx="342900" cy="0"/>
        </a:xfrm>
        <a:prstGeom prst="straightConnector1">
          <a:avLst/>
        </a:prstGeom>
        <a:ln>
          <a:solidFill>
            <a:srgbClr val="3849AB"/>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520068</xdr:colOff>
      <xdr:row>21</xdr:row>
      <xdr:rowOff>114300</xdr:rowOff>
    </xdr:from>
    <xdr:to>
      <xdr:col>17</xdr:col>
      <xdr:colOff>388620</xdr:colOff>
      <xdr:row>23</xdr:row>
      <xdr:rowOff>150496</xdr:rowOff>
    </xdr:to>
    <xdr:cxnSp macro="">
      <xdr:nvCxnSpPr>
        <xdr:cNvPr id="212" name="Connector: Curved 211">
          <a:extLst>
            <a:ext uri="{FF2B5EF4-FFF2-40B4-BE49-F238E27FC236}">
              <a16:creationId xmlns:a16="http://schemas.microsoft.com/office/drawing/2014/main" id="{87491ED3-C34B-4B13-88C5-4E50186F1F06}"/>
            </a:ext>
          </a:extLst>
        </xdr:cNvPr>
        <xdr:cNvCxnSpPr/>
      </xdr:nvCxnSpPr>
      <xdr:spPr>
        <a:xfrm flipV="1">
          <a:off x="10273668" y="3954780"/>
          <a:ext cx="478152" cy="401956"/>
        </a:xfrm>
        <a:prstGeom prst="curvedConnector3">
          <a:avLst>
            <a:gd name="adj1" fmla="val 104184"/>
          </a:avLst>
        </a:prstGeom>
        <a:ln>
          <a:solidFill>
            <a:srgbClr val="3849AB"/>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423420</xdr:colOff>
      <xdr:row>28</xdr:row>
      <xdr:rowOff>148315</xdr:rowOff>
    </xdr:from>
    <xdr:to>
      <xdr:col>9</xdr:col>
      <xdr:colOff>532379</xdr:colOff>
      <xdr:row>40</xdr:row>
      <xdr:rowOff>33623</xdr:rowOff>
    </xdr:to>
    <mc:AlternateContent xmlns:mc="http://schemas.openxmlformats.org/markup-compatibility/2006">
      <mc:Choice xmlns:cx4="http://schemas.microsoft.com/office/drawing/2016/5/10/chartex" Requires="cx4">
        <xdr:graphicFrame macro="">
          <xdr:nvGraphicFramePr>
            <xdr:cNvPr id="216" name="Chart 215">
              <a:extLst>
                <a:ext uri="{FF2B5EF4-FFF2-40B4-BE49-F238E27FC236}">
                  <a16:creationId xmlns:a16="http://schemas.microsoft.com/office/drawing/2014/main" id="{22DB503D-B495-45DA-A528-8DD6B46948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471420" y="5482315"/>
              <a:ext cx="2547359" cy="2171308"/>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118464</xdr:colOff>
      <xdr:row>26</xdr:row>
      <xdr:rowOff>54120</xdr:rowOff>
    </xdr:from>
    <xdr:to>
      <xdr:col>7</xdr:col>
      <xdr:colOff>209903</xdr:colOff>
      <xdr:row>27</xdr:row>
      <xdr:rowOff>168767</xdr:rowOff>
    </xdr:to>
    <xdr:sp macro="" textlink="#REF!">
      <xdr:nvSpPr>
        <xdr:cNvPr id="217" name="TextBox 216">
          <a:extLst>
            <a:ext uri="{FF2B5EF4-FFF2-40B4-BE49-F238E27FC236}">
              <a16:creationId xmlns:a16="http://schemas.microsoft.com/office/drawing/2014/main" id="{22DBC074-0851-40A7-80FC-FA7CD94D1055}"/>
            </a:ext>
          </a:extLst>
        </xdr:cNvPr>
        <xdr:cNvSpPr txBox="1"/>
      </xdr:nvSpPr>
      <xdr:spPr>
        <a:xfrm>
          <a:off x="3182175" y="4751811"/>
          <a:ext cx="1316924" cy="295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Destination</a:t>
          </a:r>
        </a:p>
      </xdr:txBody>
    </xdr:sp>
    <xdr:clientData/>
  </xdr:twoCellAnchor>
  <xdr:twoCellAnchor>
    <xdr:from>
      <xdr:col>5</xdr:col>
      <xdr:colOff>214461</xdr:colOff>
      <xdr:row>27</xdr:row>
      <xdr:rowOff>96704</xdr:rowOff>
    </xdr:from>
    <xdr:to>
      <xdr:col>6</xdr:col>
      <xdr:colOff>438582</xdr:colOff>
      <xdr:row>28</xdr:row>
      <xdr:rowOff>180523</xdr:rowOff>
    </xdr:to>
    <xdr:sp macro="" textlink="Pivottables!CJ10">
      <xdr:nvSpPr>
        <xdr:cNvPr id="218" name="TextBox 217">
          <a:extLst>
            <a:ext uri="{FF2B5EF4-FFF2-40B4-BE49-F238E27FC236}">
              <a16:creationId xmlns:a16="http://schemas.microsoft.com/office/drawing/2014/main" id="{AC9C3C9C-8D1D-47B9-897C-8111C34407B6}"/>
            </a:ext>
          </a:extLst>
        </xdr:cNvPr>
        <xdr:cNvSpPr txBox="1"/>
      </xdr:nvSpPr>
      <xdr:spPr>
        <a:xfrm>
          <a:off x="3278172" y="4975075"/>
          <a:ext cx="836864" cy="26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89FE71-B544-40BA-B3E0-9CAB9C821262}" type="TxLink">
            <a:rPr lang="en-US" sz="1100" b="1" i="0" u="none" strike="noStrike">
              <a:solidFill>
                <a:srgbClr val="3849AB"/>
              </a:solidFill>
              <a:latin typeface="Aptos Narrow"/>
            </a:rPr>
            <a:pPr/>
            <a:t>61</a:t>
          </a:fld>
          <a:endParaRPr lang="en-IN" sz="1100">
            <a:solidFill>
              <a:srgbClr val="3849AB"/>
            </a:solidFill>
          </a:endParaRPr>
        </a:p>
      </xdr:txBody>
    </xdr:sp>
    <xdr:clientData/>
  </xdr:twoCellAnchor>
  <xdr:twoCellAnchor editAs="oneCell">
    <xdr:from>
      <xdr:col>24</xdr:col>
      <xdr:colOff>335280</xdr:colOff>
      <xdr:row>0</xdr:row>
      <xdr:rowOff>0</xdr:rowOff>
    </xdr:from>
    <xdr:to>
      <xdr:col>25</xdr:col>
      <xdr:colOff>579120</xdr:colOff>
      <xdr:row>4</xdr:row>
      <xdr:rowOff>84864</xdr:rowOff>
    </xdr:to>
    <xdr:pic>
      <xdr:nvPicPr>
        <xdr:cNvPr id="233" name="Picture 232">
          <a:extLst>
            <a:ext uri="{FF2B5EF4-FFF2-40B4-BE49-F238E27FC236}">
              <a16:creationId xmlns:a16="http://schemas.microsoft.com/office/drawing/2014/main" id="{4D21EB2E-EDEA-B802-E63C-061C6966C84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746480" y="0"/>
          <a:ext cx="853440" cy="816384"/>
        </a:xfrm>
        <a:prstGeom prst="rect">
          <a:avLst/>
        </a:prstGeom>
        <a:ln>
          <a:noFill/>
        </a:ln>
      </xdr:spPr>
    </xdr:pic>
    <xdr:clientData/>
  </xdr:twoCellAnchor>
  <xdr:twoCellAnchor>
    <xdr:from>
      <xdr:col>5</xdr:col>
      <xdr:colOff>384615</xdr:colOff>
      <xdr:row>27</xdr:row>
      <xdr:rowOff>95996</xdr:rowOff>
    </xdr:from>
    <xdr:to>
      <xdr:col>7</xdr:col>
      <xdr:colOff>117836</xdr:colOff>
      <xdr:row>28</xdr:row>
      <xdr:rowOff>125690</xdr:rowOff>
    </xdr:to>
    <xdr:sp macro="" textlink="">
      <xdr:nvSpPr>
        <xdr:cNvPr id="225" name="TextBox 224">
          <a:extLst>
            <a:ext uri="{FF2B5EF4-FFF2-40B4-BE49-F238E27FC236}">
              <a16:creationId xmlns:a16="http://schemas.microsoft.com/office/drawing/2014/main" id="{E7841493-9AE2-47B7-8BA2-C9C9EBEDF368}"/>
            </a:ext>
          </a:extLst>
        </xdr:cNvPr>
        <xdr:cNvSpPr txBox="1"/>
      </xdr:nvSpPr>
      <xdr:spPr>
        <a:xfrm>
          <a:off x="3448326" y="4974367"/>
          <a:ext cx="958706" cy="210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3849AB"/>
              </a:solidFill>
            </a:rPr>
            <a:t>Destination</a:t>
          </a:r>
        </a:p>
      </xdr:txBody>
    </xdr:sp>
    <xdr:clientData/>
  </xdr:twoCellAnchor>
  <xdr:twoCellAnchor editAs="oneCell">
    <xdr:from>
      <xdr:col>0</xdr:col>
      <xdr:colOff>137160</xdr:colOff>
      <xdr:row>0</xdr:row>
      <xdr:rowOff>0</xdr:rowOff>
    </xdr:from>
    <xdr:to>
      <xdr:col>1</xdr:col>
      <xdr:colOff>476250</xdr:colOff>
      <xdr:row>4</xdr:row>
      <xdr:rowOff>42190</xdr:rowOff>
    </xdr:to>
    <xdr:pic>
      <xdr:nvPicPr>
        <xdr:cNvPr id="236" name="Picture 235">
          <a:extLst>
            <a:ext uri="{FF2B5EF4-FFF2-40B4-BE49-F238E27FC236}">
              <a16:creationId xmlns:a16="http://schemas.microsoft.com/office/drawing/2014/main" id="{AE298619-6C4A-EF70-E506-457C11C9912B}"/>
            </a:ext>
          </a:extLst>
        </xdr:cNvPr>
        <xdr:cNvPicPr>
          <a:picLocks noChangeAspect="1"/>
        </xdr:cNvPicPr>
      </xdr:nvPicPr>
      <xdr:blipFill>
        <a:blip xmlns:r="http://schemas.openxmlformats.org/officeDocument/2006/relationships" r:embed="rId7" cstate="print">
          <a:biLevel thresh="75000"/>
          <a:extLst>
            <a:ext uri="{28A0092B-C50C-407E-A947-70E740481C1C}">
              <a14:useLocalDpi xmlns:a14="http://schemas.microsoft.com/office/drawing/2010/main" val="0"/>
            </a:ext>
          </a:extLst>
        </a:blip>
        <a:stretch>
          <a:fillRect/>
        </a:stretch>
      </xdr:blipFill>
      <xdr:spPr>
        <a:xfrm>
          <a:off x="137160" y="0"/>
          <a:ext cx="948690" cy="773710"/>
        </a:xfrm>
        <a:prstGeom prst="rect">
          <a:avLst/>
        </a:prstGeom>
      </xdr:spPr>
    </xdr:pic>
    <xdr:clientData/>
  </xdr:twoCellAnchor>
  <xdr:twoCellAnchor editAs="oneCell">
    <xdr:from>
      <xdr:col>7</xdr:col>
      <xdr:colOff>274320</xdr:colOff>
      <xdr:row>0</xdr:row>
      <xdr:rowOff>142426</xdr:rowOff>
    </xdr:from>
    <xdr:to>
      <xdr:col>8</xdr:col>
      <xdr:colOff>405765</xdr:colOff>
      <xdr:row>3</xdr:row>
      <xdr:rowOff>101579</xdr:rowOff>
    </xdr:to>
    <xdr:pic>
      <xdr:nvPicPr>
        <xdr:cNvPr id="238" name="Picture 237">
          <a:extLst>
            <a:ext uri="{FF2B5EF4-FFF2-40B4-BE49-F238E27FC236}">
              <a16:creationId xmlns:a16="http://schemas.microsoft.com/office/drawing/2014/main" id="{6C5AA7C0-7D91-9485-723B-4C9E419C68C4}"/>
            </a:ext>
          </a:extLst>
        </xdr:cNvPr>
        <xdr:cNvPicPr>
          <a:picLocks noChangeAspect="1"/>
        </xdr:cNvPicPr>
      </xdr:nvPicPr>
      <xdr:blipFill rotWithShape="1">
        <a:blip xmlns:r="http://schemas.openxmlformats.org/officeDocument/2006/relationships" r:embed="rId8" cstate="print">
          <a:duotone>
            <a:prstClr val="black"/>
            <a:schemeClr val="accent4">
              <a:tint val="45000"/>
              <a:satMod val="400000"/>
            </a:schemeClr>
          </a:duotone>
          <a:extLst>
            <a:ext uri="{28A0092B-C50C-407E-A947-70E740481C1C}">
              <a14:useLocalDpi xmlns:a14="http://schemas.microsoft.com/office/drawing/2010/main" val="0"/>
            </a:ext>
          </a:extLst>
        </a:blip>
        <a:srcRect b="36493"/>
        <a:stretch/>
      </xdr:blipFill>
      <xdr:spPr>
        <a:xfrm>
          <a:off x="4541520" y="142426"/>
          <a:ext cx="741045" cy="507793"/>
        </a:xfrm>
        <a:prstGeom prst="rect">
          <a:avLst/>
        </a:prstGeom>
      </xdr:spPr>
    </xdr:pic>
    <xdr:clientData/>
  </xdr:twoCellAnchor>
  <xdr:twoCellAnchor editAs="oneCell">
    <xdr:from>
      <xdr:col>14</xdr:col>
      <xdr:colOff>472440</xdr:colOff>
      <xdr:row>0</xdr:row>
      <xdr:rowOff>127186</xdr:rowOff>
    </xdr:from>
    <xdr:to>
      <xdr:col>15</xdr:col>
      <xdr:colOff>603885</xdr:colOff>
      <xdr:row>3</xdr:row>
      <xdr:rowOff>86339</xdr:rowOff>
    </xdr:to>
    <xdr:pic>
      <xdr:nvPicPr>
        <xdr:cNvPr id="239" name="Picture 238">
          <a:extLst>
            <a:ext uri="{FF2B5EF4-FFF2-40B4-BE49-F238E27FC236}">
              <a16:creationId xmlns:a16="http://schemas.microsoft.com/office/drawing/2014/main" id="{CA298AEE-EC76-4310-8467-4A4A150EE765}"/>
            </a:ext>
          </a:extLst>
        </xdr:cNvPr>
        <xdr:cNvPicPr>
          <a:picLocks noChangeAspect="1"/>
        </xdr:cNvPicPr>
      </xdr:nvPicPr>
      <xdr:blipFill rotWithShape="1">
        <a:blip xmlns:r="http://schemas.openxmlformats.org/officeDocument/2006/relationships" r:embed="rId8" cstate="print">
          <a:duotone>
            <a:prstClr val="black"/>
            <a:schemeClr val="accent4">
              <a:tint val="45000"/>
              <a:satMod val="400000"/>
            </a:schemeClr>
          </a:duotone>
          <a:extLst>
            <a:ext uri="{28A0092B-C50C-407E-A947-70E740481C1C}">
              <a14:useLocalDpi xmlns:a14="http://schemas.microsoft.com/office/drawing/2010/main" val="0"/>
            </a:ext>
          </a:extLst>
        </a:blip>
        <a:srcRect b="36493"/>
        <a:stretch/>
      </xdr:blipFill>
      <xdr:spPr>
        <a:xfrm>
          <a:off x="9006840" y="127186"/>
          <a:ext cx="741045" cy="507793"/>
        </a:xfrm>
        <a:prstGeom prst="rect">
          <a:avLst/>
        </a:prstGeom>
      </xdr:spPr>
    </xdr:pic>
    <xdr:clientData/>
  </xdr:twoCellAnchor>
  <xdr:twoCellAnchor editAs="oneCell">
    <xdr:from>
      <xdr:col>19</xdr:col>
      <xdr:colOff>397934</xdr:colOff>
      <xdr:row>3</xdr:row>
      <xdr:rowOff>162865</xdr:rowOff>
    </xdr:from>
    <xdr:to>
      <xdr:col>24</xdr:col>
      <xdr:colOff>324274</xdr:colOff>
      <xdr:row>8</xdr:row>
      <xdr:rowOff>87018</xdr:rowOff>
    </xdr:to>
    <xdr:pic>
      <xdr:nvPicPr>
        <xdr:cNvPr id="241" name="Picture 240">
          <a:extLst>
            <a:ext uri="{FF2B5EF4-FFF2-40B4-BE49-F238E27FC236}">
              <a16:creationId xmlns:a16="http://schemas.microsoft.com/office/drawing/2014/main" id="{C9C18F91-2582-C3F1-2E77-C17207D310E1}"/>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2707"/>
        <a:stretch/>
      </xdr:blipFill>
      <xdr:spPr>
        <a:xfrm>
          <a:off x="11980334" y="721665"/>
          <a:ext cx="2974340" cy="855486"/>
        </a:xfrm>
        <a:prstGeom prst="rect">
          <a:avLst/>
        </a:prstGeom>
      </xdr:spPr>
    </xdr:pic>
    <xdr:clientData/>
  </xdr:twoCellAnchor>
  <xdr:twoCellAnchor>
    <xdr:from>
      <xdr:col>24</xdr:col>
      <xdr:colOff>550334</xdr:colOff>
      <xdr:row>1</xdr:row>
      <xdr:rowOff>59267</xdr:rowOff>
    </xdr:from>
    <xdr:to>
      <xdr:col>25</xdr:col>
      <xdr:colOff>342053</xdr:colOff>
      <xdr:row>3</xdr:row>
      <xdr:rowOff>109221</xdr:rowOff>
    </xdr:to>
    <xdr:grpSp>
      <xdr:nvGrpSpPr>
        <xdr:cNvPr id="253" name="Group 252">
          <a:hlinkClick xmlns:r="http://schemas.openxmlformats.org/officeDocument/2006/relationships" r:id="rId10" tooltip="Datatable"/>
          <a:extLst>
            <a:ext uri="{FF2B5EF4-FFF2-40B4-BE49-F238E27FC236}">
              <a16:creationId xmlns:a16="http://schemas.microsoft.com/office/drawing/2014/main" id="{795A06E9-D2D7-4EA5-992C-F7EF7825D74E}"/>
            </a:ext>
          </a:extLst>
        </xdr:cNvPr>
        <xdr:cNvGrpSpPr/>
      </xdr:nvGrpSpPr>
      <xdr:grpSpPr>
        <a:xfrm>
          <a:off x="15282334" y="249767"/>
          <a:ext cx="405552" cy="430954"/>
          <a:chOff x="21014267" y="1390980"/>
          <a:chExt cx="553720" cy="563974"/>
        </a:xfrm>
      </xdr:grpSpPr>
      <xdr:sp macro="" textlink="">
        <xdr:nvSpPr>
          <xdr:cNvPr id="246" name="Rectangle: Rounded Corners 245">
            <a:extLst>
              <a:ext uri="{FF2B5EF4-FFF2-40B4-BE49-F238E27FC236}">
                <a16:creationId xmlns:a16="http://schemas.microsoft.com/office/drawing/2014/main" id="{04619293-16A9-4D45-214B-ABEEB8D16E03}"/>
              </a:ext>
            </a:extLst>
          </xdr:cNvPr>
          <xdr:cNvSpPr/>
        </xdr:nvSpPr>
        <xdr:spPr>
          <a:xfrm>
            <a:off x="21049310" y="1481395"/>
            <a:ext cx="505241" cy="4574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48" name="Graphic 247" descr="Single gear outline">
            <a:extLst>
              <a:ext uri="{FF2B5EF4-FFF2-40B4-BE49-F238E27FC236}">
                <a16:creationId xmlns:a16="http://schemas.microsoft.com/office/drawing/2014/main" id="{C4063376-7A67-1D3F-F32F-97FFC60C05C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014267" y="1390980"/>
            <a:ext cx="553720" cy="563974"/>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UMHAR" refreshedDate="45460.605329513892" createdVersion="8" refreshedVersion="8" minRefreshableVersion="3" recordCount="61" xr:uid="{F33BE60B-D89F-4D9C-9886-7A68222D8265}">
  <cacheSource type="worksheet">
    <worksheetSource ref="A4:AV65" sheet="Datatable"/>
  </cacheSource>
  <cacheFields count="49">
    <cacheField name="Month" numFmtId="0">
      <sharedItems count="12">
        <s v="Jan"/>
        <s v="Feb"/>
        <s v="Mar"/>
        <s v="Apr"/>
        <s v="May"/>
        <s v="Jun"/>
        <s v="Jul"/>
        <s v="Aug"/>
        <s v="Sep"/>
        <s v="Oct"/>
        <s v="Nov"/>
        <s v="Dec"/>
      </sharedItems>
    </cacheField>
    <cacheField name="Day" numFmtId="0">
      <sharedItems containsSemiMixedTypes="0" containsString="0" containsNumber="1" containsInteger="1" minValue="1" maxValue="29"/>
    </cacheField>
    <cacheField name="Load" numFmtId="0">
      <sharedItems count="3">
        <s v="Wood"/>
        <s v="Sand"/>
        <s v="Iron"/>
      </sharedItems>
    </cacheField>
    <cacheField name="Tonnage" numFmtId="0">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Alberta"/>
        <s v="Yukon"/>
        <s v="Nova Scotia"/>
        <s v="Nunavut." u="1"/>
      </sharedItems>
    </cacheField>
    <cacheField name="Rate1" numFmtId="0">
      <sharedItems/>
    </cacheField>
    <cacheField name="Rate" numFmtId="164">
      <sharedItems containsSemiMixedTypes="0" containsString="0" containsNumber="1" containsInteger="1" minValue="3456" maxValue="8765"/>
    </cacheField>
    <cacheField name="Truck" numFmtId="0">
      <sharedItems/>
    </cacheField>
    <cacheField name="Insurance1" numFmtId="0">
      <sharedItems/>
    </cacheField>
    <cacheField name="Insurance" numFmtId="0">
      <sharedItems containsMixedTypes="1" containsNumber="1" containsInteger="1" minValue="132" maxValue="132"/>
    </cacheField>
    <cacheField name="Fuel1" numFmtId="0">
      <sharedItems/>
    </cacheField>
    <cacheField name="Fuel" numFmtId="164">
      <sharedItems containsSemiMixedTypes="0" containsString="0" containsNumber="1" containsInteger="1" minValue="245" maxValue="453"/>
    </cacheField>
    <cacheField name="Diesel Exhaust Fluid1" numFmtId="0">
      <sharedItems/>
    </cacheField>
    <cacheField name="Diesel Exhaust Fluid" numFmtId="164">
      <sharedItems containsSemiMixedTypes="0" containsString="0" containsNumber="1" containsInteger="1" minValue="50" maxValue="74"/>
    </cacheField>
    <cacheField name="Advance1" numFmtId="0">
      <sharedItems/>
    </cacheField>
    <cacheField name="Advance" numFmtId="164">
      <sharedItems containsSemiMixedTypes="0" containsString="0" containsNumber="1" containsInteger="1" minValue="250" maxValue="250"/>
    </cacheField>
    <cacheField name="Warehouse1" numFmtId="0">
      <sharedItems/>
    </cacheField>
    <cacheField name="Warehouse" numFmtId="164">
      <sharedItems containsSemiMixedTypes="0" containsString="0" containsNumber="1" containsInteger="1" minValue="120" maxValue="134"/>
    </cacheField>
    <cacheField name="Repairs1" numFmtId="0">
      <sharedItems containsBlank="1"/>
    </cacheField>
    <cacheField name="Repairs" numFmtId="164">
      <sharedItems containsSemiMixedTypes="0" containsString="0" containsNumber="1" containsInteger="1" minValue="0" maxValue="65"/>
    </cacheField>
    <cacheField name="Tolls1" numFmtId="0">
      <sharedItems/>
    </cacheField>
    <cacheField name="Tolls" numFmtId="164">
      <sharedItems containsSemiMixedTypes="0" containsString="0" containsNumber="1" containsInteger="1" minValue="51" maxValue="134"/>
    </cacheField>
    <cacheField name="Fundings1" numFmtId="0">
      <sharedItems/>
    </cacheField>
    <cacheField name="Fundings" numFmtId="164">
      <sharedItems containsSemiMixedTypes="0" containsString="0" containsNumber="1" containsInteger="1" minValue="6" maxValue="66"/>
    </cacheField>
    <cacheField name="Driver Name" numFmtId="0">
      <sharedItems count="4">
        <s v="Alessandro Smith"/>
        <s v="Beauregard Mike"/>
        <s v="Jean Bartholomew"/>
        <s v="Jaison Augustine"/>
      </sharedItems>
    </cacheField>
    <cacheField name="Odometer" numFmtId="0">
      <sharedItems containsSemiMixedTypes="0" containsString="0" containsNumber="1" containsInteger="1" minValue="295" maxValue="333"/>
    </cacheField>
    <cacheField name="Miles" numFmtId="0">
      <sharedItems containsSemiMixedTypes="0" containsString="0" containsNumber="1" containsInteger="1" minValue="234" maxValue="399"/>
    </cacheField>
    <cacheField name="Rate Per Miles1" numFmtId="0">
      <sharedItems/>
    </cacheField>
    <cacheField name="Rate Per Miles" numFmtId="164">
      <sharedItems containsSemiMixedTypes="0" containsString="0" containsNumber="1" containsInteger="1" minValue="164" maxValue="279"/>
    </cacheField>
    <cacheField name="Extra Stops1" numFmtId="0">
      <sharedItems/>
    </cacheField>
    <cacheField name="Extra Stops" numFmtId="164">
      <sharedItems containsSemiMixedTypes="0" containsString="0" containsNumber="1" containsInteger="1" minValue="100" maxValue="100"/>
    </cacheField>
    <cacheField name="Extra Pay1" numFmtId="0">
      <sharedItems/>
    </cacheField>
    <cacheField name="Extra Pay" numFmtId="164">
      <sharedItems containsSemiMixedTypes="0" containsString="0" containsNumber="1" containsInteger="1" minValue="22" maxValue="29"/>
    </cacheField>
    <cacheField name="Costs Driver Paid1" numFmtId="0">
      <sharedItems/>
    </cacheField>
    <cacheField name="Costs Driver Paid" numFmtId="164">
      <sharedItems containsSemiMixedTypes="0" containsString="0" containsNumber="1" containsInteger="1" minValue="54" maxValue="61"/>
    </cacheField>
    <cacheField name="Total Expenses1" numFmtId="0">
      <sharedItems containsMixedTypes="1" containsNumber="1" containsInteger="1" minValue="54" maxValue="54"/>
    </cacheField>
    <cacheField name="Total Expenses" numFmtId="164">
      <sharedItems containsSemiMixedTypes="0" containsString="0" containsNumber="1" containsInteger="1" minValue="54" maxValue="1623"/>
    </cacheField>
    <cacheField name="First condition type1" numFmtId="0">
      <sharedItems/>
    </cacheField>
    <cacheField name="First condition type" numFmtId="164">
      <sharedItems containsSemiMixedTypes="0" containsString="0" containsNumber="1" containsInteger="1" minValue="449" maxValue="1139"/>
    </cacheField>
    <cacheField name="Shipment cost          sub-items1" numFmtId="0">
      <sharedItems/>
    </cacheField>
    <cacheField name="Shipment cost          sub-items" numFmtId="164">
      <sharedItems containsSemiMixedTypes="0" containsString="0" containsNumber="1" containsInteger="1" minValue="691" maxValue="1753"/>
    </cacheField>
    <cacheField name="ERE Stage1" numFmtId="0">
      <sharedItems/>
    </cacheField>
    <cacheField name="ERE Stage" numFmtId="164">
      <sharedItems containsSemiMixedTypes="0" containsString="0" containsNumber="1" containsInteger="1" minValue="588" maxValue="1490"/>
    </cacheField>
    <cacheField name="Basic freight1" numFmtId="0">
      <sharedItems/>
    </cacheField>
    <cacheField name="Basic freight" numFmtId="164">
      <sharedItems containsSemiMixedTypes="0" containsString="0" containsNumber="1" containsInteger="1" minValue="864" maxValue="2191"/>
    </cacheField>
    <cacheField name="Final Amount1" numFmtId="0">
      <sharedItems/>
    </cacheField>
    <cacheField name="Final Amount" numFmtId="164">
      <sharedItems containsSemiMixedTypes="0" containsString="0" containsNumber="1" containsInteger="1" minValue="1037" maxValue="2630"/>
    </cacheField>
    <cacheField name="Balance" numFmtId="0" formula="Rate-'Total Expenses'" databaseField="0"/>
  </cacheFields>
  <extLst>
    <ext xmlns:x14="http://schemas.microsoft.com/office/spreadsheetml/2009/9/main" uri="{725AE2AE-9491-48be-B2B4-4EB974FC3084}">
      <x14:pivotCacheDefinition pivotCacheId="221399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n v="11"/>
    <x v="0"/>
    <x v="0"/>
    <s v="$5,556"/>
    <n v="5556"/>
    <s v="Freightliner Sprinter"/>
    <s v="$132"/>
    <n v="132"/>
    <s v="$400"/>
    <n v="400"/>
    <s v="$50"/>
    <n v="50"/>
    <s v="$250"/>
    <n v="250"/>
    <s v="$120"/>
    <n v="120"/>
    <s v="$65"/>
    <n v="65"/>
    <s v="$134"/>
    <n v="134"/>
    <s v="$6"/>
    <n v="6"/>
    <x v="0"/>
    <n v="295"/>
    <n v="343"/>
    <s v="$240"/>
    <n v="240"/>
    <s v="$100"/>
    <n v="100"/>
    <s v="$22"/>
    <n v="22"/>
    <s v="$54"/>
    <n v="54"/>
    <n v="54"/>
    <n v="54"/>
    <s v="$722"/>
    <n v="722"/>
    <s v="$1,111"/>
    <n v="1111"/>
    <s v="$945"/>
    <n v="945"/>
    <s v="$1,389"/>
    <n v="1389"/>
    <s v="$1,667"/>
    <n v="1667"/>
  </r>
  <r>
    <x v="0"/>
    <n v="3"/>
    <x v="0"/>
    <n v="21.3"/>
    <x v="0"/>
    <x v="1"/>
    <s v="$5,556"/>
    <n v="5556"/>
    <s v="Freightliner Sprinter"/>
    <s v="$132"/>
    <n v="132"/>
    <s v="$400"/>
    <n v="400"/>
    <s v="$50"/>
    <n v="50"/>
    <s v="$250"/>
    <n v="250"/>
    <s v="$120"/>
    <n v="120"/>
    <s v="$65"/>
    <n v="65"/>
    <s v="$134"/>
    <n v="134"/>
    <s v="$6"/>
    <n v="6"/>
    <x v="1"/>
    <n v="295"/>
    <n v="343"/>
    <s v="$240"/>
    <n v="240"/>
    <s v="$100"/>
    <n v="100"/>
    <s v="$22"/>
    <n v="22"/>
    <s v="$54"/>
    <n v="54"/>
    <s v="$1,573"/>
    <n v="1573"/>
    <s v="$722"/>
    <n v="722"/>
    <s v="$1,111"/>
    <n v="1111"/>
    <s v="$945"/>
    <n v="945"/>
    <s v="$1,389"/>
    <n v="1389"/>
    <s v="$1,667"/>
    <n v="1667"/>
  </r>
  <r>
    <x v="0"/>
    <n v="13"/>
    <x v="0"/>
    <n v="22"/>
    <x v="0"/>
    <x v="2"/>
    <s v="$5,556"/>
    <n v="5556"/>
    <s v="Freightliner Sprinter"/>
    <s v="$132"/>
    <n v="132"/>
    <s v="$400"/>
    <n v="400"/>
    <s v="$50"/>
    <n v="50"/>
    <s v="$250"/>
    <n v="250"/>
    <s v="$120"/>
    <n v="120"/>
    <s v="$65"/>
    <n v="65"/>
    <s v="$134"/>
    <n v="134"/>
    <s v="$6"/>
    <n v="6"/>
    <x v="2"/>
    <n v="295"/>
    <n v="343"/>
    <s v="$240"/>
    <n v="240"/>
    <s v="$100"/>
    <n v="100"/>
    <s v="$22"/>
    <n v="22"/>
    <s v="$54"/>
    <n v="54"/>
    <s v="$1,573"/>
    <n v="1573"/>
    <s v="$722"/>
    <n v="722"/>
    <s v="$1,111"/>
    <n v="1111"/>
    <s v="$945"/>
    <n v="945"/>
    <s v="$1,389"/>
    <n v="1389"/>
    <s v="$1,667"/>
    <n v="1667"/>
  </r>
  <r>
    <x v="1"/>
    <n v="4"/>
    <x v="1"/>
    <n v="14.5"/>
    <x v="0"/>
    <x v="1"/>
    <s v="$4,567"/>
    <n v="4567"/>
    <s v="Freightliner Sprinter"/>
    <s v="$132"/>
    <s v="$132"/>
    <s v="$333"/>
    <n v="333"/>
    <s v="$51"/>
    <n v="51"/>
    <s v="$250"/>
    <n v="250"/>
    <s v="$134"/>
    <n v="134"/>
    <s v="$65"/>
    <n v="65"/>
    <s v="$134"/>
    <n v="134"/>
    <s v="$6"/>
    <n v="6"/>
    <x v="0"/>
    <n v="295"/>
    <n v="354"/>
    <s v="$248"/>
    <n v="248"/>
    <s v="$100"/>
    <n v="100"/>
    <s v="$23"/>
    <n v="23"/>
    <s v="$55"/>
    <n v="55"/>
    <s v="$1,531"/>
    <n v="1531"/>
    <s v="$594"/>
    <n v="594"/>
    <s v="$913"/>
    <n v="913"/>
    <s v="$776"/>
    <n v="776"/>
    <s v="$1,142"/>
    <n v="1142"/>
    <s v="$1,370"/>
    <n v="1370"/>
  </r>
  <r>
    <x v="1"/>
    <n v="5"/>
    <x v="1"/>
    <n v="18"/>
    <x v="0"/>
    <x v="2"/>
    <s v="$4,567"/>
    <n v="4567"/>
    <s v="Freightliner Sprinter"/>
    <s v="$132"/>
    <n v="132"/>
    <s v="$333"/>
    <n v="333"/>
    <s v="$52"/>
    <n v="52"/>
    <s v="$250"/>
    <n v="250"/>
    <s v="$134"/>
    <n v="134"/>
    <s v="$65"/>
    <n v="65"/>
    <s v="$134"/>
    <n v="134"/>
    <s v="$6"/>
    <n v="6"/>
    <x v="1"/>
    <n v="295"/>
    <n v="354"/>
    <s v="$248"/>
    <n v="248"/>
    <s v="$100"/>
    <n v="100"/>
    <s v="$23"/>
    <n v="23"/>
    <s v="$55"/>
    <n v="55"/>
    <s v="$1,532"/>
    <n v="1532"/>
    <s v="$594"/>
    <n v="594"/>
    <s v="$913"/>
    <n v="913"/>
    <s v="$776"/>
    <n v="776"/>
    <s v="$1,142"/>
    <n v="1142"/>
    <s v="$1,370"/>
    <n v="1370"/>
  </r>
  <r>
    <x v="1"/>
    <n v="6"/>
    <x v="1"/>
    <n v="19"/>
    <x v="0"/>
    <x v="3"/>
    <s v="$4,567"/>
    <n v="4567"/>
    <s v="Freightliner Sprinter"/>
    <s v="$132"/>
    <n v="132"/>
    <s v="$333"/>
    <n v="333"/>
    <s v="$53"/>
    <n v="53"/>
    <s v="$250"/>
    <n v="250"/>
    <s v="$134"/>
    <n v="134"/>
    <s v="$65"/>
    <n v="65"/>
    <s v="$134"/>
    <n v="134"/>
    <s v="$6"/>
    <n v="6"/>
    <x v="2"/>
    <n v="295"/>
    <n v="354"/>
    <s v="$248"/>
    <n v="248"/>
    <s v="$100"/>
    <n v="100"/>
    <s v="$23"/>
    <n v="23"/>
    <s v="$55"/>
    <n v="55"/>
    <s v="$1,533"/>
    <n v="1533"/>
    <s v="$594"/>
    <n v="594"/>
    <s v="$913"/>
    <n v="913"/>
    <s v="$776"/>
    <n v="776"/>
    <s v="$1,142"/>
    <n v="1142"/>
    <s v="$1,370"/>
    <n v="1370"/>
  </r>
  <r>
    <x v="1"/>
    <n v="14"/>
    <x v="1"/>
    <n v="20"/>
    <x v="0"/>
    <x v="0"/>
    <s v="$4,567"/>
    <n v="4567"/>
    <s v="Freightliner Sprinter"/>
    <s v="$132"/>
    <n v="132"/>
    <s v="$333"/>
    <n v="333"/>
    <s v="$54"/>
    <n v="54"/>
    <s v="$250"/>
    <n v="250"/>
    <s v="$134"/>
    <n v="134"/>
    <s v="$65"/>
    <n v="65"/>
    <s v="$134"/>
    <n v="134"/>
    <s v="$6"/>
    <n v="6"/>
    <x v="3"/>
    <n v="295"/>
    <n v="354"/>
    <s v="$248"/>
    <n v="248"/>
    <s v="$100"/>
    <n v="100"/>
    <s v="$23"/>
    <n v="23"/>
    <s v="$55"/>
    <n v="55"/>
    <s v="$1,534"/>
    <n v="1534"/>
    <s v="$594"/>
    <n v="594"/>
    <s v="$913"/>
    <n v="913"/>
    <s v="$776"/>
    <n v="776"/>
    <s v="$1,142"/>
    <n v="1142"/>
    <s v="$1,370"/>
    <n v="1370"/>
  </r>
  <r>
    <x v="2"/>
    <n v="2"/>
    <x v="2"/>
    <n v="21"/>
    <x v="0"/>
    <x v="2"/>
    <s v="$3,458"/>
    <n v="3458"/>
    <s v="Freightliner Sprinter"/>
    <s v="$132"/>
    <n v="132"/>
    <s v="$453"/>
    <n v="453"/>
    <s v="$55"/>
    <n v="55"/>
    <s v="$250"/>
    <n v="250"/>
    <s v="$121"/>
    <n v="121"/>
    <s v="$32"/>
    <n v="32"/>
    <s v="$56"/>
    <n v="56"/>
    <s v="$56"/>
    <n v="56"/>
    <x v="0"/>
    <n v="295"/>
    <n v="333"/>
    <s v="$233"/>
    <n v="233"/>
    <s v="$100"/>
    <n v="100"/>
    <s v="$24"/>
    <n v="24"/>
    <s v="$56"/>
    <n v="56"/>
    <s v="$1,568"/>
    <n v="1568"/>
    <s v="$450"/>
    <n v="450"/>
    <s v="$692"/>
    <n v="692"/>
    <s v="$588"/>
    <n v="588"/>
    <s v="$865"/>
    <n v="865"/>
    <s v="$1,037"/>
    <n v="1037"/>
  </r>
  <r>
    <x v="2"/>
    <n v="3"/>
    <x v="2"/>
    <n v="22"/>
    <x v="1"/>
    <x v="1"/>
    <s v="$3,458"/>
    <n v="3458"/>
    <s v="Freightliner Sprinter"/>
    <s v="$132"/>
    <n v="132"/>
    <s v="$453"/>
    <n v="453"/>
    <s v="$56"/>
    <n v="56"/>
    <s v="$250"/>
    <n v="250"/>
    <s v="$121"/>
    <n v="121"/>
    <s v="$32"/>
    <n v="32"/>
    <s v="$56"/>
    <n v="56"/>
    <s v="$56"/>
    <n v="56"/>
    <x v="1"/>
    <n v="295"/>
    <n v="333"/>
    <s v="$233"/>
    <n v="233"/>
    <s v="$100"/>
    <n v="100"/>
    <s v="$24"/>
    <n v="24"/>
    <s v="$56"/>
    <n v="56"/>
    <s v="$1,569"/>
    <n v="1569"/>
    <s v="$450"/>
    <n v="450"/>
    <s v="$692"/>
    <n v="692"/>
    <s v="$588"/>
    <n v="588"/>
    <s v="$865"/>
    <n v="865"/>
    <s v="$1,037"/>
    <n v="1037"/>
  </r>
  <r>
    <x v="2"/>
    <n v="7"/>
    <x v="1"/>
    <n v="22.7"/>
    <x v="1"/>
    <x v="2"/>
    <s v="$3,458"/>
    <n v="3458"/>
    <s v="Freightliner Sprinter"/>
    <s v="$132"/>
    <n v="132"/>
    <s v="$453"/>
    <n v="453"/>
    <s v="$57"/>
    <n v="57"/>
    <s v="$250"/>
    <n v="250"/>
    <s v="$121"/>
    <n v="121"/>
    <s v="$32"/>
    <n v="32"/>
    <s v="$56"/>
    <n v="56"/>
    <s v="$56"/>
    <n v="56"/>
    <x v="3"/>
    <n v="295"/>
    <n v="333"/>
    <s v="$233"/>
    <n v="233"/>
    <s v="$100"/>
    <n v="100"/>
    <s v="$24"/>
    <n v="24"/>
    <s v="$56"/>
    <n v="56"/>
    <s v="$1,570"/>
    <n v="1570"/>
    <s v="$450"/>
    <n v="450"/>
    <s v="$692"/>
    <n v="692"/>
    <s v="$588"/>
    <n v="588"/>
    <s v="$865"/>
    <n v="865"/>
    <s v="$1,037"/>
    <n v="1037"/>
  </r>
  <r>
    <x v="2"/>
    <n v="8"/>
    <x v="2"/>
    <n v="12"/>
    <x v="0"/>
    <x v="3"/>
    <s v="$3,458"/>
    <n v="3458"/>
    <s v="Freightliner Sprinter"/>
    <s v="$132"/>
    <n v="132"/>
    <s v="$453"/>
    <n v="453"/>
    <s v="$58"/>
    <n v="58"/>
    <s v="$250"/>
    <n v="250"/>
    <s v="$121"/>
    <n v="121"/>
    <s v="$32"/>
    <n v="32"/>
    <s v="$56"/>
    <n v="56"/>
    <s v="$56"/>
    <n v="56"/>
    <x v="3"/>
    <n v="295"/>
    <n v="333"/>
    <s v="$233"/>
    <n v="233"/>
    <s v="$100"/>
    <n v="100"/>
    <s v="$24"/>
    <n v="24"/>
    <s v="$56"/>
    <n v="56"/>
    <s v="$1,571"/>
    <n v="1571"/>
    <s v="$450"/>
    <n v="450"/>
    <s v="$692"/>
    <n v="692"/>
    <s v="$588"/>
    <n v="588"/>
    <s v="$865"/>
    <n v="865"/>
    <s v="$1,037"/>
    <n v="1037"/>
  </r>
  <r>
    <x v="2"/>
    <n v="9"/>
    <x v="0"/>
    <n v="13"/>
    <x v="1"/>
    <x v="4"/>
    <s v="$3,458"/>
    <n v="3458"/>
    <s v="Freightliner Sprinter"/>
    <s v="$132"/>
    <n v="132"/>
    <s v="$453"/>
    <n v="453"/>
    <s v="$59"/>
    <n v="59"/>
    <s v="$250"/>
    <n v="250"/>
    <s v="$121"/>
    <n v="121"/>
    <m/>
    <n v="0"/>
    <s v="$56"/>
    <n v="56"/>
    <s v="$56"/>
    <n v="56"/>
    <x v="0"/>
    <n v="295"/>
    <n v="333"/>
    <s v="$233"/>
    <n v="233"/>
    <s v="$100"/>
    <n v="100"/>
    <s v="$24"/>
    <n v="24"/>
    <s v="$56"/>
    <n v="56"/>
    <s v="$1,540"/>
    <n v="1540"/>
    <s v="$450"/>
    <n v="450"/>
    <s v="$692"/>
    <n v="692"/>
    <s v="$588"/>
    <n v="588"/>
    <s v="$865"/>
    <n v="865"/>
    <s v="$1,037"/>
    <n v="1037"/>
  </r>
  <r>
    <x v="3"/>
    <n v="12"/>
    <x v="0"/>
    <n v="16"/>
    <x v="0"/>
    <x v="5"/>
    <s v="$6,433"/>
    <n v="6433"/>
    <s v="Chevrolet Express"/>
    <s v="$132"/>
    <n v="132"/>
    <s v="$399"/>
    <n v="399"/>
    <s v="$72"/>
    <n v="72"/>
    <s v="$250"/>
    <n v="250"/>
    <s v="$134"/>
    <n v="134"/>
    <m/>
    <n v="0"/>
    <s v="$134"/>
    <n v="134"/>
    <s v="$6"/>
    <n v="6"/>
    <x v="1"/>
    <n v="295"/>
    <n v="343"/>
    <s v="$240"/>
    <n v="240"/>
    <s v="$100"/>
    <n v="100"/>
    <s v="$25"/>
    <n v="25"/>
    <s v="$57"/>
    <n v="57"/>
    <s v="$1,549"/>
    <n v="1549"/>
    <s v="$836"/>
    <n v="836"/>
    <s v="$1,287"/>
    <n v="1287"/>
    <s v="$1,094"/>
    <n v="1094"/>
    <s v="$1,608"/>
    <n v="1608"/>
    <s v="$1,930"/>
    <n v="1930"/>
  </r>
  <r>
    <x v="3"/>
    <n v="16"/>
    <x v="1"/>
    <n v="17"/>
    <x v="1"/>
    <x v="6"/>
    <s v="$6,433"/>
    <n v="6433"/>
    <s v="Chevrolet Express"/>
    <s v="$132"/>
    <n v="132"/>
    <s v="$399"/>
    <n v="399"/>
    <s v="$73"/>
    <n v="73"/>
    <s v="$250"/>
    <n v="250"/>
    <s v="$134"/>
    <n v="134"/>
    <s v="$65"/>
    <n v="65"/>
    <s v="$134"/>
    <n v="134"/>
    <s v="$6"/>
    <n v="6"/>
    <x v="2"/>
    <n v="295"/>
    <n v="343"/>
    <s v="$240"/>
    <n v="240"/>
    <s v="$100"/>
    <n v="100"/>
    <s v="$25"/>
    <n v="25"/>
    <s v="$57"/>
    <n v="57"/>
    <s v="$1,615"/>
    <n v="1615"/>
    <s v="$836"/>
    <n v="836"/>
    <s v="$1,287"/>
    <n v="1287"/>
    <s v="$1,094"/>
    <n v="1094"/>
    <s v="$1,608"/>
    <n v="1608"/>
    <s v="$1,930"/>
    <n v="1930"/>
  </r>
  <r>
    <x v="3"/>
    <n v="22"/>
    <x v="0"/>
    <n v="18"/>
    <x v="1"/>
    <x v="2"/>
    <s v="$6,433"/>
    <n v="6433"/>
    <s v="Chevrolet Express"/>
    <s v="$132"/>
    <n v="132"/>
    <s v="$399"/>
    <n v="399"/>
    <s v="$74"/>
    <n v="74"/>
    <s v="$250"/>
    <n v="250"/>
    <s v="$134"/>
    <n v="134"/>
    <s v="$65"/>
    <n v="65"/>
    <s v="$134"/>
    <n v="134"/>
    <s v="$6"/>
    <n v="6"/>
    <x v="3"/>
    <n v="295"/>
    <n v="343"/>
    <s v="$240"/>
    <n v="240"/>
    <s v="$100"/>
    <n v="100"/>
    <s v="$25"/>
    <n v="25"/>
    <s v="$57"/>
    <n v="57"/>
    <s v="$1,616"/>
    <n v="1616"/>
    <s v="$836"/>
    <n v="836"/>
    <s v="$1,287"/>
    <n v="1287"/>
    <s v="$1,094"/>
    <n v="1094"/>
    <s v="$1,608"/>
    <n v="1608"/>
    <s v="$1,930"/>
    <n v="1930"/>
  </r>
  <r>
    <x v="4"/>
    <n v="5"/>
    <x v="1"/>
    <n v="11"/>
    <x v="0"/>
    <x v="0"/>
    <s v="$8,765"/>
    <n v="8765"/>
    <s v="Chevrolet Express"/>
    <s v="$132"/>
    <n v="132"/>
    <s v="$387"/>
    <n v="387"/>
    <s v="$50"/>
    <n v="50"/>
    <s v="$250"/>
    <n v="250"/>
    <s v="$128"/>
    <n v="128"/>
    <s v="$34"/>
    <n v="34"/>
    <s v="$128"/>
    <n v="128"/>
    <s v="$46"/>
    <n v="46"/>
    <x v="0"/>
    <n v="333"/>
    <n v="343"/>
    <s v="$240"/>
    <n v="240"/>
    <s v="$100"/>
    <n v="100"/>
    <s v="$26"/>
    <n v="26"/>
    <s v="$58"/>
    <n v="58"/>
    <s v="$1,579"/>
    <n v="1579"/>
    <s v="$1,139"/>
    <n v="1139"/>
    <s v="$1,753"/>
    <n v="1753"/>
    <s v="$1,490"/>
    <n v="1490"/>
    <s v="$2,191"/>
    <n v="2191"/>
    <s v="$2,630"/>
    <n v="2630"/>
  </r>
  <r>
    <x v="4"/>
    <n v="13"/>
    <x v="1"/>
    <n v="21"/>
    <x v="0"/>
    <x v="6"/>
    <s v="$8,765"/>
    <n v="8765"/>
    <s v="Chevrolet Express"/>
    <s v="$132"/>
    <n v="132"/>
    <s v="$387"/>
    <n v="387"/>
    <s v="$50"/>
    <n v="50"/>
    <s v="$250"/>
    <n v="250"/>
    <s v="$128"/>
    <n v="128"/>
    <s v="$34"/>
    <n v="34"/>
    <s v="$128"/>
    <n v="128"/>
    <s v="$46"/>
    <n v="46"/>
    <x v="1"/>
    <n v="333"/>
    <n v="343"/>
    <s v="$240"/>
    <n v="240"/>
    <s v="$100"/>
    <n v="100"/>
    <s v="$26"/>
    <n v="26"/>
    <s v="$58"/>
    <n v="58"/>
    <s v="$1,579"/>
    <n v="1579"/>
    <s v="$1,139"/>
    <n v="1139"/>
    <s v="$1,753"/>
    <n v="1753"/>
    <s v="$1,490"/>
    <n v="1490"/>
    <s v="$2,191"/>
    <n v="2191"/>
    <s v="$2,630"/>
    <n v="2630"/>
  </r>
  <r>
    <x v="4"/>
    <n v="14"/>
    <x v="1"/>
    <n v="22"/>
    <x v="0"/>
    <x v="3"/>
    <s v="$8,765"/>
    <n v="8765"/>
    <s v="Chevrolet Express"/>
    <s v="$132"/>
    <n v="132"/>
    <s v="$387"/>
    <n v="387"/>
    <s v="$50"/>
    <n v="50"/>
    <s v="$250"/>
    <n v="250"/>
    <s v="$128"/>
    <n v="128"/>
    <s v="$34"/>
    <n v="34"/>
    <s v="$128"/>
    <n v="128"/>
    <s v="$46"/>
    <n v="46"/>
    <x v="2"/>
    <n v="333"/>
    <n v="343"/>
    <s v="$240"/>
    <n v="240"/>
    <s v="$100"/>
    <n v="100"/>
    <s v="$26"/>
    <n v="26"/>
    <s v="$58"/>
    <n v="58"/>
    <s v="$1,579"/>
    <n v="1579"/>
    <s v="$1,139"/>
    <n v="1139"/>
    <s v="$1,753"/>
    <n v="1753"/>
    <s v="$1,490"/>
    <n v="1490"/>
    <s v="$2,191"/>
    <n v="2191"/>
    <s v="$2,630"/>
    <n v="2630"/>
  </r>
  <r>
    <x v="4"/>
    <n v="15"/>
    <x v="2"/>
    <n v="23"/>
    <x v="1"/>
    <x v="0"/>
    <s v="$8,765"/>
    <n v="8765"/>
    <s v="Chevrolet Express"/>
    <s v="$132"/>
    <n v="132"/>
    <s v="$387"/>
    <n v="387"/>
    <s v="$50"/>
    <n v="50"/>
    <s v="$250"/>
    <n v="250"/>
    <s v="$128"/>
    <n v="128"/>
    <s v="$34"/>
    <n v="34"/>
    <s v="$128"/>
    <n v="128"/>
    <s v="$46"/>
    <n v="46"/>
    <x v="3"/>
    <n v="333"/>
    <n v="343"/>
    <s v="$240"/>
    <n v="240"/>
    <s v="$100"/>
    <n v="100"/>
    <s v="$26"/>
    <n v="26"/>
    <s v="$58"/>
    <n v="58"/>
    <s v="$1,579"/>
    <n v="1579"/>
    <s v="$1,139"/>
    <n v="1139"/>
    <s v="$1,753"/>
    <n v="1753"/>
    <s v="$1,490"/>
    <n v="1490"/>
    <s v="$2,191"/>
    <n v="2191"/>
    <s v="$2,630"/>
    <n v="2630"/>
  </r>
  <r>
    <x v="5"/>
    <n v="17"/>
    <x v="2"/>
    <n v="12.9"/>
    <x v="0"/>
    <x v="2"/>
    <s v="$5,432"/>
    <n v="5432"/>
    <s v="Chevrolet Express"/>
    <s v="$132"/>
    <n v="132"/>
    <s v="$245"/>
    <n v="245"/>
    <s v="$50"/>
    <n v="50"/>
    <s v="$250"/>
    <n v="250"/>
    <s v="$120"/>
    <n v="120"/>
    <m/>
    <n v="0"/>
    <s v="$120"/>
    <n v="120"/>
    <s v="$66"/>
    <n v="66"/>
    <x v="0"/>
    <n v="295"/>
    <n v="343"/>
    <s v="$240"/>
    <n v="240"/>
    <s v="$100"/>
    <n v="100"/>
    <s v="$27"/>
    <n v="27"/>
    <s v="$59"/>
    <n v="59"/>
    <s v="$1,409"/>
    <n v="1409"/>
    <s v="$706"/>
    <n v="706"/>
    <s v="$1,086"/>
    <n v="1086"/>
    <s v="$923"/>
    <n v="923"/>
    <s v="$1,358"/>
    <n v="1358"/>
    <s v="$1,630"/>
    <n v="1630"/>
  </r>
  <r>
    <x v="5"/>
    <n v="18"/>
    <x v="2"/>
    <n v="12.9"/>
    <x v="0"/>
    <x v="3"/>
    <s v="$5,432"/>
    <n v="5432"/>
    <s v="Chevrolet Express"/>
    <s v="$132"/>
    <n v="132"/>
    <s v="$245"/>
    <n v="245"/>
    <s v="$50"/>
    <n v="50"/>
    <s v="$250"/>
    <n v="250"/>
    <s v="$120"/>
    <n v="120"/>
    <m/>
    <n v="0"/>
    <s v="$120"/>
    <n v="120"/>
    <s v="$66"/>
    <n v="66"/>
    <x v="1"/>
    <n v="295"/>
    <n v="343"/>
    <s v="$240"/>
    <n v="240"/>
    <s v="$100"/>
    <n v="100"/>
    <s v="$27"/>
    <n v="27"/>
    <s v="$59"/>
    <n v="59"/>
    <s v="$1,409"/>
    <n v="1409"/>
    <s v="$706"/>
    <n v="706"/>
    <s v="$1,086"/>
    <n v="1086"/>
    <s v="$923"/>
    <n v="923"/>
    <s v="$1,358"/>
    <n v="1358"/>
    <s v="$1,630"/>
    <n v="1630"/>
  </r>
  <r>
    <x v="5"/>
    <n v="18"/>
    <x v="2"/>
    <n v="21"/>
    <x v="0"/>
    <x v="6"/>
    <s v="$5,432"/>
    <n v="5432"/>
    <s v="Chevrolet Express"/>
    <s v="$132"/>
    <n v="132"/>
    <s v="$245"/>
    <n v="245"/>
    <s v="$50"/>
    <n v="50"/>
    <s v="$250"/>
    <n v="250"/>
    <s v="$120"/>
    <n v="120"/>
    <m/>
    <n v="0"/>
    <s v="$120"/>
    <n v="120"/>
    <s v="$66"/>
    <n v="66"/>
    <x v="2"/>
    <n v="295"/>
    <n v="343"/>
    <s v="$240"/>
    <n v="240"/>
    <s v="$100"/>
    <n v="100"/>
    <s v="$27"/>
    <n v="27"/>
    <s v="$59"/>
    <n v="59"/>
    <s v="$1,409"/>
    <n v="1409"/>
    <s v="$706"/>
    <n v="706"/>
    <s v="$1,086"/>
    <n v="1086"/>
    <s v="$923"/>
    <n v="923"/>
    <s v="$1,358"/>
    <n v="1358"/>
    <s v="$1,630"/>
    <n v="1630"/>
  </r>
  <r>
    <x v="5"/>
    <n v="24"/>
    <x v="2"/>
    <n v="22"/>
    <x v="1"/>
    <x v="6"/>
    <s v="$5,432"/>
    <n v="5432"/>
    <s v="Chevrolet Express"/>
    <s v="$132"/>
    <n v="132"/>
    <s v="$245"/>
    <n v="245"/>
    <s v="$50"/>
    <n v="50"/>
    <s v="$250"/>
    <n v="250"/>
    <s v="$120"/>
    <n v="120"/>
    <m/>
    <n v="0"/>
    <s v="$120"/>
    <n v="120"/>
    <s v="$66"/>
    <n v="66"/>
    <x v="3"/>
    <n v="295"/>
    <n v="343"/>
    <s v="$240"/>
    <n v="240"/>
    <s v="$100"/>
    <n v="100"/>
    <s v="$27"/>
    <n v="27"/>
    <s v="$59"/>
    <n v="59"/>
    <s v="$1,409"/>
    <n v="1409"/>
    <s v="$706"/>
    <n v="706"/>
    <s v="$1,086"/>
    <n v="1086"/>
    <s v="$923"/>
    <n v="923"/>
    <s v="$1,358"/>
    <n v="1358"/>
    <s v="$1,630"/>
    <n v="1630"/>
  </r>
  <r>
    <x v="6"/>
    <n v="7"/>
    <x v="0"/>
    <n v="23"/>
    <x v="1"/>
    <x v="1"/>
    <s v="$6,778"/>
    <n v="6778"/>
    <s v="RAM ProMaster"/>
    <s v="$132"/>
    <n v="132"/>
    <s v="$400"/>
    <n v="400"/>
    <s v="$50"/>
    <n v="50"/>
    <s v="$250"/>
    <n v="250"/>
    <s v="$134"/>
    <n v="134"/>
    <m/>
    <n v="0"/>
    <s v="$134"/>
    <n v="134"/>
    <s v="$6"/>
    <n v="6"/>
    <x v="0"/>
    <n v="295"/>
    <n v="377"/>
    <s v="$264"/>
    <n v="264"/>
    <s v="$100"/>
    <n v="100"/>
    <s v="$28"/>
    <n v="28"/>
    <s v="$60"/>
    <n v="60"/>
    <s v="$1,558"/>
    <n v="1558"/>
    <s v="$881"/>
    <n v="881"/>
    <s v="$1,356"/>
    <n v="1356"/>
    <s v="$1,152"/>
    <n v="1152"/>
    <s v="$1,695"/>
    <n v="1695"/>
    <s v="$2,033"/>
    <n v="2033"/>
  </r>
  <r>
    <x v="6"/>
    <n v="19"/>
    <x v="0"/>
    <n v="12"/>
    <x v="1"/>
    <x v="2"/>
    <s v="$6,778"/>
    <n v="6778"/>
    <s v="RAM ProMaster"/>
    <s v="$132"/>
    <n v="132"/>
    <s v="$400"/>
    <n v="400"/>
    <s v="$50"/>
    <n v="50"/>
    <s v="$250"/>
    <n v="250"/>
    <s v="$134"/>
    <n v="134"/>
    <s v="$65"/>
    <n v="65"/>
    <s v="$134"/>
    <n v="134"/>
    <s v="$6"/>
    <n v="6"/>
    <x v="1"/>
    <n v="295"/>
    <n v="377"/>
    <s v="$264"/>
    <n v="264"/>
    <s v="$100"/>
    <n v="100"/>
    <s v="$28"/>
    <n v="28"/>
    <s v="$60"/>
    <n v="60"/>
    <s v="$1,623"/>
    <n v="1623"/>
    <s v="$881"/>
    <n v="881"/>
    <s v="$1,356"/>
    <n v="1356"/>
    <s v="$1,152"/>
    <n v="1152"/>
    <s v="$1,695"/>
    <n v="1695"/>
    <s v="$2,033"/>
    <n v="2033"/>
  </r>
  <r>
    <x v="6"/>
    <n v="19"/>
    <x v="0"/>
    <n v="13"/>
    <x v="0"/>
    <x v="3"/>
    <s v="$6,778"/>
    <n v="6778"/>
    <s v="RAM ProMaster"/>
    <s v="$132"/>
    <n v="132"/>
    <s v="$400"/>
    <n v="400"/>
    <s v="$50"/>
    <n v="50"/>
    <s v="$250"/>
    <n v="250"/>
    <s v="$134"/>
    <n v="134"/>
    <s v="$65"/>
    <n v="65"/>
    <s v="$134"/>
    <n v="134"/>
    <s v="$6"/>
    <n v="6"/>
    <x v="2"/>
    <n v="295"/>
    <n v="377"/>
    <s v="$264"/>
    <n v="264"/>
    <s v="$100"/>
    <n v="100"/>
    <s v="$28"/>
    <n v="28"/>
    <s v="$60"/>
    <n v="60"/>
    <s v="$1,623"/>
    <n v="1623"/>
    <s v="$881"/>
    <n v="881"/>
    <s v="$1,356"/>
    <n v="1356"/>
    <s v="$1,152"/>
    <n v="1152"/>
    <s v="$1,695"/>
    <n v="1695"/>
    <s v="$2,033"/>
    <n v="2033"/>
  </r>
  <r>
    <x v="6"/>
    <n v="20"/>
    <x v="0"/>
    <n v="14"/>
    <x v="0"/>
    <x v="0"/>
    <s v="$6,778"/>
    <n v="6778"/>
    <s v="RAM ProMaster"/>
    <s v="$132"/>
    <n v="132"/>
    <s v="$400"/>
    <n v="400"/>
    <s v="$50"/>
    <n v="50"/>
    <s v="$250"/>
    <n v="250"/>
    <s v="$134"/>
    <n v="134"/>
    <s v="$65"/>
    <n v="65"/>
    <s v="$134"/>
    <n v="134"/>
    <s v="$6"/>
    <n v="6"/>
    <x v="3"/>
    <n v="295"/>
    <n v="377"/>
    <s v="$264"/>
    <n v="264"/>
    <s v="$100"/>
    <n v="100"/>
    <s v="$28"/>
    <n v="28"/>
    <s v="$60"/>
    <n v="60"/>
    <s v="$1,623"/>
    <n v="1623"/>
    <s v="$881"/>
    <n v="881"/>
    <s v="$1,356"/>
    <n v="1356"/>
    <s v="$1,152"/>
    <n v="1152"/>
    <s v="$1,695"/>
    <n v="1695"/>
    <s v="$2,033"/>
    <n v="2033"/>
  </r>
  <r>
    <x v="6"/>
    <n v="21"/>
    <x v="0"/>
    <n v="15"/>
    <x v="0"/>
    <x v="4"/>
    <s v="$6,778"/>
    <n v="6778"/>
    <s v="RAM ProMaster"/>
    <s v="$132"/>
    <n v="132"/>
    <s v="$400"/>
    <n v="400"/>
    <s v="$50"/>
    <n v="50"/>
    <s v="$250"/>
    <n v="250"/>
    <s v="$134"/>
    <n v="134"/>
    <s v="$65"/>
    <n v="65"/>
    <s v="$134"/>
    <n v="134"/>
    <s v="$6"/>
    <n v="6"/>
    <x v="0"/>
    <n v="295"/>
    <n v="377"/>
    <s v="$264"/>
    <n v="264"/>
    <s v="$100"/>
    <n v="100"/>
    <s v="$28"/>
    <n v="28"/>
    <s v="$60"/>
    <n v="60"/>
    <s v="$1,623"/>
    <n v="1623"/>
    <s v="$881"/>
    <n v="881"/>
    <s v="$1,356"/>
    <n v="1356"/>
    <s v="$1,152"/>
    <n v="1152"/>
    <s v="$1,695"/>
    <n v="1695"/>
    <s v="$2,033"/>
    <n v="2033"/>
  </r>
  <r>
    <x v="6"/>
    <n v="25"/>
    <x v="0"/>
    <n v="16"/>
    <x v="0"/>
    <x v="0"/>
    <s v="$6,778"/>
    <n v="6778"/>
    <s v="RAM ProMaster"/>
    <s v="$132"/>
    <n v="132"/>
    <s v="$400"/>
    <n v="400"/>
    <s v="$50"/>
    <n v="50"/>
    <s v="$250"/>
    <n v="250"/>
    <s v="$134"/>
    <n v="134"/>
    <s v="$65"/>
    <n v="65"/>
    <s v="$134"/>
    <n v="134"/>
    <s v="$6"/>
    <n v="6"/>
    <x v="1"/>
    <n v="295"/>
    <n v="377"/>
    <s v="$264"/>
    <n v="264"/>
    <s v="$100"/>
    <n v="100"/>
    <s v="$28"/>
    <n v="28"/>
    <s v="$60"/>
    <n v="60"/>
    <s v="$1,623"/>
    <n v="1623"/>
    <s v="$881"/>
    <n v="881"/>
    <s v="$1,356"/>
    <n v="1356"/>
    <s v="$1,152"/>
    <n v="1152"/>
    <s v="$1,695"/>
    <n v="1695"/>
    <s v="$2,033"/>
    <n v="2033"/>
  </r>
  <r>
    <x v="6"/>
    <n v="7"/>
    <x v="0"/>
    <n v="23"/>
    <x v="1"/>
    <x v="1"/>
    <s v="$6,778"/>
    <n v="6778"/>
    <s v="RAM ProMaster"/>
    <s v="$132"/>
    <n v="132"/>
    <s v="$400"/>
    <n v="400"/>
    <s v="$50"/>
    <n v="50"/>
    <s v="$250"/>
    <n v="250"/>
    <s v="$134"/>
    <n v="134"/>
    <m/>
    <n v="0"/>
    <s v="$134"/>
    <n v="134"/>
    <s v="$6"/>
    <n v="6"/>
    <x v="2"/>
    <n v="295"/>
    <n v="377"/>
    <s v="$264"/>
    <n v="264"/>
    <s v="$100"/>
    <n v="100"/>
    <s v="$28"/>
    <n v="28"/>
    <s v="$60"/>
    <n v="60"/>
    <s v="$1,558"/>
    <n v="1558"/>
    <s v="$881"/>
    <n v="881"/>
    <s v="$1,356"/>
    <n v="1356"/>
    <s v="$1,152"/>
    <n v="1152"/>
    <s v="$1,695"/>
    <n v="1695"/>
    <s v="$2,033"/>
    <n v="2033"/>
  </r>
  <r>
    <x v="6"/>
    <n v="19"/>
    <x v="0"/>
    <n v="12"/>
    <x v="1"/>
    <x v="2"/>
    <s v="$6,778"/>
    <n v="6778"/>
    <s v="RAM ProMaster"/>
    <s v="$132"/>
    <n v="132"/>
    <s v="$400"/>
    <n v="400"/>
    <s v="$50"/>
    <n v="50"/>
    <s v="$250"/>
    <n v="250"/>
    <s v="$134"/>
    <n v="134"/>
    <s v="$65"/>
    <n v="65"/>
    <s v="$134"/>
    <n v="134"/>
    <s v="$6"/>
    <n v="6"/>
    <x v="3"/>
    <n v="295"/>
    <n v="377"/>
    <s v="$264"/>
    <n v="264"/>
    <s v="$100"/>
    <n v="100"/>
    <s v="$28"/>
    <n v="28"/>
    <s v="$60"/>
    <n v="60"/>
    <s v="$1,623"/>
    <n v="1623"/>
    <s v="$881"/>
    <n v="881"/>
    <s v="$1,356"/>
    <n v="1356"/>
    <s v="$1,152"/>
    <n v="1152"/>
    <s v="$1,695"/>
    <n v="1695"/>
    <s v="$2,033"/>
    <n v="2033"/>
  </r>
  <r>
    <x v="6"/>
    <n v="19"/>
    <x v="0"/>
    <n v="13"/>
    <x v="0"/>
    <x v="3"/>
    <s v="$6,778"/>
    <n v="6778"/>
    <s v="RAM ProMaster"/>
    <s v="$132"/>
    <n v="132"/>
    <s v="$400"/>
    <n v="400"/>
    <s v="$50"/>
    <n v="50"/>
    <s v="$250"/>
    <n v="250"/>
    <s v="$134"/>
    <n v="134"/>
    <s v="$65"/>
    <n v="65"/>
    <s v="$134"/>
    <n v="134"/>
    <s v="$6"/>
    <n v="6"/>
    <x v="0"/>
    <n v="295"/>
    <n v="377"/>
    <s v="$264"/>
    <n v="264"/>
    <s v="$100"/>
    <n v="100"/>
    <s v="$28"/>
    <n v="28"/>
    <s v="$60"/>
    <n v="60"/>
    <s v="$1,623"/>
    <n v="1623"/>
    <s v="$881"/>
    <n v="881"/>
    <s v="$1,356"/>
    <n v="1356"/>
    <s v="$1,152"/>
    <n v="1152"/>
    <s v="$1,695"/>
    <n v="1695"/>
    <s v="$2,033"/>
    <n v="2033"/>
  </r>
  <r>
    <x v="6"/>
    <n v="20"/>
    <x v="0"/>
    <n v="14"/>
    <x v="0"/>
    <x v="0"/>
    <s v="$6,778"/>
    <n v="6778"/>
    <s v="RAM ProMaster"/>
    <s v="$132"/>
    <n v="132"/>
    <s v="$400"/>
    <n v="400"/>
    <s v="$50"/>
    <n v="50"/>
    <s v="$250"/>
    <n v="250"/>
    <s v="$134"/>
    <n v="134"/>
    <s v="$65"/>
    <n v="65"/>
    <s v="$134"/>
    <n v="134"/>
    <s v="$6"/>
    <n v="6"/>
    <x v="1"/>
    <n v="295"/>
    <n v="377"/>
    <s v="$264"/>
    <n v="264"/>
    <s v="$100"/>
    <n v="100"/>
    <s v="$28"/>
    <n v="28"/>
    <s v="$60"/>
    <n v="60"/>
    <s v="$1,623"/>
    <n v="1623"/>
    <s v="$881"/>
    <n v="881"/>
    <s v="$1,356"/>
    <n v="1356"/>
    <s v="$1,152"/>
    <n v="1152"/>
    <s v="$1,695"/>
    <n v="1695"/>
    <s v="$2,033"/>
    <n v="2033"/>
  </r>
  <r>
    <x v="6"/>
    <n v="21"/>
    <x v="0"/>
    <n v="15"/>
    <x v="0"/>
    <x v="4"/>
    <s v="$6,778"/>
    <n v="6778"/>
    <s v="RAM ProMaster"/>
    <s v="$132"/>
    <n v="132"/>
    <s v="$400"/>
    <n v="400"/>
    <s v="$50"/>
    <n v="50"/>
    <s v="$250"/>
    <n v="250"/>
    <s v="$134"/>
    <n v="134"/>
    <s v="$65"/>
    <n v="65"/>
    <s v="$134"/>
    <n v="134"/>
    <s v="$6"/>
    <n v="6"/>
    <x v="2"/>
    <n v="295"/>
    <n v="377"/>
    <s v="$264"/>
    <n v="264"/>
    <s v="$100"/>
    <n v="100"/>
    <s v="$28"/>
    <n v="28"/>
    <s v="$60"/>
    <n v="60"/>
    <s v="$1,623"/>
    <n v="1623"/>
    <s v="$881"/>
    <n v="881"/>
    <s v="$1,356"/>
    <n v="1356"/>
    <s v="$1,152"/>
    <n v="1152"/>
    <s v="$1,695"/>
    <n v="1695"/>
    <s v="$2,033"/>
    <n v="2033"/>
  </r>
  <r>
    <x v="6"/>
    <n v="25"/>
    <x v="0"/>
    <n v="16"/>
    <x v="0"/>
    <x v="0"/>
    <s v="$6,778"/>
    <n v="6778"/>
    <s v="RAM ProMaster"/>
    <s v="$132"/>
    <n v="132"/>
    <s v="$400"/>
    <n v="400"/>
    <s v="$50"/>
    <n v="50"/>
    <s v="$250"/>
    <n v="250"/>
    <s v="$134"/>
    <n v="134"/>
    <s v="$65"/>
    <n v="65"/>
    <s v="$134"/>
    <n v="134"/>
    <s v="$6"/>
    <n v="6"/>
    <x v="3"/>
    <n v="295"/>
    <n v="377"/>
    <s v="$264"/>
    <n v="264"/>
    <s v="$100"/>
    <n v="100"/>
    <s v="$28"/>
    <n v="28"/>
    <s v="$60"/>
    <n v="60"/>
    <s v="$1,623"/>
    <n v="1623"/>
    <s v="$881"/>
    <n v="881"/>
    <s v="$1,356"/>
    <n v="1356"/>
    <s v="$1,152"/>
    <n v="1152"/>
    <s v="$1,695"/>
    <n v="1695"/>
    <s v="$2,033"/>
    <n v="2033"/>
  </r>
  <r>
    <x v="7"/>
    <n v="8"/>
    <x v="1"/>
    <n v="17"/>
    <x v="0"/>
    <x v="6"/>
    <s v="$6,543"/>
    <n v="6543"/>
    <s v="RAM ProMaster"/>
    <s v="$132"/>
    <n v="132"/>
    <s v="$400"/>
    <n v="400"/>
    <s v="$50"/>
    <n v="50"/>
    <s v="$250"/>
    <n v="250"/>
    <s v="$121"/>
    <n v="121"/>
    <m/>
    <n v="0"/>
    <s v="$51"/>
    <n v="51"/>
    <s v="$51"/>
    <n v="51"/>
    <x v="0"/>
    <n v="295"/>
    <n v="389"/>
    <s v="$272"/>
    <n v="272"/>
    <s v="$100"/>
    <n v="100"/>
    <s v="$29"/>
    <n v="29"/>
    <s v="$61"/>
    <n v="61"/>
    <s v="$1,517"/>
    <n v="1517"/>
    <s v="$851"/>
    <n v="851"/>
    <s v="$1,309"/>
    <n v="1309"/>
    <s v="$1,112"/>
    <n v="1112"/>
    <s v="$1,636"/>
    <n v="1636"/>
    <s v="$1,963"/>
    <n v="1963"/>
  </r>
  <r>
    <x v="7"/>
    <n v="20"/>
    <x v="1"/>
    <n v="18"/>
    <x v="0"/>
    <x v="4"/>
    <s v="$6,543"/>
    <n v="6543"/>
    <s v="RAM ProMaster"/>
    <s v="$132"/>
    <n v="132"/>
    <s v="$400"/>
    <n v="400"/>
    <s v="$50"/>
    <n v="50"/>
    <s v="$250"/>
    <n v="250"/>
    <s v="$121"/>
    <n v="121"/>
    <m/>
    <n v="0"/>
    <s v="$51"/>
    <n v="51"/>
    <s v="$51"/>
    <n v="51"/>
    <x v="1"/>
    <n v="295"/>
    <n v="389"/>
    <s v="$272"/>
    <n v="272"/>
    <s v="$100"/>
    <n v="100"/>
    <s v="$29"/>
    <n v="29"/>
    <s v="$61"/>
    <n v="61"/>
    <s v="$1,517"/>
    <n v="1517"/>
    <s v="$851"/>
    <n v="851"/>
    <s v="$1,309"/>
    <n v="1309"/>
    <s v="$1,112"/>
    <n v="1112"/>
    <s v="$1,636"/>
    <n v="1636"/>
    <s v="$1,963"/>
    <n v="1963"/>
  </r>
  <r>
    <x v="7"/>
    <n v="22"/>
    <x v="1"/>
    <n v="12.9"/>
    <x v="0"/>
    <x v="1"/>
    <s v="$6,543"/>
    <n v="6543"/>
    <s v="RAM ProMaster"/>
    <s v="$132"/>
    <n v="132"/>
    <s v="$400"/>
    <n v="400"/>
    <s v="$50"/>
    <n v="50"/>
    <s v="$250"/>
    <n v="250"/>
    <s v="$121"/>
    <n v="121"/>
    <s v="$33"/>
    <n v="33"/>
    <s v="$51"/>
    <n v="51"/>
    <s v="$51"/>
    <n v="51"/>
    <x v="2"/>
    <n v="295"/>
    <n v="389"/>
    <s v="$272"/>
    <n v="272"/>
    <s v="$100"/>
    <n v="100"/>
    <s v="$29"/>
    <n v="29"/>
    <s v="$61"/>
    <n v="61"/>
    <s v="$1,550"/>
    <n v="1550"/>
    <s v="$851"/>
    <n v="851"/>
    <s v="$1,309"/>
    <n v="1309"/>
    <s v="$1,112"/>
    <n v="1112"/>
    <s v="$1,636"/>
    <n v="1636"/>
    <s v="$1,963"/>
    <n v="1963"/>
  </r>
  <r>
    <x v="7"/>
    <n v="23"/>
    <x v="1"/>
    <n v="12.9"/>
    <x v="0"/>
    <x v="2"/>
    <s v="$6,543"/>
    <n v="6543"/>
    <s v="RAM ProMaster"/>
    <s v="$132"/>
    <n v="132"/>
    <s v="$400"/>
    <n v="400"/>
    <s v="$50"/>
    <n v="50"/>
    <s v="$250"/>
    <n v="250"/>
    <s v="$121"/>
    <n v="121"/>
    <s v="$33"/>
    <n v="33"/>
    <s v="$51"/>
    <n v="51"/>
    <s v="$51"/>
    <n v="51"/>
    <x v="3"/>
    <n v="295"/>
    <n v="389"/>
    <s v="$272"/>
    <n v="272"/>
    <s v="$100"/>
    <n v="100"/>
    <s v="$29"/>
    <n v="29"/>
    <s v="$61"/>
    <n v="61"/>
    <s v="$1,550"/>
    <n v="1550"/>
    <s v="$851"/>
    <n v="851"/>
    <s v="$1,309"/>
    <n v="1309"/>
    <s v="$1,112"/>
    <n v="1112"/>
    <s v="$1,636"/>
    <n v="1636"/>
    <s v="$1,963"/>
    <n v="1963"/>
  </r>
  <r>
    <x v="8"/>
    <n v="25"/>
    <x v="0"/>
    <n v="12.9"/>
    <x v="0"/>
    <x v="2"/>
    <s v="$8,633"/>
    <n v="8633"/>
    <s v="RAM ProMaster"/>
    <s v="$132"/>
    <n v="132"/>
    <s v="$400"/>
    <n v="400"/>
    <s v="$50"/>
    <n v="50"/>
    <s v="$250"/>
    <n v="250"/>
    <s v="$134"/>
    <n v="134"/>
    <m/>
    <n v="0"/>
    <s v="$134"/>
    <n v="134"/>
    <s v="$6"/>
    <n v="6"/>
    <x v="2"/>
    <n v="295"/>
    <n v="234"/>
    <s v="$164"/>
    <n v="164"/>
    <s v="$100"/>
    <n v="100"/>
    <s v="$23"/>
    <n v="23"/>
    <s v="$55"/>
    <n v="55"/>
    <s v="$1,448"/>
    <n v="1448"/>
    <s v="$1,122"/>
    <n v="1122"/>
    <s v="$1,727"/>
    <n v="1727"/>
    <s v="$1,468"/>
    <n v="1468"/>
    <s v="$2,158"/>
    <n v="2158"/>
    <s v="$2,590"/>
    <n v="2590"/>
  </r>
  <r>
    <x v="8"/>
    <n v="26"/>
    <x v="0"/>
    <n v="18"/>
    <x v="0"/>
    <x v="3"/>
    <s v="$8,633"/>
    <n v="8633"/>
    <s v="RAM ProMaster"/>
    <s v="$132"/>
    <n v="132"/>
    <s v="$400"/>
    <n v="400"/>
    <s v="$50"/>
    <n v="50"/>
    <s v="$250"/>
    <n v="250"/>
    <s v="$134"/>
    <n v="134"/>
    <m/>
    <n v="0"/>
    <s v="$134"/>
    <n v="134"/>
    <s v="$6"/>
    <n v="6"/>
    <x v="2"/>
    <n v="295"/>
    <n v="234"/>
    <s v="$164"/>
    <n v="164"/>
    <s v="$100"/>
    <n v="100"/>
    <s v="$23"/>
    <n v="23"/>
    <s v="$55"/>
    <n v="55"/>
    <s v="$1,448"/>
    <n v="1448"/>
    <s v="$1,122"/>
    <n v="1122"/>
    <s v="$1,727"/>
    <n v="1727"/>
    <s v="$1,468"/>
    <n v="1468"/>
    <s v="$2,158"/>
    <n v="2158"/>
    <s v="$2,590"/>
    <n v="2590"/>
  </r>
  <r>
    <x v="8"/>
    <n v="27"/>
    <x v="0"/>
    <n v="19"/>
    <x v="0"/>
    <x v="0"/>
    <s v="$8,633"/>
    <n v="8633"/>
    <s v="RAM ProMaster"/>
    <s v="$132"/>
    <n v="132"/>
    <s v="$400"/>
    <n v="400"/>
    <s v="$50"/>
    <n v="50"/>
    <s v="$250"/>
    <n v="250"/>
    <s v="$134"/>
    <n v="134"/>
    <m/>
    <n v="0"/>
    <s v="$134"/>
    <n v="134"/>
    <s v="$6"/>
    <n v="6"/>
    <x v="2"/>
    <n v="295"/>
    <n v="234"/>
    <s v="$164"/>
    <n v="164"/>
    <s v="$100"/>
    <n v="100"/>
    <s v="$23"/>
    <n v="23"/>
    <s v="$55"/>
    <n v="55"/>
    <s v="$1,448"/>
    <n v="1448"/>
    <s v="$1,122"/>
    <n v="1122"/>
    <s v="$1,727"/>
    <n v="1727"/>
    <s v="$1,468"/>
    <n v="1468"/>
    <s v="$2,158"/>
    <n v="2158"/>
    <s v="$2,590"/>
    <n v="2590"/>
  </r>
  <r>
    <x v="8"/>
    <n v="27"/>
    <x v="0"/>
    <n v="20"/>
    <x v="0"/>
    <x v="0"/>
    <s v="$8,633"/>
    <n v="8633"/>
    <s v="RAM ProMaster"/>
    <s v="$132"/>
    <n v="132"/>
    <s v="$400"/>
    <n v="400"/>
    <s v="$50"/>
    <n v="50"/>
    <s v="$250"/>
    <n v="250"/>
    <s v="$134"/>
    <n v="134"/>
    <m/>
    <n v="0"/>
    <s v="$134"/>
    <n v="134"/>
    <s v="$6"/>
    <n v="6"/>
    <x v="2"/>
    <n v="295"/>
    <n v="234"/>
    <s v="$164"/>
    <n v="164"/>
    <s v="$100"/>
    <n v="100"/>
    <s v="$23"/>
    <n v="23"/>
    <s v="$55"/>
    <n v="55"/>
    <s v="$1,448"/>
    <n v="1448"/>
    <s v="$1,122"/>
    <n v="1122"/>
    <s v="$1,727"/>
    <n v="1727"/>
    <s v="$1,468"/>
    <n v="1468"/>
    <s v="$2,158"/>
    <n v="2158"/>
    <s v="$2,590"/>
    <n v="2590"/>
  </r>
  <r>
    <x v="9"/>
    <n v="1"/>
    <x v="0"/>
    <n v="21"/>
    <x v="0"/>
    <x v="0"/>
    <s v="$5,556"/>
    <n v="5556"/>
    <s v="Freightliner Sprinter"/>
    <s v="$132"/>
    <n v="132"/>
    <s v="$400"/>
    <n v="400"/>
    <s v="$50"/>
    <n v="50"/>
    <s v="$250"/>
    <n v="250"/>
    <s v="$120"/>
    <n v="120"/>
    <s v="$65"/>
    <n v="65"/>
    <s v="$134"/>
    <n v="134"/>
    <s v="$6"/>
    <n v="6"/>
    <x v="0"/>
    <n v="295"/>
    <n v="343"/>
    <s v="$240"/>
    <n v="240"/>
    <s v="$100"/>
    <n v="100"/>
    <s v="$22"/>
    <n v="22"/>
    <s v="$54"/>
    <n v="54"/>
    <s v="$1,573"/>
    <n v="1573"/>
    <s v="$722"/>
    <n v="722"/>
    <s v="$1,111"/>
    <n v="1111"/>
    <s v="$945"/>
    <n v="945"/>
    <s v="$1,389"/>
    <n v="1389"/>
    <s v="$1,667"/>
    <n v="1667"/>
  </r>
  <r>
    <x v="9"/>
    <n v="2"/>
    <x v="0"/>
    <n v="22"/>
    <x v="0"/>
    <x v="0"/>
    <s v="$5,556"/>
    <n v="5556"/>
    <s v="Freightliner Sprinter"/>
    <s v="$132"/>
    <n v="132"/>
    <s v="$400"/>
    <n v="400"/>
    <s v="$50"/>
    <n v="50"/>
    <s v="$250"/>
    <n v="250"/>
    <s v="$120"/>
    <n v="120"/>
    <s v="$65"/>
    <n v="65"/>
    <s v="$134"/>
    <n v="134"/>
    <s v="$6"/>
    <n v="6"/>
    <x v="0"/>
    <n v="295"/>
    <n v="343"/>
    <s v="$240"/>
    <n v="240"/>
    <s v="$100"/>
    <n v="100"/>
    <s v="$22"/>
    <n v="22"/>
    <s v="$54"/>
    <n v="54"/>
    <s v="$1,573"/>
    <n v="1573"/>
    <s v="$722"/>
    <n v="722"/>
    <s v="$1,111"/>
    <n v="1111"/>
    <s v="$945"/>
    <n v="945"/>
    <s v="$1,389"/>
    <n v="1389"/>
    <s v="$1,667"/>
    <n v="1667"/>
  </r>
  <r>
    <x v="9"/>
    <n v="10"/>
    <x v="0"/>
    <n v="23"/>
    <x v="0"/>
    <x v="0"/>
    <s v="$6,433"/>
    <n v="6433"/>
    <s v="Chevrolet Express"/>
    <s v="$132"/>
    <n v="132"/>
    <s v="$399"/>
    <n v="399"/>
    <s v="$50"/>
    <n v="50"/>
    <s v="$250"/>
    <n v="250"/>
    <s v="$134"/>
    <n v="134"/>
    <m/>
    <n v="0"/>
    <s v="$134"/>
    <n v="134"/>
    <s v="$6"/>
    <n v="6"/>
    <x v="1"/>
    <n v="295"/>
    <n v="343"/>
    <s v="$240"/>
    <n v="240"/>
    <s v="$100"/>
    <n v="100"/>
    <s v="$25"/>
    <n v="25"/>
    <s v="$57"/>
    <n v="57"/>
    <s v="$1,527"/>
    <n v="1527"/>
    <s v="$836"/>
    <n v="836"/>
    <s v="$1,287"/>
    <n v="1287"/>
    <s v="$1,094"/>
    <n v="1094"/>
    <s v="$1,608"/>
    <n v="1608"/>
    <s v="$1,930"/>
    <n v="1930"/>
  </r>
  <r>
    <x v="9"/>
    <n v="10"/>
    <x v="1"/>
    <n v="12.9"/>
    <x v="0"/>
    <x v="0"/>
    <s v="$3,456"/>
    <n v="3456"/>
    <s v="Nissan NV2500"/>
    <s v="$132"/>
    <n v="132"/>
    <s v="$400"/>
    <n v="400"/>
    <s v="$50"/>
    <n v="50"/>
    <s v="$250"/>
    <n v="250"/>
    <s v="$128"/>
    <n v="128"/>
    <s v="$65"/>
    <n v="65"/>
    <s v="$134"/>
    <n v="134"/>
    <s v="$6"/>
    <n v="6"/>
    <x v="3"/>
    <n v="295"/>
    <n v="343"/>
    <s v="$240"/>
    <n v="240"/>
    <s v="$100"/>
    <n v="100"/>
    <s v="$24"/>
    <n v="24"/>
    <s v="$56"/>
    <n v="56"/>
    <s v="$1,585"/>
    <n v="1585"/>
    <s v="$449"/>
    <n v="449"/>
    <s v="$691"/>
    <n v="691"/>
    <s v="$588"/>
    <n v="588"/>
    <s v="$864"/>
    <n v="864"/>
    <s v="$1,037"/>
    <n v="1037"/>
  </r>
  <r>
    <x v="9"/>
    <n v="11"/>
    <x v="0"/>
    <n v="13"/>
    <x v="0"/>
    <x v="0"/>
    <s v="$6,433"/>
    <n v="6433"/>
    <s v="Chevrolet Express"/>
    <s v="$132"/>
    <n v="132"/>
    <s v="$399"/>
    <n v="399"/>
    <s v="$50"/>
    <n v="50"/>
    <s v="$250"/>
    <n v="250"/>
    <s v="$134"/>
    <n v="134"/>
    <m/>
    <n v="0"/>
    <s v="$134"/>
    <n v="134"/>
    <s v="$6"/>
    <n v="6"/>
    <x v="1"/>
    <n v="295"/>
    <n v="343"/>
    <s v="$240"/>
    <n v="240"/>
    <s v="$100"/>
    <n v="100"/>
    <s v="$25"/>
    <n v="25"/>
    <s v="$57"/>
    <n v="57"/>
    <s v="$1,527"/>
    <n v="1527"/>
    <s v="$836"/>
    <n v="836"/>
    <s v="$1,287"/>
    <n v="1287"/>
    <s v="$1,094"/>
    <n v="1094"/>
    <s v="$1,608"/>
    <n v="1608"/>
    <s v="$1,930"/>
    <n v="1930"/>
  </r>
  <r>
    <x v="9"/>
    <n v="28"/>
    <x v="1"/>
    <n v="14"/>
    <x v="0"/>
    <x v="0"/>
    <s v="$3,456"/>
    <n v="3456"/>
    <s v="Nissan NV2500"/>
    <s v="$132"/>
    <n v="132"/>
    <s v="$400"/>
    <n v="400"/>
    <s v="$50"/>
    <n v="50"/>
    <s v="$250"/>
    <n v="250"/>
    <s v="$128"/>
    <n v="128"/>
    <m/>
    <n v="0"/>
    <s v="$134"/>
    <n v="134"/>
    <s v="$6"/>
    <n v="6"/>
    <x v="3"/>
    <n v="295"/>
    <n v="343"/>
    <s v="$240"/>
    <n v="240"/>
    <s v="$100"/>
    <n v="100"/>
    <s v="$24"/>
    <n v="24"/>
    <s v="$56"/>
    <n v="56"/>
    <s v="$1,520"/>
    <n v="1520"/>
    <s v="$449"/>
    <n v="449"/>
    <s v="$691"/>
    <n v="691"/>
    <s v="$588"/>
    <n v="588"/>
    <s v="$864"/>
    <n v="864"/>
    <s v="$1,037"/>
    <n v="1037"/>
  </r>
  <r>
    <x v="9"/>
    <n v="28"/>
    <x v="1"/>
    <n v="15"/>
    <x v="0"/>
    <x v="0"/>
    <s v="$3,456"/>
    <n v="3456"/>
    <s v="Nissan NV2500"/>
    <s v="$132"/>
    <n v="132"/>
    <s v="$400"/>
    <n v="400"/>
    <s v="$50"/>
    <n v="50"/>
    <s v="$250"/>
    <n v="250"/>
    <s v="$128"/>
    <n v="128"/>
    <m/>
    <n v="0"/>
    <s v="$134"/>
    <n v="134"/>
    <s v="$6"/>
    <n v="6"/>
    <x v="3"/>
    <n v="295"/>
    <n v="343"/>
    <s v="$240"/>
    <n v="240"/>
    <s v="$100"/>
    <n v="100"/>
    <s v="$24"/>
    <n v="24"/>
    <s v="$56"/>
    <n v="56"/>
    <s v="$1,520"/>
    <n v="1520"/>
    <s v="$449"/>
    <n v="449"/>
    <s v="$691"/>
    <n v="691"/>
    <s v="$588"/>
    <n v="588"/>
    <s v="$864"/>
    <n v="864"/>
    <s v="$1,037"/>
    <n v="1037"/>
  </r>
  <r>
    <x v="9"/>
    <n v="29"/>
    <x v="1"/>
    <n v="16"/>
    <x v="0"/>
    <x v="0"/>
    <s v="$3,456"/>
    <n v="3456"/>
    <s v="Nissan NV2500"/>
    <s v="$132"/>
    <n v="132"/>
    <s v="$400"/>
    <n v="400"/>
    <s v="$50"/>
    <n v="50"/>
    <s v="$250"/>
    <n v="250"/>
    <s v="$128"/>
    <n v="128"/>
    <m/>
    <n v="0"/>
    <s v="$134"/>
    <n v="134"/>
    <s v="$6"/>
    <n v="6"/>
    <x v="3"/>
    <n v="295"/>
    <n v="343"/>
    <s v="$240"/>
    <n v="240"/>
    <s v="$100"/>
    <n v="100"/>
    <s v="$24"/>
    <n v="24"/>
    <s v="$56"/>
    <n v="56"/>
    <s v="$1,520"/>
    <n v="1520"/>
    <s v="$449"/>
    <n v="449"/>
    <s v="$691"/>
    <n v="691"/>
    <s v="$588"/>
    <n v="588"/>
    <s v="$864"/>
    <n v="864"/>
    <s v="$1,037"/>
    <n v="1037"/>
  </r>
  <r>
    <x v="9"/>
    <n v="1"/>
    <x v="0"/>
    <n v="21"/>
    <x v="0"/>
    <x v="0"/>
    <s v="$5,556"/>
    <n v="5556"/>
    <s v="Freightliner Sprinter"/>
    <s v="$132"/>
    <n v="132"/>
    <s v="$400"/>
    <n v="400"/>
    <s v="$50"/>
    <n v="50"/>
    <s v="$250"/>
    <n v="250"/>
    <s v="$120"/>
    <n v="120"/>
    <s v="$65"/>
    <n v="65"/>
    <s v="$134"/>
    <n v="134"/>
    <s v="$6"/>
    <n v="6"/>
    <x v="0"/>
    <n v="295"/>
    <n v="343"/>
    <s v="$240"/>
    <n v="240"/>
    <s v="$100"/>
    <n v="100"/>
    <s v="$22"/>
    <n v="22"/>
    <s v="$54"/>
    <n v="54"/>
    <s v="$1,573"/>
    <n v="1573"/>
    <s v="$722"/>
    <n v="722"/>
    <s v="$1,111"/>
    <n v="1111"/>
    <s v="$945"/>
    <n v="945"/>
    <s v="$1,389"/>
    <n v="1389"/>
    <s v="$1,667"/>
    <n v="1667"/>
  </r>
  <r>
    <x v="9"/>
    <n v="2"/>
    <x v="0"/>
    <n v="22"/>
    <x v="0"/>
    <x v="0"/>
    <s v="$5,556"/>
    <n v="5556"/>
    <s v="Freightliner Sprinter"/>
    <s v="$132"/>
    <n v="132"/>
    <s v="$400"/>
    <n v="400"/>
    <s v="$50"/>
    <n v="50"/>
    <s v="$250"/>
    <n v="250"/>
    <s v="$120"/>
    <n v="120"/>
    <s v="$65"/>
    <n v="65"/>
    <s v="$134"/>
    <n v="134"/>
    <s v="$6"/>
    <n v="6"/>
    <x v="0"/>
    <n v="295"/>
    <n v="343"/>
    <s v="$240"/>
    <n v="240"/>
    <s v="$100"/>
    <n v="100"/>
    <s v="$22"/>
    <n v="22"/>
    <s v="$54"/>
    <n v="54"/>
    <s v="$1,573"/>
    <n v="1573"/>
    <s v="$722"/>
    <n v="722"/>
    <s v="$1,111"/>
    <n v="1111"/>
    <s v="$945"/>
    <n v="945"/>
    <s v="$1,389"/>
    <n v="1389"/>
    <s v="$1,667"/>
    <n v="1667"/>
  </r>
  <r>
    <x v="10"/>
    <n v="29"/>
    <x v="2"/>
    <n v="18"/>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0"/>
    <n v="11"/>
    <x v="2"/>
    <n v="17"/>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0"/>
    <n v="23"/>
    <x v="2"/>
    <n v="18"/>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0"/>
    <n v="23"/>
    <x v="2"/>
    <n v="18"/>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0"/>
    <n v="29"/>
    <x v="2"/>
    <n v="18"/>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1"/>
    <n v="12"/>
    <x v="0"/>
    <n v="12.9"/>
    <x v="0"/>
    <x v="0"/>
    <s v="$5,287"/>
    <n v="5287"/>
    <s v="Nissan NV2500"/>
    <s v="$132"/>
    <n v="132"/>
    <s v="$400"/>
    <n v="400"/>
    <s v="$50"/>
    <n v="50"/>
    <s v="$250"/>
    <n v="250"/>
    <s v="$134"/>
    <n v="134"/>
    <m/>
    <n v="0"/>
    <s v="$134"/>
    <n v="134"/>
    <s v="$6"/>
    <n v="6"/>
    <x v="3"/>
    <n v="295"/>
    <n v="343"/>
    <s v="$240"/>
    <n v="240"/>
    <s v="$100"/>
    <n v="100"/>
    <s v="$26"/>
    <n v="26"/>
    <s v="$58"/>
    <n v="58"/>
    <s v="$1,530"/>
    <n v="1530"/>
    <s v="$687"/>
    <n v="687"/>
    <s v="$1,057"/>
    <n v="1057"/>
    <s v="$899"/>
    <n v="899"/>
    <s v="$1,322"/>
    <n v="1322"/>
    <s v="$1,586"/>
    <n v="1586"/>
  </r>
  <r>
    <x v="11"/>
    <n v="24"/>
    <x v="0"/>
    <n v="18"/>
    <x v="0"/>
    <x v="0"/>
    <s v="$5,287"/>
    <n v="5287"/>
    <s v="Nissan NV2500"/>
    <s v="$132"/>
    <n v="132"/>
    <s v="$400"/>
    <n v="400"/>
    <s v="$50"/>
    <n v="50"/>
    <s v="$250"/>
    <n v="250"/>
    <s v="$134"/>
    <n v="134"/>
    <m/>
    <n v="0"/>
    <s v="$134"/>
    <n v="134"/>
    <s v="$6"/>
    <n v="6"/>
    <x v="3"/>
    <n v="295"/>
    <n v="343"/>
    <s v="$240"/>
    <n v="240"/>
    <s v="$100"/>
    <n v="100"/>
    <s v="$26"/>
    <n v="26"/>
    <s v="$58"/>
    <n v="58"/>
    <s v="$1,530"/>
    <n v="1530"/>
    <s v="$687"/>
    <n v="687"/>
    <s v="$1,057"/>
    <n v="1057"/>
    <s v="$899"/>
    <n v="899"/>
    <s v="$1,322"/>
    <n v="1322"/>
    <s v="$1,586"/>
    <n v="1586"/>
  </r>
  <r>
    <x v="11"/>
    <n v="25"/>
    <x v="0"/>
    <n v="18"/>
    <x v="0"/>
    <x v="0"/>
    <s v="$5,287"/>
    <n v="5287"/>
    <s v="Nissan NV2500"/>
    <s v="$132"/>
    <n v="132"/>
    <s v="$400"/>
    <n v="400"/>
    <s v="$50"/>
    <n v="50"/>
    <s v="$250"/>
    <n v="250"/>
    <s v="$134"/>
    <n v="134"/>
    <m/>
    <n v="0"/>
    <s v="$134"/>
    <n v="134"/>
    <s v="$6"/>
    <n v="6"/>
    <x v="3"/>
    <n v="295"/>
    <n v="343"/>
    <s v="$240"/>
    <n v="240"/>
    <s v="$100"/>
    <n v="100"/>
    <s v="$26"/>
    <n v="26"/>
    <s v="$58"/>
    <n v="58"/>
    <s v="$1,530"/>
    <n v="1530"/>
    <s v="$687"/>
    <n v="687"/>
    <s v="$1,057"/>
    <n v="1057"/>
    <s v="$899"/>
    <n v="899"/>
    <s v="$1,322"/>
    <n v="1322"/>
    <s v="$1,586"/>
    <n v="15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FBD615-C2F8-436D-B659-7AAA08C547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9:I22" firstHeaderRow="1"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48" baseField="0" baseItem="0" numFmtId="164"/>
  </dataFields>
  <formats count="11">
    <format dxfId="134">
      <pivotArea dataOnly="0" labelOnly="1" outline="0" fieldPosition="0">
        <references count="1">
          <reference field="4294967294" count="1">
            <x v="0"/>
          </reference>
        </references>
      </pivotArea>
    </format>
    <format dxfId="133">
      <pivotArea dataOnly="0" labelOnly="1" outline="0" fieldPosition="0">
        <references count="1">
          <reference field="4294967294" count="1">
            <x v="0"/>
          </reference>
        </references>
      </pivotArea>
    </format>
    <format dxfId="132">
      <pivotArea outline="0" collapsedLevelsAreSubtotals="1" fieldPosition="0"/>
    </format>
    <format dxfId="131">
      <pivotArea outline="0" collapsedLevelsAreSubtotals="1" fieldPosition="0"/>
    </format>
    <format dxfId="130">
      <pivotArea outline="0" collapsedLevelsAreSubtotals="1" fieldPosition="0"/>
    </format>
    <format dxfId="129">
      <pivotArea dataOnly="0" labelOnly="1" outline="0" fieldPosition="0">
        <references count="1">
          <reference field="4294967294" count="1">
            <x v="0"/>
          </reference>
        </references>
      </pivotArea>
    </format>
    <format dxfId="128">
      <pivotArea dataOnly="0" labelOnly="1" outline="0" fieldPosition="0">
        <references count="1">
          <reference field="4294967294" count="1">
            <x v="0"/>
          </reference>
        </references>
      </pivotArea>
    </format>
    <format dxfId="127">
      <pivotArea dataOnly="0" labelOnly="1" outline="0" fieldPosition="0">
        <references count="1">
          <reference field="4294967294" count="1">
            <x v="0"/>
          </reference>
        </references>
      </pivotArea>
    </format>
    <format dxfId="126">
      <pivotArea dataOnly="0" labelOnly="1" outline="0" fieldPosition="0">
        <references count="1">
          <reference field="4294967294" count="1">
            <x v="0"/>
          </reference>
        </references>
      </pivotArea>
    </format>
    <format dxfId="125">
      <pivotArea outline="0" collapsedLevelsAreSubtotals="1" fieldPosition="0"/>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EE1248-7E1C-4E1F-87EF-C16554A441F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W9:CB22" firstHeaderRow="0"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dataField="1" numFmtId="164" showAll="0"/>
    <pivotField showAll="0"/>
    <pivotField dataField="1" numFmtId="164" showAll="0"/>
    <pivotField showAll="0"/>
    <pivotField dataField="1" numFmtId="164" showAll="0"/>
    <pivotField showAll="0"/>
    <pivotField dataField="1" numFmtId="164" showAll="0"/>
    <pivotField showAll="0"/>
    <pivotField dataField="1" numFmtId="164"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Sum of First condition type" fld="39" baseField="0" baseItem="0"/>
    <dataField name="Sum of Shipment cost          sub-items" fld="41" baseField="0" baseItem="0"/>
    <dataField name="Sum of ERE Stage" fld="43" baseField="0" baseItem="0"/>
    <dataField name="Sum of Basic freight" fld="45" baseField="0" baseItem="0"/>
    <dataField name="Sum of Final Amount" fld="47" baseField="0" baseItem="0"/>
  </dataFields>
  <formats count="5">
    <format dxfId="175">
      <pivotArea outline="0" collapsedLevelsAreSubtotals="1" fieldPosition="0"/>
    </format>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9C4D19-46A0-45B3-99F2-692A06FC54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9:N12" firstHeaderRow="1" firstDataRow="1" firstDataCol="1"/>
  <pivotFields count="49">
    <pivotField showAll="0">
      <items count="13">
        <item x="0"/>
        <item x="1"/>
        <item x="2"/>
        <item x="3"/>
        <item x="4"/>
        <item x="5"/>
        <item x="6"/>
        <item x="7"/>
        <item x="8"/>
        <item x="9"/>
        <item x="10"/>
        <item x="11"/>
        <item t="default"/>
      </items>
    </pivotField>
    <pivotField showAll="0"/>
    <pivotField showAll="0"/>
    <pivotField showAll="0"/>
    <pivotField axis="axisRow" dataField="1" showAll="0">
      <items count="3">
        <item x="1"/>
        <item x="0"/>
        <item t="default"/>
      </items>
    </pivotField>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5">
    <format dxfId="180">
      <pivotArea outline="0" collapsedLevelsAreSubtotals="1" fieldPosition="0"/>
    </format>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380818-F828-4B3B-99BB-C05CD3DEF77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V9:AW22" firstHeaderRow="1"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48" baseField="0" baseItem="0" numFmtId="164"/>
  </dataFields>
  <formats count="11">
    <format dxfId="191">
      <pivotArea dataOnly="0" labelOnly="1" outline="0" fieldPosition="0">
        <references count="1">
          <reference field="4294967294" count="1">
            <x v="0"/>
          </reference>
        </references>
      </pivotArea>
    </format>
    <format dxfId="190">
      <pivotArea dataOnly="0" labelOnly="1" outline="0" fieldPosition="0">
        <references count="1">
          <reference field="4294967294" count="1">
            <x v="0"/>
          </reference>
        </references>
      </pivotArea>
    </format>
    <format dxfId="189">
      <pivotArea outline="0" collapsedLevelsAreSubtotals="1" fieldPosition="0"/>
    </format>
    <format dxfId="188">
      <pivotArea outline="0" collapsedLevelsAreSubtotals="1" fieldPosition="0"/>
    </format>
    <format dxfId="187">
      <pivotArea outline="0" collapsedLevelsAreSubtotals="1" fieldPosition="0"/>
    </format>
    <format dxfId="186">
      <pivotArea dataOnly="0" labelOnly="1" outline="0" fieldPosition="0">
        <references count="1">
          <reference field="4294967294" count="1">
            <x v="0"/>
          </reference>
        </references>
      </pivotArea>
    </format>
    <format dxfId="185">
      <pivotArea dataOnly="0" labelOnly="1" outline="0" fieldPosition="0">
        <references count="1">
          <reference field="4294967294" count="1">
            <x v="0"/>
          </reference>
        </references>
      </pivotArea>
    </format>
    <format dxfId="184">
      <pivotArea dataOnly="0" labelOnly="1" outline="0" fieldPosition="0">
        <references count="1">
          <reference field="4294967294" count="1">
            <x v="0"/>
          </reference>
        </references>
      </pivotArea>
    </format>
    <format dxfId="183">
      <pivotArea dataOnly="0" labelOnly="1" outline="0" fieldPosition="0">
        <references count="1">
          <reference field="4294967294" count="1">
            <x v="0"/>
          </reference>
        </references>
      </pivotArea>
    </format>
    <format dxfId="182">
      <pivotArea outline="0" collapsedLevelsAreSubtotals="1" fieldPosition="0"/>
    </format>
    <format dxfId="181">
      <pivotArea outline="0" collapsedLevelsAreSubtotals="1" fieldPosition="0"/>
    </format>
  </formats>
  <chartFormats count="3">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C794D6-B392-49BC-B482-A0B9F07E768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K9:BM22" firstHeaderRow="0"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7" baseField="0" baseItem="0"/>
    <dataField name="Sum of Total Expenses" fld="37" baseField="0" baseItem="0"/>
  </dataFields>
  <formats count="5">
    <format dxfId="196">
      <pivotArea outline="0" collapsedLevelsAreSubtotals="1" fieldPosition="0"/>
    </format>
    <format dxfId="195">
      <pivotArea outline="0" collapsedLevelsAreSubtotals="1" fieldPosition="0"/>
    </format>
    <format dxfId="194">
      <pivotArea outline="0" collapsedLevelsAreSubtotals="1" fieldPosition="0"/>
    </format>
    <format dxfId="193">
      <pivotArea outline="0" collapsedLevelsAreSubtotals="1" fieldPosition="0"/>
    </format>
    <format dxfId="1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5946B8-C659-4DA5-BF7E-BC5F622AA18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G9:AI22" firstHeaderRow="0"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7" baseField="0" baseItem="0"/>
    <dataField name="Sum of Total Expenses" fld="37" baseField="0" baseItem="0"/>
  </dataFields>
  <formats count="5">
    <format dxfId="139">
      <pivotArea outline="0" collapsedLevelsAreSubtotals="1" fieldPosition="0"/>
    </format>
    <format dxfId="138">
      <pivotArea outline="0" collapsedLevelsAreSubtotals="1" fieldPosition="0"/>
    </format>
    <format dxfId="137">
      <pivotArea outline="0" collapsedLevelsAreSubtotals="1" fieldPosition="0"/>
    </format>
    <format dxfId="136">
      <pivotArea outline="0" collapsedLevelsAreSubtotals="1" fieldPosition="0"/>
    </format>
    <format dxfId="1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07CA2-AC71-4733-848A-30EDEED1E78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9:U10" firstHeaderRow="0" firstDataRow="1" firstDataCol="0"/>
  <pivotFields count="49">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dataField="1" showAll="0"/>
    <pivotField showAll="0"/>
    <pivotField dataField="1" numFmtId="164" showAll="0"/>
    <pivotField showAll="0"/>
    <pivotField dataField="1"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Items count="1">
    <i/>
  </rowItems>
  <colFields count="1">
    <field x="-2"/>
  </colFields>
  <colItems count="4">
    <i>
      <x/>
    </i>
    <i i="1">
      <x v="1"/>
    </i>
    <i i="2">
      <x v="2"/>
    </i>
    <i i="3">
      <x v="3"/>
    </i>
  </colItems>
  <dataFields count="4">
    <dataField name="Sum of Insurance" fld="10" baseField="0" baseItem="3"/>
    <dataField name="Sum of Fuel" fld="12" baseField="0" baseItem="0"/>
    <dataField name="Sum of Diesel Exhaust Fluid" fld="14" baseField="0" baseItem="0"/>
    <dataField name="Sum of Advance" fld="16" baseField="0" baseItem="0"/>
  </dataFields>
  <formats count="10">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dataOnly="0" labelOnly="1" outline="0" fieldPosition="0">
        <references count="1">
          <reference field="4294967294" count="4">
            <x v="0"/>
            <x v="1"/>
            <x v="2"/>
            <x v="3"/>
          </reference>
        </references>
      </pivotArea>
    </format>
    <format dxfId="143">
      <pivotArea dataOnly="0" labelOnly="1" outline="0" fieldPosition="0">
        <references count="1">
          <reference field="4294967294" count="4">
            <x v="0"/>
            <x v="1"/>
            <x v="2"/>
            <x v="3"/>
          </reference>
        </references>
      </pivotArea>
    </format>
    <format dxfId="142">
      <pivotArea dataOnly="0" labelOnly="1" outline="0" fieldPosition="0">
        <references count="1">
          <reference field="4294967294" count="4">
            <x v="0"/>
            <x v="1"/>
            <x v="2"/>
            <x v="3"/>
          </reference>
        </references>
      </pivotArea>
    </format>
    <format dxfId="141">
      <pivotArea dataOnly="0" labelOnly="1" outline="0" fieldPosition="0">
        <references count="1">
          <reference field="4294967294" count="1">
            <x v="2"/>
          </reference>
        </references>
      </pivotArea>
    </format>
    <format dxfId="140">
      <pivotArea dataOnly="0"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3A7619-A330-4E90-A59B-CE2C0DFD7E7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9:BE13" firstHeaderRow="0" firstDataRow="1" firstDataCol="1"/>
  <pivotFields count="49">
    <pivotField showAll="0">
      <items count="13">
        <item x="0"/>
        <item x="1"/>
        <item x="2"/>
        <item x="3"/>
        <item x="4"/>
        <item x="5"/>
        <item x="6"/>
        <item x="7"/>
        <item x="8"/>
        <item x="9"/>
        <item x="10"/>
        <item x="11"/>
        <item t="default"/>
      </items>
    </pivotField>
    <pivotField showAll="0"/>
    <pivotField axis="axisRow" dataField="1" showAll="0">
      <items count="4">
        <item x="2"/>
        <item x="1"/>
        <item x="0"/>
        <item t="default"/>
      </items>
    </pivotField>
    <pivotField dataField="1"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Sum of Tonnage" fld="3" baseField="0" baseItem="0"/>
    <dataField name="Count of Loa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EF05C9-7F9A-4A37-A620-FFB89D80B1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D10" firstHeaderRow="0" firstDataRow="1" firstDataCol="0"/>
  <pivotFields count="49">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dragToRow="0" dragToCol="0" dragToPage="0" showAll="0" defaultSubtotal="0"/>
  </pivotFields>
  <rowItems count="1">
    <i/>
  </rowItems>
  <colFields count="1">
    <field x="-2"/>
  </colFields>
  <colItems count="3">
    <i>
      <x/>
    </i>
    <i i="1">
      <x v="1"/>
    </i>
    <i i="2">
      <x v="2"/>
    </i>
  </colItems>
  <dataFields count="3">
    <dataField name="Sum of Rate" fld="7" baseField="0" baseItem="0"/>
    <dataField name="Sum of Total Expenses" fld="37" baseField="0" baseItem="0"/>
    <dataField name="Sum of Balance" fld="48" baseField="0" baseItem="0" numFmtId="164"/>
  </dataFields>
  <formats count="11">
    <format dxfId="160">
      <pivotArea dataOnly="0" labelOnly="1" outline="0" fieldPosition="0">
        <references count="1">
          <reference field="4294967294" count="3">
            <x v="0"/>
            <x v="1"/>
            <x v="2"/>
          </reference>
        </references>
      </pivotArea>
    </format>
    <format dxfId="159">
      <pivotArea dataOnly="0" labelOnly="1" outline="0" fieldPosition="0">
        <references count="1">
          <reference field="4294967294" count="3">
            <x v="0"/>
            <x v="1"/>
            <x v="2"/>
          </reference>
        </references>
      </pivotArea>
    </format>
    <format dxfId="158">
      <pivotArea outline="0" collapsedLevelsAreSubtotals="1" fieldPosition="0"/>
    </format>
    <format dxfId="157">
      <pivotArea outline="0" collapsedLevelsAreSubtotals="1" fieldPosition="0"/>
    </format>
    <format dxfId="156">
      <pivotArea outline="0" collapsedLevelsAreSubtotals="1" fieldPosition="0"/>
    </format>
    <format dxfId="155">
      <pivotArea dataOnly="0" labelOnly="1" outline="0" fieldPosition="0">
        <references count="1">
          <reference field="4294967294" count="3">
            <x v="0"/>
            <x v="1"/>
            <x v="2"/>
          </reference>
        </references>
      </pivotArea>
    </format>
    <format dxfId="154">
      <pivotArea dataOnly="0" labelOnly="1" outline="0" fieldPosition="0">
        <references count="1">
          <reference field="4294967294" count="3">
            <x v="0"/>
            <x v="1"/>
            <x v="2"/>
          </reference>
        </references>
      </pivotArea>
    </format>
    <format dxfId="153">
      <pivotArea dataOnly="0" labelOnly="1" outline="0" fieldPosition="0">
        <references count="1">
          <reference field="4294967294" count="3">
            <x v="0"/>
            <x v="1"/>
            <x v="2"/>
          </reference>
        </references>
      </pivotArea>
    </format>
    <format dxfId="152">
      <pivotArea dataOnly="0" labelOnly="1" outline="0" fieldPosition="0">
        <references count="1">
          <reference field="4294967294" count="3">
            <x v="0"/>
            <x v="1"/>
            <x v="2"/>
          </reference>
        </references>
      </pivotArea>
    </format>
    <format dxfId="151">
      <pivotArea outline="0" collapsedLevelsAreSubtotals="1" fieldPosition="0"/>
    </format>
    <format dxfId="1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6F76BE-6D42-45B9-A994-DA2889DA271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L9:AR22" firstHeaderRow="0"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dataField="1" showAll="0"/>
    <pivotField dataField="1" showAll="0"/>
    <pivotField showAll="0"/>
    <pivotField dataField="1" numFmtId="164" showAll="0"/>
    <pivotField showAll="0"/>
    <pivotField dataField="1" numFmtId="164" showAll="0"/>
    <pivotField showAll="0"/>
    <pivotField dataField="1"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6">
    <i>
      <x/>
    </i>
    <i i="1">
      <x v="1"/>
    </i>
    <i i="2">
      <x v="2"/>
    </i>
    <i i="3">
      <x v="3"/>
    </i>
    <i i="4">
      <x v="4"/>
    </i>
    <i i="5">
      <x v="5"/>
    </i>
  </colItems>
  <dataFields count="6">
    <dataField name="Sum of Odometer" fld="26" baseField="0" baseItem="0"/>
    <dataField name="Sum of Miles" fld="27" baseField="0" baseItem="0"/>
    <dataField name="Sum of Rate Per Miles" fld="29" baseField="0" baseItem="0"/>
    <dataField name="Sum of Extra Stops" fld="31" baseField="0" baseItem="0"/>
    <dataField name="Sum of Extra Pay" fld="33" baseField="0" baseItem="0"/>
    <dataField name="Sum of Costs Driver Paid" fld="35" baseField="0" baseItem="0"/>
  </dataFields>
  <formats count="5">
    <format dxfId="165">
      <pivotArea outline="0" collapsedLevelsAreSubtotals="1" fieldPosition="0"/>
    </format>
    <format dxfId="164">
      <pivotArea outline="0" collapsedLevelsAreSubtotals="1"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F667F3-95AD-440D-B486-FA825EC4DD4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A9:AD10" firstHeaderRow="0" firstDataRow="1" firstDataCol="0"/>
  <pivotFields count="49">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dataField="1" numFmtId="164" showAll="0"/>
    <pivotField showAll="0"/>
    <pivotField dataField="1" numFmtId="164" showAll="0"/>
    <pivotField showAll="0"/>
    <pivotField dataField="1" numFmtId="164" showAll="0"/>
    <pivotField showAll="0"/>
    <pivotField dataField="1"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Items count="1">
    <i/>
  </rowItems>
  <colFields count="1">
    <field x="-2"/>
  </colFields>
  <colItems count="4">
    <i>
      <x/>
    </i>
    <i i="1">
      <x v="1"/>
    </i>
    <i i="2">
      <x v="2"/>
    </i>
    <i i="3">
      <x v="3"/>
    </i>
  </colItems>
  <dataFields count="4">
    <dataField name="Sum of Fundings" fld="24" baseField="0" baseItem="1"/>
    <dataField name="Sum of Warehouse" fld="18" baseField="0" baseItem="0"/>
    <dataField name="Sum of Tolls" fld="22" baseField="0" baseItem="0"/>
    <dataField name="Sum of Repairs" fld="20" baseField="0" baseItem="0"/>
  </dataFields>
  <formats count="5">
    <format dxfId="170">
      <pivotArea outline="0" collapsedLevelsAreSubtotals="1" fieldPosition="0"/>
    </format>
    <format dxfId="169">
      <pivotArea outline="0" collapsedLevelsAreSubtotals="1" fieldPosition="0"/>
    </format>
    <format dxfId="168">
      <pivotArea outline="0" collapsedLevelsAreSubtotals="1" fieldPosition="0"/>
    </format>
    <format dxfId="167">
      <pivotArea outline="0" collapsedLevelsAreSubtotals="1" fieldPosition="0"/>
    </format>
    <format dxfId="1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998760-CA5F-48B1-8550-8E99B48693B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Z9:AZ14" firstHeaderRow="1" firstDataRow="1" firstDataCol="1"/>
  <pivotFields count="49">
    <pivotField showAll="0"/>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axis="axisRow"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25"/>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969771-4DC9-437E-AEE0-F7DF27C2A52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G9:CH17" firstHeaderRow="1" firstDataRow="1" firstDataCol="1"/>
  <pivotFields count="49">
    <pivotField showAll="0">
      <items count="13">
        <item x="0"/>
        <item x="1"/>
        <item x="2"/>
        <item x="3"/>
        <item x="4"/>
        <item x="5"/>
        <item x="6"/>
        <item x="7"/>
        <item x="8"/>
        <item x="9"/>
        <item x="10"/>
        <item x="11"/>
        <item t="default"/>
      </items>
    </pivotField>
    <pivotField showAll="0"/>
    <pivotField showAll="0"/>
    <pivotField showAll="0"/>
    <pivotField showAll="0"/>
    <pivotField axis="axisRow" dataField="1" showAll="0">
      <items count="9">
        <item x="4"/>
        <item x="1"/>
        <item x="2"/>
        <item x="3"/>
        <item x="6"/>
        <item x="0"/>
        <item m="1" x="7"/>
        <item x="5"/>
        <item t="default"/>
      </items>
    </pivotField>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5"/>
  </rowFields>
  <rowItems count="8">
    <i>
      <x/>
    </i>
    <i>
      <x v="1"/>
    </i>
    <i>
      <x v="2"/>
    </i>
    <i>
      <x v="3"/>
    </i>
    <i>
      <x v="4"/>
    </i>
    <i>
      <x v="5"/>
    </i>
    <i>
      <x v="7"/>
    </i>
    <i t="grand">
      <x/>
    </i>
  </rowItems>
  <colItems count="1">
    <i/>
  </colItems>
  <dataFields count="1">
    <dataField name="Count of Destina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82DE4EC-95CF-4CFD-9AF2-7AD3B8107081}" sourceName="Month">
  <pivotTables>
    <pivotTable tabId="3" name="PivotTable7"/>
    <pivotTable tabId="3" name="PivotTable1"/>
    <pivotTable tabId="3" name="PivotTable3"/>
    <pivotTable tabId="3" name="PivotTable4"/>
    <pivotTable tabId="3" name="PivotTable5"/>
    <pivotTable tabId="3" name="PivotTable6"/>
    <pivotTable tabId="3" name="PivotTable2"/>
    <pivotTable tabId="3" name="PivotTable9"/>
    <pivotTable tabId="3" name="PivotTable14"/>
    <pivotTable tabId="3" name="PivotTable16"/>
    <pivotTable tabId="3" name="PivotTable17"/>
  </pivotTables>
  <data>
    <tabular pivotCacheId="221399556">
      <items count="12">
        <i x="0" s="1"/>
        <i x="2" s="1"/>
        <i x="5" s="1"/>
        <i x="6" s="1"/>
        <i x="10" s="1"/>
        <i x="3" s="1"/>
        <i x="7" s="1"/>
        <i x="11" s="1"/>
        <i x="1" s="1"/>
        <i x="4" s="1"/>
        <i x="9"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4E4C1ECA-63EB-40C3-9436-C13775B08892}" sourceName="Driver Name">
  <pivotTables>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 tabId="3" name="PivotTable1"/>
    <pivotTable tabId="3" name="PivotTable3"/>
    <pivotTable tabId="3" name="PivotTable16"/>
    <pivotTable tabId="3" name="PivotTable17"/>
  </pivotTables>
  <data>
    <tabular pivotCacheId="221399556">
      <items count="4">
        <i x="0"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FB01BF4-3908-4F5F-82D3-ECBE89584420}" cache="Slicer_Month" columnCount="12" showCaption="0" style="SlicerStyleDark1" rowHeight="365760"/>
  <slicer name="Driver Name" xr10:uid="{421F5641-FB3B-4C67-80AC-F564D671EC43}" cache="Slicer_Driver_Name" caption="Driver Name" showCaption="0"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B1B9-EFE6-48D3-88D7-08897F4EF7FE}">
  <sheetPr codeName="Sheet1">
    <tabColor theme="3" tint="0.749992370372631"/>
  </sheetPr>
  <dimension ref="A2:AV65"/>
  <sheetViews>
    <sheetView zoomScale="80" zoomScaleNormal="80" workbookViewId="0"/>
  </sheetViews>
  <sheetFormatPr defaultRowHeight="15" x14ac:dyDescent="0.25"/>
  <cols>
    <col min="4" max="4" width="11.140625" customWidth="1"/>
    <col min="5" max="5" width="17.42578125" customWidth="1"/>
    <col min="6" max="6" width="12.5703125" customWidth="1"/>
    <col min="7" max="7" width="10.28515625" hidden="1" customWidth="1"/>
    <col min="9" max="9" width="20.28515625" bestFit="1" customWidth="1"/>
    <col min="10" max="10" width="0" hidden="1" customWidth="1"/>
    <col min="11" max="11" width="10.5703125" bestFit="1" customWidth="1"/>
    <col min="12" max="12" width="0" hidden="1" customWidth="1"/>
    <col min="14" max="14" width="0" hidden="1" customWidth="1"/>
    <col min="15" max="15" width="14.7109375" customWidth="1"/>
    <col min="16" max="16" width="8.85546875" hidden="1" customWidth="1"/>
    <col min="17" max="17" width="9.5703125" bestFit="1" customWidth="1"/>
    <col min="18" max="18" width="0" hidden="1" customWidth="1"/>
    <col min="19" max="19" width="12" bestFit="1" customWidth="1"/>
    <col min="20" max="20" width="3.28515625" hidden="1" customWidth="1"/>
    <col min="21" max="21" width="8.42578125" bestFit="1" customWidth="1"/>
    <col min="22" max="22" width="0" hidden="1" customWidth="1"/>
    <col min="24" max="24" width="0" hidden="1" customWidth="1"/>
    <col min="25" max="25" width="10" bestFit="1" customWidth="1"/>
    <col min="26" max="26" width="19.28515625" bestFit="1" customWidth="1"/>
    <col min="27" max="27" width="11.42578125" customWidth="1"/>
    <col min="29" max="29" width="0" hidden="1" customWidth="1"/>
    <col min="30" max="30" width="14.7109375" customWidth="1"/>
    <col min="31" max="31" width="0" hidden="1" customWidth="1"/>
    <col min="32" max="32" width="13.5703125" customWidth="1"/>
    <col min="33" max="33" width="0" hidden="1" customWidth="1"/>
    <col min="34" max="34" width="10.28515625" bestFit="1" customWidth="1"/>
    <col min="35" max="35" width="0" hidden="1" customWidth="1"/>
    <col min="36" max="36" width="14.28515625" customWidth="1"/>
    <col min="37" max="37" width="0" hidden="1" customWidth="1"/>
    <col min="38" max="38" width="14.140625" customWidth="1"/>
    <col min="39" max="39" width="0" hidden="1" customWidth="1"/>
    <col min="40" max="40" width="14.7109375" customWidth="1"/>
    <col min="41" max="41" width="0" hidden="1" customWidth="1"/>
    <col min="42" max="42" width="12.28515625" customWidth="1"/>
    <col min="43" max="43" width="0" hidden="1" customWidth="1"/>
    <col min="44" max="44" width="11.28515625" bestFit="1" customWidth="1"/>
    <col min="45" max="45" width="0" hidden="1" customWidth="1"/>
    <col min="46" max="46" width="13.28515625" bestFit="1" customWidth="1"/>
    <col min="47" max="47" width="0" hidden="1" customWidth="1"/>
    <col min="48" max="48" width="14" bestFit="1" customWidth="1"/>
  </cols>
  <sheetData>
    <row r="2" spans="1:48" ht="15.75" thickBot="1" x14ac:dyDescent="0.3"/>
    <row r="3" spans="1:48" x14ac:dyDescent="0.25">
      <c r="A3" s="21"/>
      <c r="B3" s="14"/>
      <c r="C3" s="14"/>
      <c r="D3" s="14"/>
      <c r="E3" s="14"/>
      <c r="F3" s="14"/>
      <c r="G3" s="14"/>
      <c r="H3" s="15"/>
      <c r="I3" s="12"/>
      <c r="J3" s="11"/>
      <c r="K3" s="22" t="s">
        <v>229</v>
      </c>
      <c r="L3" s="11"/>
      <c r="M3" s="11"/>
      <c r="N3" s="11"/>
      <c r="O3" s="11"/>
      <c r="P3" s="11"/>
      <c r="Q3" s="13"/>
      <c r="S3" s="14"/>
      <c r="T3" s="14"/>
      <c r="U3" s="22" t="s">
        <v>230</v>
      </c>
      <c r="V3" s="14"/>
      <c r="W3" s="14"/>
      <c r="X3" s="14"/>
      <c r="Y3" s="15"/>
      <c r="Z3" s="21"/>
      <c r="AA3" s="14"/>
      <c r="AB3" s="14"/>
      <c r="AC3" s="14"/>
      <c r="AD3" s="22" t="s">
        <v>231</v>
      </c>
      <c r="AE3" s="14"/>
      <c r="AF3" s="14"/>
      <c r="AG3" s="14"/>
      <c r="AH3" s="14"/>
      <c r="AI3" s="14"/>
      <c r="AJ3" s="15"/>
      <c r="AL3" s="21"/>
      <c r="AM3" s="14"/>
      <c r="AN3" s="14"/>
      <c r="AO3" s="14"/>
      <c r="AP3" s="22" t="s">
        <v>232</v>
      </c>
      <c r="AQ3" s="14"/>
      <c r="AR3" s="14"/>
      <c r="AS3" s="14"/>
      <c r="AT3" s="14"/>
      <c r="AU3" s="14"/>
      <c r="AV3" s="15"/>
    </row>
    <row r="4" spans="1:48" ht="90" x14ac:dyDescent="0.25">
      <c r="A4" s="17" t="s">
        <v>0</v>
      </c>
      <c r="B4" s="17" t="s">
        <v>1</v>
      </c>
      <c r="C4" s="17" t="s">
        <v>2</v>
      </c>
      <c r="D4" s="17" t="s">
        <v>3</v>
      </c>
      <c r="E4" s="17" t="s">
        <v>4</v>
      </c>
      <c r="F4" s="17" t="s">
        <v>5</v>
      </c>
      <c r="G4" s="17" t="s">
        <v>30</v>
      </c>
      <c r="H4" s="17" t="s">
        <v>218</v>
      </c>
      <c r="I4" s="18" t="s">
        <v>31</v>
      </c>
      <c r="J4" s="18" t="s">
        <v>32</v>
      </c>
      <c r="K4" s="18" t="s">
        <v>219</v>
      </c>
      <c r="L4" s="18" t="s">
        <v>33</v>
      </c>
      <c r="M4" s="18" t="s">
        <v>220</v>
      </c>
      <c r="N4" s="18" t="s">
        <v>34</v>
      </c>
      <c r="O4" s="18" t="s">
        <v>221</v>
      </c>
      <c r="P4" s="18" t="s">
        <v>35</v>
      </c>
      <c r="Q4" s="18" t="s">
        <v>222</v>
      </c>
      <c r="R4" s="18" t="s">
        <v>36</v>
      </c>
      <c r="S4" s="18" t="s">
        <v>223</v>
      </c>
      <c r="T4" s="18" t="s">
        <v>37</v>
      </c>
      <c r="U4" s="18" t="s">
        <v>224</v>
      </c>
      <c r="V4" s="18" t="s">
        <v>38</v>
      </c>
      <c r="W4" s="18" t="s">
        <v>225</v>
      </c>
      <c r="X4" s="18" t="s">
        <v>40</v>
      </c>
      <c r="Y4" s="18" t="s">
        <v>41</v>
      </c>
      <c r="Z4" s="18" t="s">
        <v>42</v>
      </c>
      <c r="AA4" s="18" t="s">
        <v>43</v>
      </c>
      <c r="AB4" s="18" t="s">
        <v>44</v>
      </c>
      <c r="AC4" s="18" t="s">
        <v>45</v>
      </c>
      <c r="AD4" s="18" t="s">
        <v>46</v>
      </c>
      <c r="AE4" s="18" t="s">
        <v>47</v>
      </c>
      <c r="AF4" s="18" t="s">
        <v>48</v>
      </c>
      <c r="AG4" s="18" t="s">
        <v>49</v>
      </c>
      <c r="AH4" s="18" t="s">
        <v>50</v>
      </c>
      <c r="AI4" s="18" t="s">
        <v>51</v>
      </c>
      <c r="AJ4" s="18" t="s">
        <v>52</v>
      </c>
      <c r="AK4" s="1" t="s">
        <v>53</v>
      </c>
      <c r="AL4" s="19" t="s">
        <v>54</v>
      </c>
      <c r="AM4" s="1" t="s">
        <v>55</v>
      </c>
      <c r="AN4" s="20" t="s">
        <v>56</v>
      </c>
      <c r="AO4" s="20" t="s">
        <v>57</v>
      </c>
      <c r="AP4" s="20" t="s">
        <v>58</v>
      </c>
      <c r="AQ4" s="20" t="s">
        <v>59</v>
      </c>
      <c r="AR4" s="20" t="s">
        <v>60</v>
      </c>
      <c r="AS4" s="20" t="s">
        <v>61</v>
      </c>
      <c r="AT4" s="20" t="s">
        <v>62</v>
      </c>
      <c r="AU4" s="20" t="s">
        <v>63</v>
      </c>
      <c r="AV4" s="20" t="s">
        <v>64</v>
      </c>
    </row>
    <row r="5" spans="1:48" ht="45" x14ac:dyDescent="0.25">
      <c r="A5" s="2" t="s">
        <v>6</v>
      </c>
      <c r="B5" s="2">
        <v>1</v>
      </c>
      <c r="C5" s="2" t="s">
        <v>7</v>
      </c>
      <c r="D5" s="2">
        <v>11</v>
      </c>
      <c r="E5" s="2" t="s">
        <v>8</v>
      </c>
      <c r="F5" s="2" t="s">
        <v>14</v>
      </c>
      <c r="G5" s="4" t="s">
        <v>65</v>
      </c>
      <c r="H5" s="3">
        <f t="shared" ref="H5:H36" si="0">_xlfn.NUMBERVALUE(CLEAN(SUBSTITUTE(G5,"$"," ")))</f>
        <v>5556</v>
      </c>
      <c r="I5" s="5" t="s">
        <v>66</v>
      </c>
      <c r="J5" s="2" t="s">
        <v>67</v>
      </c>
      <c r="K5" s="6">
        <f>_xlfn.NUMBERVALUE(CLEAN(SUBSTITUTE(J5,"$"," ")))</f>
        <v>132</v>
      </c>
      <c r="L5" s="2" t="s">
        <v>68</v>
      </c>
      <c r="M5" s="6">
        <f>_xlfn.NUMBERVALUE(CLEAN(SUBSTITUTE(L5,"$"," ")))</f>
        <v>400</v>
      </c>
      <c r="N5" s="2" t="s">
        <v>69</v>
      </c>
      <c r="O5" s="6">
        <f>_xlfn.NUMBERVALUE(CLEAN(SUBSTITUTE(N5,"$"," ")))</f>
        <v>50</v>
      </c>
      <c r="P5" s="2" t="s">
        <v>70</v>
      </c>
      <c r="Q5" s="6">
        <f>_xlfn.NUMBERVALUE(CLEAN(SUBSTITUTE(P5,"$"," ")))</f>
        <v>250</v>
      </c>
      <c r="R5" s="2" t="s">
        <v>71</v>
      </c>
      <c r="S5" s="6">
        <f>_xlfn.NUMBERVALUE(CLEAN(SUBSTITUTE(R5,"$"," ")))</f>
        <v>120</v>
      </c>
      <c r="T5" s="2" t="s">
        <v>72</v>
      </c>
      <c r="U5" s="6">
        <f>_xlfn.NUMBERVALUE(CLEAN(SUBSTITUTE(T5,"$"," ")))</f>
        <v>65</v>
      </c>
      <c r="V5" s="2" t="s">
        <v>73</v>
      </c>
      <c r="W5" s="6">
        <f>_xlfn.NUMBERVALUE(CLEAN(SUBSTITUTE(V5,"$"," ")))</f>
        <v>134</v>
      </c>
      <c r="X5" s="2" t="s">
        <v>74</v>
      </c>
      <c r="Y5" s="6">
        <f>_xlfn.NUMBERVALUE(CLEAN(SUBSTITUTE(X5,"$"," ")))</f>
        <v>6</v>
      </c>
      <c r="Z5" s="5" t="s">
        <v>75</v>
      </c>
      <c r="AA5" s="2">
        <v>295</v>
      </c>
      <c r="AB5" s="2">
        <v>343</v>
      </c>
      <c r="AC5" s="2" t="s">
        <v>76</v>
      </c>
      <c r="AD5" s="6">
        <f t="shared" ref="AD5:AD36" si="1">_xlfn.NUMBERVALUE(CLEAN(SUBSTITUTE(AC5,"$"," ")))</f>
        <v>240</v>
      </c>
      <c r="AE5" s="2" t="s">
        <v>77</v>
      </c>
      <c r="AF5" s="6">
        <f>_xlfn.NUMBERVALUE(CLEAN(SUBSTITUTE(AE5,"$"," ")))</f>
        <v>100</v>
      </c>
      <c r="AG5" s="2" t="s">
        <v>78</v>
      </c>
      <c r="AH5" s="6">
        <f>_xlfn.NUMBERVALUE(CLEAN(SUBSTITUTE(AG5,"$"," ")))</f>
        <v>22</v>
      </c>
      <c r="AI5" s="2" t="s">
        <v>79</v>
      </c>
      <c r="AJ5" s="6">
        <f>_xlfn.NUMBERVALUE(CLEAN(SUBSTITUTE(AI5,"$"," ")))</f>
        <v>54</v>
      </c>
      <c r="AK5" s="6">
        <f>_xlfn.NUMBERVALUE(CLEAN(SUBSTITUTE(AJ5,"$"," ")))</f>
        <v>54</v>
      </c>
      <c r="AL5" s="3">
        <f>_xlfn.NUMBERVALUE(CLEAN(SUBSTITUTE(AK5,"$"," ")))</f>
        <v>54</v>
      </c>
      <c r="AM5" s="2" t="s">
        <v>80</v>
      </c>
      <c r="AN5" s="6">
        <f>_xlfn.NUMBERVALUE(CLEAN(SUBSTITUTE(AM5,"$"," ")))</f>
        <v>722</v>
      </c>
      <c r="AO5" s="2" t="s">
        <v>81</v>
      </c>
      <c r="AP5" s="6">
        <f>_xlfn.NUMBERVALUE(CLEAN(SUBSTITUTE(AO5,"$"," ")))</f>
        <v>1111</v>
      </c>
      <c r="AQ5" s="2" t="s">
        <v>82</v>
      </c>
      <c r="AR5" s="6">
        <f>_xlfn.NUMBERVALUE(CLEAN(SUBSTITUTE(AQ5,"$"," ")))</f>
        <v>945</v>
      </c>
      <c r="AS5" s="2" t="s">
        <v>83</v>
      </c>
      <c r="AT5" s="6">
        <f>_xlfn.NUMBERVALUE(CLEAN(SUBSTITUTE(AS5,"$"," ")))</f>
        <v>1389</v>
      </c>
      <c r="AU5" s="2" t="s">
        <v>84</v>
      </c>
      <c r="AV5" s="6">
        <f>_xlfn.NUMBERVALUE(CLEAN(SUBSTITUTE(AU5,"$"," ")))</f>
        <v>1667</v>
      </c>
    </row>
    <row r="6" spans="1:48" ht="45" x14ac:dyDescent="0.25">
      <c r="A6" s="2" t="s">
        <v>6</v>
      </c>
      <c r="B6" s="2">
        <v>3</v>
      </c>
      <c r="C6" s="2" t="s">
        <v>7</v>
      </c>
      <c r="D6" s="2">
        <v>21.3</v>
      </c>
      <c r="E6" s="2" t="s">
        <v>8</v>
      </c>
      <c r="F6" s="2" t="s">
        <v>9</v>
      </c>
      <c r="G6" s="7" t="s">
        <v>65</v>
      </c>
      <c r="H6" s="3">
        <f t="shared" si="0"/>
        <v>5556</v>
      </c>
      <c r="I6" s="5" t="s">
        <v>66</v>
      </c>
      <c r="J6" s="2" t="s">
        <v>67</v>
      </c>
      <c r="K6" s="6">
        <f t="shared" ref="K6:K65" si="2">_xlfn.NUMBERVALUE(CLEAN(SUBSTITUTE(J6,"$"," ")))</f>
        <v>132</v>
      </c>
      <c r="L6" s="2" t="s">
        <v>68</v>
      </c>
      <c r="M6" s="6">
        <f t="shared" ref="M6:M65" si="3">_xlfn.NUMBERVALUE(CLEAN(SUBSTITUTE(L6,"$"," ")))</f>
        <v>400</v>
      </c>
      <c r="N6" s="2" t="s">
        <v>69</v>
      </c>
      <c r="O6" s="6">
        <f t="shared" ref="O6:O65" si="4">_xlfn.NUMBERVALUE(CLEAN(SUBSTITUTE(N6,"$"," ")))</f>
        <v>50</v>
      </c>
      <c r="P6" s="2" t="s">
        <v>70</v>
      </c>
      <c r="Q6" s="6">
        <f t="shared" ref="Q6:Q65" si="5">_xlfn.NUMBERVALUE(CLEAN(SUBSTITUTE(P6,"$"," ")))</f>
        <v>250</v>
      </c>
      <c r="R6" s="2" t="s">
        <v>71</v>
      </c>
      <c r="S6" s="6">
        <f t="shared" ref="S6:S65" si="6">_xlfn.NUMBERVALUE(CLEAN(SUBSTITUTE(R6,"$"," ")))</f>
        <v>120</v>
      </c>
      <c r="T6" s="2" t="s">
        <v>72</v>
      </c>
      <c r="U6" s="6">
        <f t="shared" ref="U6:U65" si="7">_xlfn.NUMBERVALUE(CLEAN(SUBSTITUTE(T6,"$"," ")))</f>
        <v>65</v>
      </c>
      <c r="V6" s="2" t="s">
        <v>73</v>
      </c>
      <c r="W6" s="6">
        <f t="shared" ref="W6:W65" si="8">_xlfn.NUMBERVALUE(CLEAN(SUBSTITUTE(V6,"$"," ")))</f>
        <v>134</v>
      </c>
      <c r="X6" s="2" t="s">
        <v>74</v>
      </c>
      <c r="Y6" s="6">
        <f t="shared" ref="Y6:Y65" si="9">_xlfn.NUMBERVALUE(CLEAN(SUBSTITUTE(X6,"$"," ")))</f>
        <v>6</v>
      </c>
      <c r="Z6" s="5" t="s">
        <v>85</v>
      </c>
      <c r="AA6" s="2">
        <v>295</v>
      </c>
      <c r="AB6" s="2">
        <v>343</v>
      </c>
      <c r="AC6" s="2" t="s">
        <v>76</v>
      </c>
      <c r="AD6" s="6">
        <f t="shared" si="1"/>
        <v>240</v>
      </c>
      <c r="AE6" s="2" t="s">
        <v>77</v>
      </c>
      <c r="AF6" s="6">
        <f t="shared" ref="AF6:AF65" si="10">_xlfn.NUMBERVALUE(CLEAN(SUBSTITUTE(AE6,"$"," ")))</f>
        <v>100</v>
      </c>
      <c r="AG6" s="2" t="s">
        <v>78</v>
      </c>
      <c r="AH6" s="6">
        <f t="shared" ref="AH6:AH65" si="11">_xlfn.NUMBERVALUE(CLEAN(SUBSTITUTE(AG6,"$"," ")))</f>
        <v>22</v>
      </c>
      <c r="AI6" s="2" t="s">
        <v>79</v>
      </c>
      <c r="AJ6" s="6">
        <f t="shared" ref="AJ6:AJ65" si="12">_xlfn.NUMBERVALUE(CLEAN(SUBSTITUTE(AI6,"$"," ")))</f>
        <v>54</v>
      </c>
      <c r="AK6" s="7" t="s">
        <v>86</v>
      </c>
      <c r="AL6" s="3">
        <f t="shared" ref="AL6:AL65" si="13">_xlfn.NUMBERVALUE(CLEAN(SUBSTITUTE(AK6,"$"," ")))</f>
        <v>1573</v>
      </c>
      <c r="AM6" s="2" t="s">
        <v>80</v>
      </c>
      <c r="AN6" s="6">
        <f t="shared" ref="AN6:AN65" si="14">_xlfn.NUMBERVALUE(CLEAN(SUBSTITUTE(AM6,"$"," ")))</f>
        <v>722</v>
      </c>
      <c r="AO6" s="2" t="s">
        <v>81</v>
      </c>
      <c r="AP6" s="6">
        <f t="shared" ref="AP6:AP65" si="15">_xlfn.NUMBERVALUE(CLEAN(SUBSTITUTE(AO6,"$"," ")))</f>
        <v>1111</v>
      </c>
      <c r="AQ6" s="2" t="s">
        <v>82</v>
      </c>
      <c r="AR6" s="6">
        <f t="shared" ref="AR6:AR65" si="16">_xlfn.NUMBERVALUE(CLEAN(SUBSTITUTE(AQ6,"$"," ")))</f>
        <v>945</v>
      </c>
      <c r="AS6" s="2" t="s">
        <v>83</v>
      </c>
      <c r="AT6" s="6">
        <f t="shared" ref="AT6:AT65" si="17">_xlfn.NUMBERVALUE(CLEAN(SUBSTITUTE(AS6,"$"," ")))</f>
        <v>1389</v>
      </c>
      <c r="AU6" s="2" t="s">
        <v>84</v>
      </c>
      <c r="AV6" s="6">
        <f t="shared" ref="AV6:AV65" si="18">_xlfn.NUMBERVALUE(CLEAN(SUBSTITUTE(AU6,"$"," ")))</f>
        <v>1667</v>
      </c>
    </row>
    <row r="7" spans="1:48" ht="45" x14ac:dyDescent="0.25">
      <c r="A7" s="2" t="s">
        <v>6</v>
      </c>
      <c r="B7" s="2">
        <v>13</v>
      </c>
      <c r="C7" s="2" t="s">
        <v>7</v>
      </c>
      <c r="D7" s="2">
        <v>22</v>
      </c>
      <c r="E7" s="2" t="s">
        <v>8</v>
      </c>
      <c r="F7" s="2" t="s">
        <v>10</v>
      </c>
      <c r="G7" s="7" t="s">
        <v>65</v>
      </c>
      <c r="H7" s="3">
        <f t="shared" si="0"/>
        <v>5556</v>
      </c>
      <c r="I7" s="5" t="s">
        <v>66</v>
      </c>
      <c r="J7" s="2" t="s">
        <v>67</v>
      </c>
      <c r="K7" s="6">
        <f t="shared" si="2"/>
        <v>132</v>
      </c>
      <c r="L7" s="2" t="s">
        <v>68</v>
      </c>
      <c r="M7" s="6">
        <f t="shared" si="3"/>
        <v>400</v>
      </c>
      <c r="N7" s="2" t="s">
        <v>69</v>
      </c>
      <c r="O7" s="6">
        <f t="shared" si="4"/>
        <v>50</v>
      </c>
      <c r="P7" s="2" t="s">
        <v>70</v>
      </c>
      <c r="Q7" s="6">
        <f t="shared" si="5"/>
        <v>250</v>
      </c>
      <c r="R7" s="2" t="s">
        <v>71</v>
      </c>
      <c r="S7" s="6">
        <f t="shared" si="6"/>
        <v>120</v>
      </c>
      <c r="T7" s="2" t="s">
        <v>72</v>
      </c>
      <c r="U7" s="6">
        <f t="shared" si="7"/>
        <v>65</v>
      </c>
      <c r="V7" s="2" t="s">
        <v>73</v>
      </c>
      <c r="W7" s="6">
        <f t="shared" si="8"/>
        <v>134</v>
      </c>
      <c r="X7" s="2" t="s">
        <v>74</v>
      </c>
      <c r="Y7" s="6">
        <f t="shared" si="9"/>
        <v>6</v>
      </c>
      <c r="Z7" s="5" t="s">
        <v>87</v>
      </c>
      <c r="AA7" s="2">
        <v>295</v>
      </c>
      <c r="AB7" s="2">
        <v>343</v>
      </c>
      <c r="AC7" s="2" t="s">
        <v>76</v>
      </c>
      <c r="AD7" s="6">
        <f t="shared" si="1"/>
        <v>240</v>
      </c>
      <c r="AE7" s="2" t="s">
        <v>77</v>
      </c>
      <c r="AF7" s="6">
        <f t="shared" si="10"/>
        <v>100</v>
      </c>
      <c r="AG7" s="2" t="s">
        <v>78</v>
      </c>
      <c r="AH7" s="6">
        <f t="shared" si="11"/>
        <v>22</v>
      </c>
      <c r="AI7" s="2" t="s">
        <v>79</v>
      </c>
      <c r="AJ7" s="6">
        <f t="shared" si="12"/>
        <v>54</v>
      </c>
      <c r="AK7" s="7" t="s">
        <v>86</v>
      </c>
      <c r="AL7" s="3">
        <f t="shared" si="13"/>
        <v>1573</v>
      </c>
      <c r="AM7" s="2" t="s">
        <v>80</v>
      </c>
      <c r="AN7" s="6">
        <f t="shared" si="14"/>
        <v>722</v>
      </c>
      <c r="AO7" s="2" t="s">
        <v>81</v>
      </c>
      <c r="AP7" s="6">
        <f t="shared" si="15"/>
        <v>1111</v>
      </c>
      <c r="AQ7" s="2" t="s">
        <v>82</v>
      </c>
      <c r="AR7" s="6">
        <f t="shared" si="16"/>
        <v>945</v>
      </c>
      <c r="AS7" s="2" t="s">
        <v>83</v>
      </c>
      <c r="AT7" s="6">
        <f t="shared" si="17"/>
        <v>1389</v>
      </c>
      <c r="AU7" s="2" t="s">
        <v>84</v>
      </c>
      <c r="AV7" s="6">
        <f t="shared" si="18"/>
        <v>1667</v>
      </c>
    </row>
    <row r="8" spans="1:48" ht="45" x14ac:dyDescent="0.25">
      <c r="A8" s="2" t="s">
        <v>11</v>
      </c>
      <c r="B8" s="2">
        <v>4</v>
      </c>
      <c r="C8" s="2" t="s">
        <v>12</v>
      </c>
      <c r="D8" s="2">
        <v>14.5</v>
      </c>
      <c r="E8" s="2" t="s">
        <v>8</v>
      </c>
      <c r="F8" s="2" t="s">
        <v>9</v>
      </c>
      <c r="G8" s="7" t="s">
        <v>88</v>
      </c>
      <c r="H8" s="3">
        <f t="shared" si="0"/>
        <v>4567</v>
      </c>
      <c r="I8" s="5" t="s">
        <v>66</v>
      </c>
      <c r="J8" s="2" t="s">
        <v>67</v>
      </c>
      <c r="K8" s="2" t="s">
        <v>67</v>
      </c>
      <c r="L8" s="2" t="s">
        <v>89</v>
      </c>
      <c r="M8" s="6">
        <f t="shared" si="3"/>
        <v>333</v>
      </c>
      <c r="N8" s="2" t="s">
        <v>90</v>
      </c>
      <c r="O8" s="6">
        <f t="shared" si="4"/>
        <v>51</v>
      </c>
      <c r="P8" s="2" t="s">
        <v>70</v>
      </c>
      <c r="Q8" s="6">
        <f t="shared" si="5"/>
        <v>250</v>
      </c>
      <c r="R8" s="2" t="s">
        <v>73</v>
      </c>
      <c r="S8" s="6">
        <f t="shared" si="6"/>
        <v>134</v>
      </c>
      <c r="T8" s="2" t="s">
        <v>72</v>
      </c>
      <c r="U8" s="6">
        <f t="shared" si="7"/>
        <v>65</v>
      </c>
      <c r="V8" s="2" t="s">
        <v>73</v>
      </c>
      <c r="W8" s="6">
        <f t="shared" si="8"/>
        <v>134</v>
      </c>
      <c r="X8" s="2" t="s">
        <v>74</v>
      </c>
      <c r="Y8" s="6">
        <f t="shared" si="9"/>
        <v>6</v>
      </c>
      <c r="Z8" s="5" t="s">
        <v>75</v>
      </c>
      <c r="AA8" s="2">
        <v>295</v>
      </c>
      <c r="AB8" s="2">
        <v>354</v>
      </c>
      <c r="AC8" s="2" t="s">
        <v>91</v>
      </c>
      <c r="AD8" s="6">
        <f t="shared" si="1"/>
        <v>248</v>
      </c>
      <c r="AE8" s="2" t="s">
        <v>77</v>
      </c>
      <c r="AF8" s="6">
        <f t="shared" si="10"/>
        <v>100</v>
      </c>
      <c r="AG8" s="2" t="s">
        <v>92</v>
      </c>
      <c r="AH8" s="6">
        <f t="shared" si="11"/>
        <v>23</v>
      </c>
      <c r="AI8" s="2" t="s">
        <v>93</v>
      </c>
      <c r="AJ8" s="6">
        <f t="shared" si="12"/>
        <v>55</v>
      </c>
      <c r="AK8" s="7" t="s">
        <v>94</v>
      </c>
      <c r="AL8" s="3">
        <f t="shared" si="13"/>
        <v>1531</v>
      </c>
      <c r="AM8" s="2" t="s">
        <v>95</v>
      </c>
      <c r="AN8" s="6">
        <f t="shared" si="14"/>
        <v>594</v>
      </c>
      <c r="AO8" s="2" t="s">
        <v>96</v>
      </c>
      <c r="AP8" s="6">
        <f t="shared" si="15"/>
        <v>913</v>
      </c>
      <c r="AQ8" s="2" t="s">
        <v>97</v>
      </c>
      <c r="AR8" s="6">
        <f t="shared" si="16"/>
        <v>776</v>
      </c>
      <c r="AS8" s="2" t="s">
        <v>98</v>
      </c>
      <c r="AT8" s="6">
        <f t="shared" si="17"/>
        <v>1142</v>
      </c>
      <c r="AU8" s="2" t="s">
        <v>99</v>
      </c>
      <c r="AV8" s="6">
        <f t="shared" si="18"/>
        <v>1370</v>
      </c>
    </row>
    <row r="9" spans="1:48" ht="45" x14ac:dyDescent="0.25">
      <c r="A9" s="2" t="s">
        <v>11</v>
      </c>
      <c r="B9" s="2">
        <v>5</v>
      </c>
      <c r="C9" s="2" t="s">
        <v>12</v>
      </c>
      <c r="D9" s="2">
        <v>18</v>
      </c>
      <c r="E9" s="2" t="s">
        <v>8</v>
      </c>
      <c r="F9" s="2" t="s">
        <v>10</v>
      </c>
      <c r="G9" s="7" t="s">
        <v>88</v>
      </c>
      <c r="H9" s="3">
        <f t="shared" si="0"/>
        <v>4567</v>
      </c>
      <c r="I9" s="5" t="s">
        <v>66</v>
      </c>
      <c r="J9" s="2" t="s">
        <v>67</v>
      </c>
      <c r="K9" s="6">
        <f t="shared" si="2"/>
        <v>132</v>
      </c>
      <c r="L9" s="2" t="s">
        <v>89</v>
      </c>
      <c r="M9" s="6">
        <f t="shared" si="3"/>
        <v>333</v>
      </c>
      <c r="N9" s="2" t="s">
        <v>100</v>
      </c>
      <c r="O9" s="6">
        <f t="shared" si="4"/>
        <v>52</v>
      </c>
      <c r="P9" s="2" t="s">
        <v>70</v>
      </c>
      <c r="Q9" s="6">
        <f t="shared" si="5"/>
        <v>250</v>
      </c>
      <c r="R9" s="2" t="s">
        <v>73</v>
      </c>
      <c r="S9" s="6">
        <f t="shared" si="6"/>
        <v>134</v>
      </c>
      <c r="T9" s="2" t="s">
        <v>72</v>
      </c>
      <c r="U9" s="6">
        <f t="shared" si="7"/>
        <v>65</v>
      </c>
      <c r="V9" s="2" t="s">
        <v>73</v>
      </c>
      <c r="W9" s="6">
        <f t="shared" si="8"/>
        <v>134</v>
      </c>
      <c r="X9" s="2" t="s">
        <v>74</v>
      </c>
      <c r="Y9" s="6">
        <f t="shared" si="9"/>
        <v>6</v>
      </c>
      <c r="Z9" s="5" t="s">
        <v>85</v>
      </c>
      <c r="AA9" s="2">
        <v>295</v>
      </c>
      <c r="AB9" s="2">
        <v>354</v>
      </c>
      <c r="AC9" s="2" t="s">
        <v>91</v>
      </c>
      <c r="AD9" s="6">
        <f t="shared" si="1"/>
        <v>248</v>
      </c>
      <c r="AE9" s="2" t="s">
        <v>77</v>
      </c>
      <c r="AF9" s="6">
        <f t="shared" si="10"/>
        <v>100</v>
      </c>
      <c r="AG9" s="2" t="s">
        <v>92</v>
      </c>
      <c r="AH9" s="6">
        <f t="shared" si="11"/>
        <v>23</v>
      </c>
      <c r="AI9" s="2" t="s">
        <v>93</v>
      </c>
      <c r="AJ9" s="6">
        <f t="shared" si="12"/>
        <v>55</v>
      </c>
      <c r="AK9" s="7" t="s">
        <v>101</v>
      </c>
      <c r="AL9" s="3">
        <f t="shared" si="13"/>
        <v>1532</v>
      </c>
      <c r="AM9" s="2" t="s">
        <v>95</v>
      </c>
      <c r="AN9" s="6">
        <f t="shared" si="14"/>
        <v>594</v>
      </c>
      <c r="AO9" s="2" t="s">
        <v>96</v>
      </c>
      <c r="AP9" s="6">
        <f t="shared" si="15"/>
        <v>913</v>
      </c>
      <c r="AQ9" s="2" t="s">
        <v>97</v>
      </c>
      <c r="AR9" s="6">
        <f t="shared" si="16"/>
        <v>776</v>
      </c>
      <c r="AS9" s="2" t="s">
        <v>98</v>
      </c>
      <c r="AT9" s="6">
        <f t="shared" si="17"/>
        <v>1142</v>
      </c>
      <c r="AU9" s="2" t="s">
        <v>99</v>
      </c>
      <c r="AV9" s="6">
        <f t="shared" si="18"/>
        <v>1370</v>
      </c>
    </row>
    <row r="10" spans="1:48" ht="45" x14ac:dyDescent="0.25">
      <c r="A10" s="2" t="s">
        <v>11</v>
      </c>
      <c r="B10" s="2">
        <v>6</v>
      </c>
      <c r="C10" s="2" t="s">
        <v>12</v>
      </c>
      <c r="D10" s="2">
        <v>19</v>
      </c>
      <c r="E10" s="2" t="s">
        <v>8</v>
      </c>
      <c r="F10" s="2" t="s">
        <v>13</v>
      </c>
      <c r="G10" s="7" t="s">
        <v>88</v>
      </c>
      <c r="H10" s="3">
        <f t="shared" si="0"/>
        <v>4567</v>
      </c>
      <c r="I10" s="5" t="s">
        <v>66</v>
      </c>
      <c r="J10" s="2" t="s">
        <v>67</v>
      </c>
      <c r="K10" s="6">
        <f t="shared" si="2"/>
        <v>132</v>
      </c>
      <c r="L10" s="2" t="s">
        <v>89</v>
      </c>
      <c r="M10" s="6">
        <f t="shared" si="3"/>
        <v>333</v>
      </c>
      <c r="N10" s="2" t="s">
        <v>102</v>
      </c>
      <c r="O10" s="6">
        <f t="shared" si="4"/>
        <v>53</v>
      </c>
      <c r="P10" s="2" t="s">
        <v>70</v>
      </c>
      <c r="Q10" s="6">
        <f t="shared" si="5"/>
        <v>250</v>
      </c>
      <c r="R10" s="2" t="s">
        <v>73</v>
      </c>
      <c r="S10" s="6">
        <f t="shared" si="6"/>
        <v>134</v>
      </c>
      <c r="T10" s="2" t="s">
        <v>72</v>
      </c>
      <c r="U10" s="6">
        <f t="shared" si="7"/>
        <v>65</v>
      </c>
      <c r="V10" s="2" t="s">
        <v>73</v>
      </c>
      <c r="W10" s="6">
        <f t="shared" si="8"/>
        <v>134</v>
      </c>
      <c r="X10" s="2" t="s">
        <v>74</v>
      </c>
      <c r="Y10" s="6">
        <f t="shared" si="9"/>
        <v>6</v>
      </c>
      <c r="Z10" s="5" t="s">
        <v>87</v>
      </c>
      <c r="AA10" s="2">
        <v>295</v>
      </c>
      <c r="AB10" s="2">
        <v>354</v>
      </c>
      <c r="AC10" s="2" t="s">
        <v>91</v>
      </c>
      <c r="AD10" s="6">
        <f t="shared" si="1"/>
        <v>248</v>
      </c>
      <c r="AE10" s="2" t="s">
        <v>77</v>
      </c>
      <c r="AF10" s="6">
        <f t="shared" si="10"/>
        <v>100</v>
      </c>
      <c r="AG10" s="2" t="s">
        <v>92</v>
      </c>
      <c r="AH10" s="6">
        <f t="shared" si="11"/>
        <v>23</v>
      </c>
      <c r="AI10" s="2" t="s">
        <v>93</v>
      </c>
      <c r="AJ10" s="6">
        <f t="shared" si="12"/>
        <v>55</v>
      </c>
      <c r="AK10" s="7" t="s">
        <v>103</v>
      </c>
      <c r="AL10" s="3">
        <f t="shared" si="13"/>
        <v>1533</v>
      </c>
      <c r="AM10" s="2" t="s">
        <v>95</v>
      </c>
      <c r="AN10" s="6">
        <f t="shared" si="14"/>
        <v>594</v>
      </c>
      <c r="AO10" s="2" t="s">
        <v>96</v>
      </c>
      <c r="AP10" s="6">
        <f t="shared" si="15"/>
        <v>913</v>
      </c>
      <c r="AQ10" s="2" t="s">
        <v>97</v>
      </c>
      <c r="AR10" s="6">
        <f t="shared" si="16"/>
        <v>776</v>
      </c>
      <c r="AS10" s="2" t="s">
        <v>98</v>
      </c>
      <c r="AT10" s="6">
        <f t="shared" si="17"/>
        <v>1142</v>
      </c>
      <c r="AU10" s="2" t="s">
        <v>99</v>
      </c>
      <c r="AV10" s="6">
        <f t="shared" si="18"/>
        <v>1370</v>
      </c>
    </row>
    <row r="11" spans="1:48" ht="45" x14ac:dyDescent="0.25">
      <c r="A11" s="2" t="s">
        <v>11</v>
      </c>
      <c r="B11" s="2">
        <v>14</v>
      </c>
      <c r="C11" s="2" t="s">
        <v>12</v>
      </c>
      <c r="D11" s="2">
        <v>20</v>
      </c>
      <c r="E11" s="2" t="s">
        <v>8</v>
      </c>
      <c r="F11" s="2" t="s">
        <v>14</v>
      </c>
      <c r="G11" s="7" t="s">
        <v>88</v>
      </c>
      <c r="H11" s="3">
        <f t="shared" si="0"/>
        <v>4567</v>
      </c>
      <c r="I11" s="5" t="s">
        <v>66</v>
      </c>
      <c r="J11" s="2" t="s">
        <v>67</v>
      </c>
      <c r="K11" s="6">
        <f t="shared" si="2"/>
        <v>132</v>
      </c>
      <c r="L11" s="2" t="s">
        <v>89</v>
      </c>
      <c r="M11" s="6">
        <f t="shared" si="3"/>
        <v>333</v>
      </c>
      <c r="N11" s="2" t="s">
        <v>79</v>
      </c>
      <c r="O11" s="6">
        <f t="shared" si="4"/>
        <v>54</v>
      </c>
      <c r="P11" s="2" t="s">
        <v>70</v>
      </c>
      <c r="Q11" s="6">
        <f t="shared" si="5"/>
        <v>250</v>
      </c>
      <c r="R11" s="2" t="s">
        <v>73</v>
      </c>
      <c r="S11" s="6">
        <f t="shared" si="6"/>
        <v>134</v>
      </c>
      <c r="T11" s="2" t="s">
        <v>72</v>
      </c>
      <c r="U11" s="6">
        <f t="shared" si="7"/>
        <v>65</v>
      </c>
      <c r="V11" s="2" t="s">
        <v>73</v>
      </c>
      <c r="W11" s="6">
        <f t="shared" si="8"/>
        <v>134</v>
      </c>
      <c r="X11" s="2" t="s">
        <v>74</v>
      </c>
      <c r="Y11" s="6">
        <f t="shared" si="9"/>
        <v>6</v>
      </c>
      <c r="Z11" s="5" t="s">
        <v>104</v>
      </c>
      <c r="AA11" s="2">
        <v>295</v>
      </c>
      <c r="AB11" s="2">
        <v>354</v>
      </c>
      <c r="AC11" s="2" t="s">
        <v>91</v>
      </c>
      <c r="AD11" s="6">
        <f t="shared" si="1"/>
        <v>248</v>
      </c>
      <c r="AE11" s="2" t="s">
        <v>77</v>
      </c>
      <c r="AF11" s="6">
        <f t="shared" si="10"/>
        <v>100</v>
      </c>
      <c r="AG11" s="2" t="s">
        <v>92</v>
      </c>
      <c r="AH11" s="6">
        <f t="shared" si="11"/>
        <v>23</v>
      </c>
      <c r="AI11" s="2" t="s">
        <v>93</v>
      </c>
      <c r="AJ11" s="6">
        <f t="shared" si="12"/>
        <v>55</v>
      </c>
      <c r="AK11" s="7" t="s">
        <v>105</v>
      </c>
      <c r="AL11" s="3">
        <f t="shared" si="13"/>
        <v>1534</v>
      </c>
      <c r="AM11" s="2" t="s">
        <v>95</v>
      </c>
      <c r="AN11" s="6">
        <f t="shared" si="14"/>
        <v>594</v>
      </c>
      <c r="AO11" s="2" t="s">
        <v>96</v>
      </c>
      <c r="AP11" s="6">
        <f t="shared" si="15"/>
        <v>913</v>
      </c>
      <c r="AQ11" s="2" t="s">
        <v>97</v>
      </c>
      <c r="AR11" s="6">
        <f t="shared" si="16"/>
        <v>776</v>
      </c>
      <c r="AS11" s="2" t="s">
        <v>98</v>
      </c>
      <c r="AT11" s="6">
        <f t="shared" si="17"/>
        <v>1142</v>
      </c>
      <c r="AU11" s="2" t="s">
        <v>99</v>
      </c>
      <c r="AV11" s="6">
        <f t="shared" si="18"/>
        <v>1370</v>
      </c>
    </row>
    <row r="12" spans="1:48" ht="45" x14ac:dyDescent="0.25">
      <c r="A12" s="2" t="s">
        <v>15</v>
      </c>
      <c r="B12" s="2">
        <v>2</v>
      </c>
      <c r="C12" s="2" t="s">
        <v>16</v>
      </c>
      <c r="D12" s="2">
        <v>21</v>
      </c>
      <c r="E12" s="2" t="s">
        <v>8</v>
      </c>
      <c r="F12" s="2" t="s">
        <v>10</v>
      </c>
      <c r="G12" s="7" t="s">
        <v>106</v>
      </c>
      <c r="H12" s="3">
        <f t="shared" si="0"/>
        <v>3458</v>
      </c>
      <c r="I12" s="5" t="s">
        <v>66</v>
      </c>
      <c r="J12" s="2" t="s">
        <v>67</v>
      </c>
      <c r="K12" s="6">
        <f t="shared" si="2"/>
        <v>132</v>
      </c>
      <c r="L12" s="2" t="s">
        <v>107</v>
      </c>
      <c r="M12" s="6">
        <f t="shared" si="3"/>
        <v>453</v>
      </c>
      <c r="N12" s="2" t="s">
        <v>93</v>
      </c>
      <c r="O12" s="6">
        <f t="shared" si="4"/>
        <v>55</v>
      </c>
      <c r="P12" s="2" t="s">
        <v>70</v>
      </c>
      <c r="Q12" s="6">
        <f t="shared" si="5"/>
        <v>250</v>
      </c>
      <c r="R12" s="2" t="s">
        <v>108</v>
      </c>
      <c r="S12" s="6">
        <f t="shared" si="6"/>
        <v>121</v>
      </c>
      <c r="T12" s="2" t="s">
        <v>109</v>
      </c>
      <c r="U12" s="6">
        <f t="shared" si="7"/>
        <v>32</v>
      </c>
      <c r="V12" s="2" t="s">
        <v>110</v>
      </c>
      <c r="W12" s="6">
        <f t="shared" si="8"/>
        <v>56</v>
      </c>
      <c r="X12" s="2" t="s">
        <v>110</v>
      </c>
      <c r="Y12" s="6">
        <f t="shared" si="9"/>
        <v>56</v>
      </c>
      <c r="Z12" s="5" t="s">
        <v>75</v>
      </c>
      <c r="AA12" s="2">
        <v>295</v>
      </c>
      <c r="AB12" s="2">
        <v>333</v>
      </c>
      <c r="AC12" s="2" t="s">
        <v>111</v>
      </c>
      <c r="AD12" s="6">
        <f t="shared" si="1"/>
        <v>233</v>
      </c>
      <c r="AE12" s="2" t="s">
        <v>77</v>
      </c>
      <c r="AF12" s="6">
        <f t="shared" si="10"/>
        <v>100</v>
      </c>
      <c r="AG12" s="2" t="s">
        <v>112</v>
      </c>
      <c r="AH12" s="6">
        <f t="shared" si="11"/>
        <v>24</v>
      </c>
      <c r="AI12" s="2" t="s">
        <v>110</v>
      </c>
      <c r="AJ12" s="6">
        <f t="shared" si="12"/>
        <v>56</v>
      </c>
      <c r="AK12" s="7" t="s">
        <v>113</v>
      </c>
      <c r="AL12" s="3">
        <f t="shared" si="13"/>
        <v>1568</v>
      </c>
      <c r="AM12" s="2" t="s">
        <v>114</v>
      </c>
      <c r="AN12" s="6">
        <f t="shared" si="14"/>
        <v>450</v>
      </c>
      <c r="AO12" s="2" t="s">
        <v>115</v>
      </c>
      <c r="AP12" s="6">
        <f t="shared" si="15"/>
        <v>692</v>
      </c>
      <c r="AQ12" s="2" t="s">
        <v>116</v>
      </c>
      <c r="AR12" s="6">
        <f t="shared" si="16"/>
        <v>588</v>
      </c>
      <c r="AS12" s="2" t="s">
        <v>117</v>
      </c>
      <c r="AT12" s="6">
        <f t="shared" si="17"/>
        <v>865</v>
      </c>
      <c r="AU12" s="2" t="s">
        <v>118</v>
      </c>
      <c r="AV12" s="6">
        <f t="shared" si="18"/>
        <v>1037</v>
      </c>
    </row>
    <row r="13" spans="1:48" ht="45" x14ac:dyDescent="0.25">
      <c r="A13" s="2" t="s">
        <v>15</v>
      </c>
      <c r="B13" s="2">
        <v>3</v>
      </c>
      <c r="C13" s="2" t="s">
        <v>16</v>
      </c>
      <c r="D13" s="2">
        <v>22</v>
      </c>
      <c r="E13" s="2" t="s">
        <v>17</v>
      </c>
      <c r="F13" s="2" t="s">
        <v>9</v>
      </c>
      <c r="G13" s="7" t="s">
        <v>106</v>
      </c>
      <c r="H13" s="3">
        <f t="shared" si="0"/>
        <v>3458</v>
      </c>
      <c r="I13" s="5" t="s">
        <v>66</v>
      </c>
      <c r="J13" s="2" t="s">
        <v>67</v>
      </c>
      <c r="K13" s="6">
        <f t="shared" si="2"/>
        <v>132</v>
      </c>
      <c r="L13" s="2" t="s">
        <v>107</v>
      </c>
      <c r="M13" s="6">
        <f t="shared" si="3"/>
        <v>453</v>
      </c>
      <c r="N13" s="2" t="s">
        <v>110</v>
      </c>
      <c r="O13" s="6">
        <f t="shared" si="4"/>
        <v>56</v>
      </c>
      <c r="P13" s="2" t="s">
        <v>70</v>
      </c>
      <c r="Q13" s="6">
        <f t="shared" si="5"/>
        <v>250</v>
      </c>
      <c r="R13" s="2" t="s">
        <v>108</v>
      </c>
      <c r="S13" s="6">
        <f t="shared" si="6"/>
        <v>121</v>
      </c>
      <c r="T13" s="2" t="s">
        <v>109</v>
      </c>
      <c r="U13" s="6">
        <f t="shared" si="7"/>
        <v>32</v>
      </c>
      <c r="V13" s="2" t="s">
        <v>110</v>
      </c>
      <c r="W13" s="6">
        <f t="shared" si="8"/>
        <v>56</v>
      </c>
      <c r="X13" s="2" t="s">
        <v>110</v>
      </c>
      <c r="Y13" s="6">
        <f t="shared" si="9"/>
        <v>56</v>
      </c>
      <c r="Z13" s="5" t="s">
        <v>85</v>
      </c>
      <c r="AA13" s="2">
        <v>295</v>
      </c>
      <c r="AB13" s="2">
        <v>333</v>
      </c>
      <c r="AC13" s="2" t="s">
        <v>111</v>
      </c>
      <c r="AD13" s="6">
        <f t="shared" si="1"/>
        <v>233</v>
      </c>
      <c r="AE13" s="2" t="s">
        <v>77</v>
      </c>
      <c r="AF13" s="6">
        <f t="shared" si="10"/>
        <v>100</v>
      </c>
      <c r="AG13" s="2" t="s">
        <v>112</v>
      </c>
      <c r="AH13" s="6">
        <f t="shared" si="11"/>
        <v>24</v>
      </c>
      <c r="AI13" s="2" t="s">
        <v>110</v>
      </c>
      <c r="AJ13" s="6">
        <f t="shared" si="12"/>
        <v>56</v>
      </c>
      <c r="AK13" s="7" t="s">
        <v>119</v>
      </c>
      <c r="AL13" s="3">
        <f t="shared" si="13"/>
        <v>1569</v>
      </c>
      <c r="AM13" s="2" t="s">
        <v>114</v>
      </c>
      <c r="AN13" s="6">
        <f t="shared" si="14"/>
        <v>450</v>
      </c>
      <c r="AO13" s="2" t="s">
        <v>115</v>
      </c>
      <c r="AP13" s="6">
        <f t="shared" si="15"/>
        <v>692</v>
      </c>
      <c r="AQ13" s="2" t="s">
        <v>116</v>
      </c>
      <c r="AR13" s="6">
        <f t="shared" si="16"/>
        <v>588</v>
      </c>
      <c r="AS13" s="2" t="s">
        <v>117</v>
      </c>
      <c r="AT13" s="6">
        <f t="shared" si="17"/>
        <v>865</v>
      </c>
      <c r="AU13" s="2" t="s">
        <v>118</v>
      </c>
      <c r="AV13" s="6">
        <f t="shared" si="18"/>
        <v>1037</v>
      </c>
    </row>
    <row r="14" spans="1:48" ht="45" x14ac:dyDescent="0.25">
      <c r="A14" s="2" t="s">
        <v>15</v>
      </c>
      <c r="B14" s="2">
        <v>7</v>
      </c>
      <c r="C14" s="2" t="s">
        <v>12</v>
      </c>
      <c r="D14" s="2">
        <v>22.7</v>
      </c>
      <c r="E14" s="2" t="s">
        <v>17</v>
      </c>
      <c r="F14" s="2" t="s">
        <v>10</v>
      </c>
      <c r="G14" s="7" t="s">
        <v>106</v>
      </c>
      <c r="H14" s="3">
        <f t="shared" si="0"/>
        <v>3458</v>
      </c>
      <c r="I14" s="5" t="s">
        <v>66</v>
      </c>
      <c r="J14" s="2" t="s">
        <v>67</v>
      </c>
      <c r="K14" s="6">
        <f t="shared" si="2"/>
        <v>132</v>
      </c>
      <c r="L14" s="2" t="s">
        <v>107</v>
      </c>
      <c r="M14" s="6">
        <f t="shared" si="3"/>
        <v>453</v>
      </c>
      <c r="N14" s="2" t="s">
        <v>120</v>
      </c>
      <c r="O14" s="6">
        <f t="shared" si="4"/>
        <v>57</v>
      </c>
      <c r="P14" s="2" t="s">
        <v>70</v>
      </c>
      <c r="Q14" s="6">
        <f t="shared" si="5"/>
        <v>250</v>
      </c>
      <c r="R14" s="2" t="s">
        <v>108</v>
      </c>
      <c r="S14" s="6">
        <f t="shared" si="6"/>
        <v>121</v>
      </c>
      <c r="T14" s="2" t="s">
        <v>109</v>
      </c>
      <c r="U14" s="6">
        <f t="shared" si="7"/>
        <v>32</v>
      </c>
      <c r="V14" s="2" t="s">
        <v>110</v>
      </c>
      <c r="W14" s="6">
        <f t="shared" si="8"/>
        <v>56</v>
      </c>
      <c r="X14" s="2" t="s">
        <v>110</v>
      </c>
      <c r="Y14" s="6">
        <f t="shared" si="9"/>
        <v>56</v>
      </c>
      <c r="Z14" s="5" t="s">
        <v>104</v>
      </c>
      <c r="AA14" s="2">
        <v>295</v>
      </c>
      <c r="AB14" s="2">
        <v>333</v>
      </c>
      <c r="AC14" s="2" t="s">
        <v>111</v>
      </c>
      <c r="AD14" s="6">
        <f t="shared" si="1"/>
        <v>233</v>
      </c>
      <c r="AE14" s="2" t="s">
        <v>77</v>
      </c>
      <c r="AF14" s="6">
        <f t="shared" si="10"/>
        <v>100</v>
      </c>
      <c r="AG14" s="2" t="s">
        <v>112</v>
      </c>
      <c r="AH14" s="6">
        <f t="shared" si="11"/>
        <v>24</v>
      </c>
      <c r="AI14" s="2" t="s">
        <v>110</v>
      </c>
      <c r="AJ14" s="6">
        <f t="shared" si="12"/>
        <v>56</v>
      </c>
      <c r="AK14" s="7" t="s">
        <v>121</v>
      </c>
      <c r="AL14" s="3">
        <f t="shared" si="13"/>
        <v>1570</v>
      </c>
      <c r="AM14" s="2" t="s">
        <v>114</v>
      </c>
      <c r="AN14" s="6">
        <f t="shared" si="14"/>
        <v>450</v>
      </c>
      <c r="AO14" s="2" t="s">
        <v>115</v>
      </c>
      <c r="AP14" s="6">
        <f t="shared" si="15"/>
        <v>692</v>
      </c>
      <c r="AQ14" s="2" t="s">
        <v>116</v>
      </c>
      <c r="AR14" s="6">
        <f t="shared" si="16"/>
        <v>588</v>
      </c>
      <c r="AS14" s="2" t="s">
        <v>117</v>
      </c>
      <c r="AT14" s="6">
        <f t="shared" si="17"/>
        <v>865</v>
      </c>
      <c r="AU14" s="2" t="s">
        <v>118</v>
      </c>
      <c r="AV14" s="6">
        <f t="shared" si="18"/>
        <v>1037</v>
      </c>
    </row>
    <row r="15" spans="1:48" ht="45" x14ac:dyDescent="0.25">
      <c r="A15" s="2" t="s">
        <v>15</v>
      </c>
      <c r="B15" s="2">
        <v>8</v>
      </c>
      <c r="C15" s="2" t="s">
        <v>16</v>
      </c>
      <c r="D15" s="2">
        <v>12</v>
      </c>
      <c r="E15" s="2" t="s">
        <v>8</v>
      </c>
      <c r="F15" s="2" t="s">
        <v>13</v>
      </c>
      <c r="G15" s="7" t="s">
        <v>106</v>
      </c>
      <c r="H15" s="3">
        <f t="shared" si="0"/>
        <v>3458</v>
      </c>
      <c r="I15" s="5" t="s">
        <v>66</v>
      </c>
      <c r="J15" s="2" t="s">
        <v>67</v>
      </c>
      <c r="K15" s="6">
        <f t="shared" si="2"/>
        <v>132</v>
      </c>
      <c r="L15" s="2" t="s">
        <v>107</v>
      </c>
      <c r="M15" s="6">
        <f t="shared" si="3"/>
        <v>453</v>
      </c>
      <c r="N15" s="2" t="s">
        <v>122</v>
      </c>
      <c r="O15" s="6">
        <f t="shared" si="4"/>
        <v>58</v>
      </c>
      <c r="P15" s="2" t="s">
        <v>70</v>
      </c>
      <c r="Q15" s="6">
        <f t="shared" si="5"/>
        <v>250</v>
      </c>
      <c r="R15" s="2" t="s">
        <v>108</v>
      </c>
      <c r="S15" s="6">
        <f t="shared" si="6"/>
        <v>121</v>
      </c>
      <c r="T15" s="2" t="s">
        <v>109</v>
      </c>
      <c r="U15" s="6">
        <f t="shared" si="7"/>
        <v>32</v>
      </c>
      <c r="V15" s="2" t="s">
        <v>110</v>
      </c>
      <c r="W15" s="6">
        <f t="shared" si="8"/>
        <v>56</v>
      </c>
      <c r="X15" s="2" t="s">
        <v>110</v>
      </c>
      <c r="Y15" s="6">
        <f t="shared" si="9"/>
        <v>56</v>
      </c>
      <c r="Z15" s="5" t="s">
        <v>104</v>
      </c>
      <c r="AA15" s="2">
        <v>295</v>
      </c>
      <c r="AB15" s="2">
        <v>333</v>
      </c>
      <c r="AC15" s="2" t="s">
        <v>111</v>
      </c>
      <c r="AD15" s="6">
        <f t="shared" si="1"/>
        <v>233</v>
      </c>
      <c r="AE15" s="2" t="s">
        <v>77</v>
      </c>
      <c r="AF15" s="6">
        <f t="shared" si="10"/>
        <v>100</v>
      </c>
      <c r="AG15" s="2" t="s">
        <v>112</v>
      </c>
      <c r="AH15" s="6">
        <f t="shared" si="11"/>
        <v>24</v>
      </c>
      <c r="AI15" s="2" t="s">
        <v>110</v>
      </c>
      <c r="AJ15" s="6">
        <f t="shared" si="12"/>
        <v>56</v>
      </c>
      <c r="AK15" s="7" t="s">
        <v>123</v>
      </c>
      <c r="AL15" s="3">
        <f t="shared" si="13"/>
        <v>1571</v>
      </c>
      <c r="AM15" s="2" t="s">
        <v>114</v>
      </c>
      <c r="AN15" s="6">
        <f t="shared" si="14"/>
        <v>450</v>
      </c>
      <c r="AO15" s="2" t="s">
        <v>115</v>
      </c>
      <c r="AP15" s="6">
        <f t="shared" si="15"/>
        <v>692</v>
      </c>
      <c r="AQ15" s="2" t="s">
        <v>116</v>
      </c>
      <c r="AR15" s="6">
        <f t="shared" si="16"/>
        <v>588</v>
      </c>
      <c r="AS15" s="2" t="s">
        <v>117</v>
      </c>
      <c r="AT15" s="6">
        <f t="shared" si="17"/>
        <v>865</v>
      </c>
      <c r="AU15" s="2" t="s">
        <v>118</v>
      </c>
      <c r="AV15" s="6">
        <f t="shared" si="18"/>
        <v>1037</v>
      </c>
    </row>
    <row r="16" spans="1:48" ht="30" x14ac:dyDescent="0.25">
      <c r="A16" s="2" t="s">
        <v>15</v>
      </c>
      <c r="B16" s="2">
        <v>9</v>
      </c>
      <c r="C16" s="2" t="s">
        <v>7</v>
      </c>
      <c r="D16" s="2">
        <v>13</v>
      </c>
      <c r="E16" s="2" t="s">
        <v>17</v>
      </c>
      <c r="F16" s="2" t="s">
        <v>18</v>
      </c>
      <c r="G16" s="7" t="s">
        <v>106</v>
      </c>
      <c r="H16" s="3">
        <f t="shared" si="0"/>
        <v>3458</v>
      </c>
      <c r="I16" s="5" t="s">
        <v>66</v>
      </c>
      <c r="J16" s="2" t="s">
        <v>67</v>
      </c>
      <c r="K16" s="6">
        <f t="shared" si="2"/>
        <v>132</v>
      </c>
      <c r="L16" s="2" t="s">
        <v>107</v>
      </c>
      <c r="M16" s="6">
        <f t="shared" si="3"/>
        <v>453</v>
      </c>
      <c r="N16" s="2" t="s">
        <v>124</v>
      </c>
      <c r="O16" s="6">
        <f t="shared" si="4"/>
        <v>59</v>
      </c>
      <c r="P16" s="2" t="s">
        <v>70</v>
      </c>
      <c r="Q16" s="6">
        <f t="shared" si="5"/>
        <v>250</v>
      </c>
      <c r="R16" s="2" t="s">
        <v>108</v>
      </c>
      <c r="S16" s="6">
        <f t="shared" si="6"/>
        <v>121</v>
      </c>
      <c r="T16" s="8"/>
      <c r="U16" s="6">
        <f t="shared" si="7"/>
        <v>0</v>
      </c>
      <c r="V16" s="2" t="s">
        <v>110</v>
      </c>
      <c r="W16" s="6">
        <f t="shared" si="8"/>
        <v>56</v>
      </c>
      <c r="X16" s="2" t="s">
        <v>110</v>
      </c>
      <c r="Y16" s="6">
        <f t="shared" si="9"/>
        <v>56</v>
      </c>
      <c r="Z16" s="5" t="s">
        <v>75</v>
      </c>
      <c r="AA16" s="2">
        <v>295</v>
      </c>
      <c r="AB16" s="2">
        <v>333</v>
      </c>
      <c r="AC16" s="2" t="s">
        <v>111</v>
      </c>
      <c r="AD16" s="6">
        <f t="shared" si="1"/>
        <v>233</v>
      </c>
      <c r="AE16" s="2" t="s">
        <v>77</v>
      </c>
      <c r="AF16" s="6">
        <f t="shared" si="10"/>
        <v>100</v>
      </c>
      <c r="AG16" s="2" t="s">
        <v>112</v>
      </c>
      <c r="AH16" s="6">
        <f t="shared" si="11"/>
        <v>24</v>
      </c>
      <c r="AI16" s="2" t="s">
        <v>110</v>
      </c>
      <c r="AJ16" s="6">
        <f t="shared" si="12"/>
        <v>56</v>
      </c>
      <c r="AK16" s="7" t="s">
        <v>125</v>
      </c>
      <c r="AL16" s="3">
        <f t="shared" si="13"/>
        <v>1540</v>
      </c>
      <c r="AM16" s="2" t="s">
        <v>114</v>
      </c>
      <c r="AN16" s="6">
        <f t="shared" si="14"/>
        <v>450</v>
      </c>
      <c r="AO16" s="2" t="s">
        <v>115</v>
      </c>
      <c r="AP16" s="6">
        <f t="shared" si="15"/>
        <v>692</v>
      </c>
      <c r="AQ16" s="2" t="s">
        <v>116</v>
      </c>
      <c r="AR16" s="6">
        <f t="shared" si="16"/>
        <v>588</v>
      </c>
      <c r="AS16" s="2" t="s">
        <v>117</v>
      </c>
      <c r="AT16" s="6">
        <f t="shared" si="17"/>
        <v>865</v>
      </c>
      <c r="AU16" s="2" t="s">
        <v>118</v>
      </c>
      <c r="AV16" s="6">
        <f t="shared" si="18"/>
        <v>1037</v>
      </c>
    </row>
    <row r="17" spans="1:48" ht="30" x14ac:dyDescent="0.25">
      <c r="A17" s="2" t="s">
        <v>19</v>
      </c>
      <c r="B17" s="2">
        <v>12</v>
      </c>
      <c r="C17" s="2" t="s">
        <v>7</v>
      </c>
      <c r="D17" s="2">
        <v>16</v>
      </c>
      <c r="E17" s="2" t="s">
        <v>8</v>
      </c>
      <c r="F17" s="2" t="s">
        <v>20</v>
      </c>
      <c r="G17" s="7" t="s">
        <v>126</v>
      </c>
      <c r="H17" s="3">
        <f t="shared" si="0"/>
        <v>6433</v>
      </c>
      <c r="I17" s="5" t="s">
        <v>127</v>
      </c>
      <c r="J17" s="2" t="s">
        <v>67</v>
      </c>
      <c r="K17" s="6">
        <f t="shared" si="2"/>
        <v>132</v>
      </c>
      <c r="L17" s="2" t="s">
        <v>128</v>
      </c>
      <c r="M17" s="6">
        <f t="shared" si="3"/>
        <v>399</v>
      </c>
      <c r="N17" s="2" t="s">
        <v>129</v>
      </c>
      <c r="O17" s="6">
        <f t="shared" si="4"/>
        <v>72</v>
      </c>
      <c r="P17" s="2" t="s">
        <v>70</v>
      </c>
      <c r="Q17" s="6">
        <f t="shared" si="5"/>
        <v>250</v>
      </c>
      <c r="R17" s="2" t="s">
        <v>73</v>
      </c>
      <c r="S17" s="6">
        <f t="shared" si="6"/>
        <v>134</v>
      </c>
      <c r="T17" s="8"/>
      <c r="U17" s="6">
        <f t="shared" si="7"/>
        <v>0</v>
      </c>
      <c r="V17" s="2" t="s">
        <v>73</v>
      </c>
      <c r="W17" s="6">
        <f t="shared" si="8"/>
        <v>134</v>
      </c>
      <c r="X17" s="2" t="s">
        <v>74</v>
      </c>
      <c r="Y17" s="6">
        <f t="shared" si="9"/>
        <v>6</v>
      </c>
      <c r="Z17" s="5" t="s">
        <v>85</v>
      </c>
      <c r="AA17" s="2">
        <v>295</v>
      </c>
      <c r="AB17" s="2">
        <v>343</v>
      </c>
      <c r="AC17" s="2" t="s">
        <v>76</v>
      </c>
      <c r="AD17" s="6">
        <f t="shared" si="1"/>
        <v>240</v>
      </c>
      <c r="AE17" s="2" t="s">
        <v>77</v>
      </c>
      <c r="AF17" s="6">
        <f t="shared" si="10"/>
        <v>100</v>
      </c>
      <c r="AG17" s="2" t="s">
        <v>130</v>
      </c>
      <c r="AH17" s="6">
        <f t="shared" si="11"/>
        <v>25</v>
      </c>
      <c r="AI17" s="2" t="s">
        <v>120</v>
      </c>
      <c r="AJ17" s="6">
        <f t="shared" si="12"/>
        <v>57</v>
      </c>
      <c r="AK17" s="7" t="s">
        <v>131</v>
      </c>
      <c r="AL17" s="3">
        <f t="shared" si="13"/>
        <v>1549</v>
      </c>
      <c r="AM17" s="2" t="s">
        <v>132</v>
      </c>
      <c r="AN17" s="6">
        <f t="shared" si="14"/>
        <v>836</v>
      </c>
      <c r="AO17" s="2" t="s">
        <v>133</v>
      </c>
      <c r="AP17" s="6">
        <f t="shared" si="15"/>
        <v>1287</v>
      </c>
      <c r="AQ17" s="2" t="s">
        <v>134</v>
      </c>
      <c r="AR17" s="6">
        <f t="shared" si="16"/>
        <v>1094</v>
      </c>
      <c r="AS17" s="2" t="s">
        <v>135</v>
      </c>
      <c r="AT17" s="6">
        <f t="shared" si="17"/>
        <v>1608</v>
      </c>
      <c r="AU17" s="2" t="s">
        <v>136</v>
      </c>
      <c r="AV17" s="6">
        <f t="shared" si="18"/>
        <v>1930</v>
      </c>
    </row>
    <row r="18" spans="1:48" ht="45" x14ac:dyDescent="0.25">
      <c r="A18" s="2" t="s">
        <v>19</v>
      </c>
      <c r="B18" s="2">
        <v>16</v>
      </c>
      <c r="C18" s="2" t="s">
        <v>12</v>
      </c>
      <c r="D18" s="2">
        <v>17</v>
      </c>
      <c r="E18" s="2" t="s">
        <v>17</v>
      </c>
      <c r="F18" s="2" t="s">
        <v>21</v>
      </c>
      <c r="G18" s="7" t="s">
        <v>126</v>
      </c>
      <c r="H18" s="3">
        <f t="shared" si="0"/>
        <v>6433</v>
      </c>
      <c r="I18" s="5" t="s">
        <v>127</v>
      </c>
      <c r="J18" s="2" t="s">
        <v>67</v>
      </c>
      <c r="K18" s="6">
        <f t="shared" si="2"/>
        <v>132</v>
      </c>
      <c r="L18" s="2" t="s">
        <v>128</v>
      </c>
      <c r="M18" s="6">
        <f t="shared" si="3"/>
        <v>399</v>
      </c>
      <c r="N18" s="2" t="s">
        <v>137</v>
      </c>
      <c r="O18" s="6">
        <f t="shared" si="4"/>
        <v>73</v>
      </c>
      <c r="P18" s="2" t="s">
        <v>70</v>
      </c>
      <c r="Q18" s="6">
        <f t="shared" si="5"/>
        <v>250</v>
      </c>
      <c r="R18" s="2" t="s">
        <v>73</v>
      </c>
      <c r="S18" s="6">
        <f t="shared" si="6"/>
        <v>134</v>
      </c>
      <c r="T18" s="2" t="s">
        <v>72</v>
      </c>
      <c r="U18" s="6">
        <f t="shared" si="7"/>
        <v>65</v>
      </c>
      <c r="V18" s="2" t="s">
        <v>73</v>
      </c>
      <c r="W18" s="6">
        <f t="shared" si="8"/>
        <v>134</v>
      </c>
      <c r="X18" s="2" t="s">
        <v>74</v>
      </c>
      <c r="Y18" s="6">
        <f t="shared" si="9"/>
        <v>6</v>
      </c>
      <c r="Z18" s="5" t="s">
        <v>87</v>
      </c>
      <c r="AA18" s="2">
        <v>295</v>
      </c>
      <c r="AB18" s="2">
        <v>343</v>
      </c>
      <c r="AC18" s="2" t="s">
        <v>76</v>
      </c>
      <c r="AD18" s="6">
        <f t="shared" si="1"/>
        <v>240</v>
      </c>
      <c r="AE18" s="2" t="s">
        <v>77</v>
      </c>
      <c r="AF18" s="6">
        <f t="shared" si="10"/>
        <v>100</v>
      </c>
      <c r="AG18" s="2" t="s">
        <v>130</v>
      </c>
      <c r="AH18" s="6">
        <f t="shared" si="11"/>
        <v>25</v>
      </c>
      <c r="AI18" s="2" t="s">
        <v>120</v>
      </c>
      <c r="AJ18" s="6">
        <f t="shared" si="12"/>
        <v>57</v>
      </c>
      <c r="AK18" s="7" t="s">
        <v>138</v>
      </c>
      <c r="AL18" s="3">
        <f t="shared" si="13"/>
        <v>1615</v>
      </c>
      <c r="AM18" s="2" t="s">
        <v>132</v>
      </c>
      <c r="AN18" s="6">
        <f t="shared" si="14"/>
        <v>836</v>
      </c>
      <c r="AO18" s="2" t="s">
        <v>133</v>
      </c>
      <c r="AP18" s="6">
        <f t="shared" si="15"/>
        <v>1287</v>
      </c>
      <c r="AQ18" s="2" t="s">
        <v>134</v>
      </c>
      <c r="AR18" s="6">
        <f t="shared" si="16"/>
        <v>1094</v>
      </c>
      <c r="AS18" s="2" t="s">
        <v>135</v>
      </c>
      <c r="AT18" s="6">
        <f t="shared" si="17"/>
        <v>1608</v>
      </c>
      <c r="AU18" s="2" t="s">
        <v>136</v>
      </c>
      <c r="AV18" s="6">
        <f t="shared" si="18"/>
        <v>1930</v>
      </c>
    </row>
    <row r="19" spans="1:48" ht="45" x14ac:dyDescent="0.25">
      <c r="A19" s="2" t="s">
        <v>19</v>
      </c>
      <c r="B19" s="2">
        <v>22</v>
      </c>
      <c r="C19" s="2" t="s">
        <v>7</v>
      </c>
      <c r="D19" s="2">
        <v>18</v>
      </c>
      <c r="E19" s="2" t="s">
        <v>17</v>
      </c>
      <c r="F19" s="2" t="s">
        <v>10</v>
      </c>
      <c r="G19" s="7" t="s">
        <v>126</v>
      </c>
      <c r="H19" s="3">
        <f t="shared" si="0"/>
        <v>6433</v>
      </c>
      <c r="I19" s="5" t="s">
        <v>127</v>
      </c>
      <c r="J19" s="2" t="s">
        <v>67</v>
      </c>
      <c r="K19" s="6">
        <f t="shared" si="2"/>
        <v>132</v>
      </c>
      <c r="L19" s="2" t="s">
        <v>128</v>
      </c>
      <c r="M19" s="6">
        <f t="shared" si="3"/>
        <v>399</v>
      </c>
      <c r="N19" s="2" t="s">
        <v>139</v>
      </c>
      <c r="O19" s="6">
        <f t="shared" si="4"/>
        <v>74</v>
      </c>
      <c r="P19" s="2" t="s">
        <v>70</v>
      </c>
      <c r="Q19" s="6">
        <f t="shared" si="5"/>
        <v>250</v>
      </c>
      <c r="R19" s="2" t="s">
        <v>73</v>
      </c>
      <c r="S19" s="6">
        <f t="shared" si="6"/>
        <v>134</v>
      </c>
      <c r="T19" s="2" t="s">
        <v>72</v>
      </c>
      <c r="U19" s="6">
        <f t="shared" si="7"/>
        <v>65</v>
      </c>
      <c r="V19" s="2" t="s">
        <v>73</v>
      </c>
      <c r="W19" s="6">
        <f t="shared" si="8"/>
        <v>134</v>
      </c>
      <c r="X19" s="2" t="s">
        <v>74</v>
      </c>
      <c r="Y19" s="6">
        <f t="shared" si="9"/>
        <v>6</v>
      </c>
      <c r="Z19" s="5" t="s">
        <v>104</v>
      </c>
      <c r="AA19" s="2">
        <v>295</v>
      </c>
      <c r="AB19" s="2">
        <v>343</v>
      </c>
      <c r="AC19" s="2" t="s">
        <v>76</v>
      </c>
      <c r="AD19" s="6">
        <f t="shared" si="1"/>
        <v>240</v>
      </c>
      <c r="AE19" s="2" t="s">
        <v>77</v>
      </c>
      <c r="AF19" s="6">
        <f t="shared" si="10"/>
        <v>100</v>
      </c>
      <c r="AG19" s="2" t="s">
        <v>130</v>
      </c>
      <c r="AH19" s="6">
        <f t="shared" si="11"/>
        <v>25</v>
      </c>
      <c r="AI19" s="2" t="s">
        <v>120</v>
      </c>
      <c r="AJ19" s="6">
        <f t="shared" si="12"/>
        <v>57</v>
      </c>
      <c r="AK19" s="7" t="s">
        <v>140</v>
      </c>
      <c r="AL19" s="3">
        <f t="shared" si="13"/>
        <v>1616</v>
      </c>
      <c r="AM19" s="2" t="s">
        <v>132</v>
      </c>
      <c r="AN19" s="6">
        <f t="shared" si="14"/>
        <v>836</v>
      </c>
      <c r="AO19" s="2" t="s">
        <v>133</v>
      </c>
      <c r="AP19" s="6">
        <f t="shared" si="15"/>
        <v>1287</v>
      </c>
      <c r="AQ19" s="2" t="s">
        <v>134</v>
      </c>
      <c r="AR19" s="6">
        <f t="shared" si="16"/>
        <v>1094</v>
      </c>
      <c r="AS19" s="2" t="s">
        <v>135</v>
      </c>
      <c r="AT19" s="6">
        <f t="shared" si="17"/>
        <v>1608</v>
      </c>
      <c r="AU19" s="2" t="s">
        <v>136</v>
      </c>
      <c r="AV19" s="6">
        <f t="shared" si="18"/>
        <v>1930</v>
      </c>
    </row>
    <row r="20" spans="1:48" ht="45" x14ac:dyDescent="0.25">
      <c r="A20" s="2" t="s">
        <v>22</v>
      </c>
      <c r="B20" s="2">
        <v>5</v>
      </c>
      <c r="C20" s="2" t="s">
        <v>12</v>
      </c>
      <c r="D20" s="2">
        <v>11</v>
      </c>
      <c r="E20" s="2" t="s">
        <v>8</v>
      </c>
      <c r="F20" s="2" t="s">
        <v>14</v>
      </c>
      <c r="G20" s="7" t="s">
        <v>141</v>
      </c>
      <c r="H20" s="3">
        <f t="shared" si="0"/>
        <v>8765</v>
      </c>
      <c r="I20" s="5" t="s">
        <v>127</v>
      </c>
      <c r="J20" s="2" t="s">
        <v>67</v>
      </c>
      <c r="K20" s="6">
        <f t="shared" si="2"/>
        <v>132</v>
      </c>
      <c r="L20" s="2" t="s">
        <v>142</v>
      </c>
      <c r="M20" s="6">
        <f t="shared" si="3"/>
        <v>387</v>
      </c>
      <c r="N20" s="2" t="s">
        <v>69</v>
      </c>
      <c r="O20" s="6">
        <f t="shared" si="4"/>
        <v>50</v>
      </c>
      <c r="P20" s="2" t="s">
        <v>70</v>
      </c>
      <c r="Q20" s="6">
        <f t="shared" si="5"/>
        <v>250</v>
      </c>
      <c r="R20" s="2" t="s">
        <v>143</v>
      </c>
      <c r="S20" s="6">
        <f t="shared" si="6"/>
        <v>128</v>
      </c>
      <c r="T20" s="2" t="s">
        <v>144</v>
      </c>
      <c r="U20" s="6">
        <f t="shared" si="7"/>
        <v>34</v>
      </c>
      <c r="V20" s="2" t="s">
        <v>143</v>
      </c>
      <c r="W20" s="6">
        <f t="shared" si="8"/>
        <v>128</v>
      </c>
      <c r="X20" s="2" t="s">
        <v>145</v>
      </c>
      <c r="Y20" s="6">
        <f t="shared" si="9"/>
        <v>46</v>
      </c>
      <c r="Z20" s="5" t="s">
        <v>75</v>
      </c>
      <c r="AA20" s="2">
        <v>333</v>
      </c>
      <c r="AB20" s="2">
        <v>343</v>
      </c>
      <c r="AC20" s="2" t="s">
        <v>76</v>
      </c>
      <c r="AD20" s="6">
        <f t="shared" si="1"/>
        <v>240</v>
      </c>
      <c r="AE20" s="2" t="s">
        <v>77</v>
      </c>
      <c r="AF20" s="6">
        <f t="shared" si="10"/>
        <v>100</v>
      </c>
      <c r="AG20" s="2" t="s">
        <v>146</v>
      </c>
      <c r="AH20" s="6">
        <f t="shared" si="11"/>
        <v>26</v>
      </c>
      <c r="AI20" s="2" t="s">
        <v>122</v>
      </c>
      <c r="AJ20" s="6">
        <f t="shared" si="12"/>
        <v>58</v>
      </c>
      <c r="AK20" s="7" t="s">
        <v>147</v>
      </c>
      <c r="AL20" s="3">
        <f t="shared" si="13"/>
        <v>1579</v>
      </c>
      <c r="AM20" s="2" t="s">
        <v>148</v>
      </c>
      <c r="AN20" s="6">
        <f t="shared" si="14"/>
        <v>1139</v>
      </c>
      <c r="AO20" s="2" t="s">
        <v>149</v>
      </c>
      <c r="AP20" s="6">
        <f t="shared" si="15"/>
        <v>1753</v>
      </c>
      <c r="AQ20" s="2" t="s">
        <v>150</v>
      </c>
      <c r="AR20" s="6">
        <f t="shared" si="16"/>
        <v>1490</v>
      </c>
      <c r="AS20" s="2" t="s">
        <v>151</v>
      </c>
      <c r="AT20" s="6">
        <f t="shared" si="17"/>
        <v>2191</v>
      </c>
      <c r="AU20" s="2" t="s">
        <v>152</v>
      </c>
      <c r="AV20" s="6">
        <f t="shared" si="18"/>
        <v>2630</v>
      </c>
    </row>
    <row r="21" spans="1:48" ht="45" x14ac:dyDescent="0.25">
      <c r="A21" s="2" t="s">
        <v>22</v>
      </c>
      <c r="B21" s="2">
        <v>13</v>
      </c>
      <c r="C21" s="2" t="s">
        <v>12</v>
      </c>
      <c r="D21" s="2">
        <v>21</v>
      </c>
      <c r="E21" s="2" t="s">
        <v>8</v>
      </c>
      <c r="F21" s="2" t="s">
        <v>21</v>
      </c>
      <c r="G21" s="7" t="s">
        <v>141</v>
      </c>
      <c r="H21" s="3">
        <f t="shared" si="0"/>
        <v>8765</v>
      </c>
      <c r="I21" s="5" t="s">
        <v>127</v>
      </c>
      <c r="J21" s="2" t="s">
        <v>67</v>
      </c>
      <c r="K21" s="6">
        <f t="shared" si="2"/>
        <v>132</v>
      </c>
      <c r="L21" s="2" t="s">
        <v>142</v>
      </c>
      <c r="M21" s="6">
        <f t="shared" si="3"/>
        <v>387</v>
      </c>
      <c r="N21" s="2" t="s">
        <v>69</v>
      </c>
      <c r="O21" s="6">
        <f t="shared" si="4"/>
        <v>50</v>
      </c>
      <c r="P21" s="2" t="s">
        <v>70</v>
      </c>
      <c r="Q21" s="6">
        <f t="shared" si="5"/>
        <v>250</v>
      </c>
      <c r="R21" s="2" t="s">
        <v>143</v>
      </c>
      <c r="S21" s="6">
        <f t="shared" si="6"/>
        <v>128</v>
      </c>
      <c r="T21" s="2" t="s">
        <v>144</v>
      </c>
      <c r="U21" s="6">
        <f t="shared" si="7"/>
        <v>34</v>
      </c>
      <c r="V21" s="2" t="s">
        <v>143</v>
      </c>
      <c r="W21" s="6">
        <f t="shared" si="8"/>
        <v>128</v>
      </c>
      <c r="X21" s="2" t="s">
        <v>145</v>
      </c>
      <c r="Y21" s="6">
        <f t="shared" si="9"/>
        <v>46</v>
      </c>
      <c r="Z21" s="5" t="s">
        <v>85</v>
      </c>
      <c r="AA21" s="2">
        <v>333</v>
      </c>
      <c r="AB21" s="2">
        <v>343</v>
      </c>
      <c r="AC21" s="2" t="s">
        <v>76</v>
      </c>
      <c r="AD21" s="6">
        <f t="shared" si="1"/>
        <v>240</v>
      </c>
      <c r="AE21" s="2" t="s">
        <v>77</v>
      </c>
      <c r="AF21" s="6">
        <f t="shared" si="10"/>
        <v>100</v>
      </c>
      <c r="AG21" s="2" t="s">
        <v>146</v>
      </c>
      <c r="AH21" s="6">
        <f t="shared" si="11"/>
        <v>26</v>
      </c>
      <c r="AI21" s="2" t="s">
        <v>122</v>
      </c>
      <c r="AJ21" s="6">
        <f t="shared" si="12"/>
        <v>58</v>
      </c>
      <c r="AK21" s="7" t="s">
        <v>147</v>
      </c>
      <c r="AL21" s="3">
        <f t="shared" si="13"/>
        <v>1579</v>
      </c>
      <c r="AM21" s="2" t="s">
        <v>148</v>
      </c>
      <c r="AN21" s="6">
        <f t="shared" si="14"/>
        <v>1139</v>
      </c>
      <c r="AO21" s="2" t="s">
        <v>149</v>
      </c>
      <c r="AP21" s="6">
        <f t="shared" si="15"/>
        <v>1753</v>
      </c>
      <c r="AQ21" s="2" t="s">
        <v>150</v>
      </c>
      <c r="AR21" s="6">
        <f t="shared" si="16"/>
        <v>1490</v>
      </c>
      <c r="AS21" s="2" t="s">
        <v>151</v>
      </c>
      <c r="AT21" s="6">
        <f t="shared" si="17"/>
        <v>2191</v>
      </c>
      <c r="AU21" s="2" t="s">
        <v>152</v>
      </c>
      <c r="AV21" s="6">
        <f t="shared" si="18"/>
        <v>2630</v>
      </c>
    </row>
    <row r="22" spans="1:48" ht="45" x14ac:dyDescent="0.25">
      <c r="A22" s="2" t="s">
        <v>22</v>
      </c>
      <c r="B22" s="2">
        <v>14</v>
      </c>
      <c r="C22" s="2" t="s">
        <v>12</v>
      </c>
      <c r="D22" s="2">
        <v>22</v>
      </c>
      <c r="E22" s="2" t="s">
        <v>8</v>
      </c>
      <c r="F22" s="2" t="s">
        <v>13</v>
      </c>
      <c r="G22" s="7" t="s">
        <v>141</v>
      </c>
      <c r="H22" s="3">
        <f t="shared" si="0"/>
        <v>8765</v>
      </c>
      <c r="I22" s="5" t="s">
        <v>127</v>
      </c>
      <c r="J22" s="2" t="s">
        <v>67</v>
      </c>
      <c r="K22" s="6">
        <f t="shared" si="2"/>
        <v>132</v>
      </c>
      <c r="L22" s="2" t="s">
        <v>142</v>
      </c>
      <c r="M22" s="6">
        <f t="shared" si="3"/>
        <v>387</v>
      </c>
      <c r="N22" s="2" t="s">
        <v>69</v>
      </c>
      <c r="O22" s="6">
        <f t="shared" si="4"/>
        <v>50</v>
      </c>
      <c r="P22" s="2" t="s">
        <v>70</v>
      </c>
      <c r="Q22" s="6">
        <f t="shared" si="5"/>
        <v>250</v>
      </c>
      <c r="R22" s="2" t="s">
        <v>143</v>
      </c>
      <c r="S22" s="6">
        <f t="shared" si="6"/>
        <v>128</v>
      </c>
      <c r="T22" s="2" t="s">
        <v>144</v>
      </c>
      <c r="U22" s="6">
        <f t="shared" si="7"/>
        <v>34</v>
      </c>
      <c r="V22" s="2" t="s">
        <v>143</v>
      </c>
      <c r="W22" s="6">
        <f t="shared" si="8"/>
        <v>128</v>
      </c>
      <c r="X22" s="2" t="s">
        <v>145</v>
      </c>
      <c r="Y22" s="6">
        <f t="shared" si="9"/>
        <v>46</v>
      </c>
      <c r="Z22" s="5" t="s">
        <v>87</v>
      </c>
      <c r="AA22" s="2">
        <v>333</v>
      </c>
      <c r="AB22" s="2">
        <v>343</v>
      </c>
      <c r="AC22" s="2" t="s">
        <v>76</v>
      </c>
      <c r="AD22" s="6">
        <f t="shared" si="1"/>
        <v>240</v>
      </c>
      <c r="AE22" s="2" t="s">
        <v>77</v>
      </c>
      <c r="AF22" s="6">
        <f t="shared" si="10"/>
        <v>100</v>
      </c>
      <c r="AG22" s="2" t="s">
        <v>146</v>
      </c>
      <c r="AH22" s="6">
        <f t="shared" si="11"/>
        <v>26</v>
      </c>
      <c r="AI22" s="2" t="s">
        <v>122</v>
      </c>
      <c r="AJ22" s="6">
        <f t="shared" si="12"/>
        <v>58</v>
      </c>
      <c r="AK22" s="7" t="s">
        <v>147</v>
      </c>
      <c r="AL22" s="3">
        <f t="shared" si="13"/>
        <v>1579</v>
      </c>
      <c r="AM22" s="2" t="s">
        <v>148</v>
      </c>
      <c r="AN22" s="6">
        <f t="shared" si="14"/>
        <v>1139</v>
      </c>
      <c r="AO22" s="2" t="s">
        <v>149</v>
      </c>
      <c r="AP22" s="6">
        <f t="shared" si="15"/>
        <v>1753</v>
      </c>
      <c r="AQ22" s="2" t="s">
        <v>150</v>
      </c>
      <c r="AR22" s="6">
        <f t="shared" si="16"/>
        <v>1490</v>
      </c>
      <c r="AS22" s="2" t="s">
        <v>151</v>
      </c>
      <c r="AT22" s="6">
        <f t="shared" si="17"/>
        <v>2191</v>
      </c>
      <c r="AU22" s="2" t="s">
        <v>152</v>
      </c>
      <c r="AV22" s="6">
        <f t="shared" si="18"/>
        <v>2630</v>
      </c>
    </row>
    <row r="23" spans="1:48" ht="45" x14ac:dyDescent="0.25">
      <c r="A23" s="2" t="s">
        <v>22</v>
      </c>
      <c r="B23" s="2">
        <v>15</v>
      </c>
      <c r="C23" s="2" t="s">
        <v>16</v>
      </c>
      <c r="D23" s="2">
        <v>23</v>
      </c>
      <c r="E23" s="2" t="s">
        <v>17</v>
      </c>
      <c r="F23" s="2" t="s">
        <v>14</v>
      </c>
      <c r="G23" s="7" t="s">
        <v>141</v>
      </c>
      <c r="H23" s="3">
        <f t="shared" si="0"/>
        <v>8765</v>
      </c>
      <c r="I23" s="5" t="s">
        <v>127</v>
      </c>
      <c r="J23" s="2" t="s">
        <v>67</v>
      </c>
      <c r="K23" s="6">
        <f t="shared" si="2"/>
        <v>132</v>
      </c>
      <c r="L23" s="2" t="s">
        <v>142</v>
      </c>
      <c r="M23" s="6">
        <f t="shared" si="3"/>
        <v>387</v>
      </c>
      <c r="N23" s="2" t="s">
        <v>69</v>
      </c>
      <c r="O23" s="6">
        <f t="shared" si="4"/>
        <v>50</v>
      </c>
      <c r="P23" s="2" t="s">
        <v>70</v>
      </c>
      <c r="Q23" s="6">
        <f t="shared" si="5"/>
        <v>250</v>
      </c>
      <c r="R23" s="2" t="s">
        <v>143</v>
      </c>
      <c r="S23" s="6">
        <f t="shared" si="6"/>
        <v>128</v>
      </c>
      <c r="T23" s="2" t="s">
        <v>144</v>
      </c>
      <c r="U23" s="6">
        <f t="shared" si="7"/>
        <v>34</v>
      </c>
      <c r="V23" s="2" t="s">
        <v>143</v>
      </c>
      <c r="W23" s="6">
        <f t="shared" si="8"/>
        <v>128</v>
      </c>
      <c r="X23" s="2" t="s">
        <v>145</v>
      </c>
      <c r="Y23" s="6">
        <f t="shared" si="9"/>
        <v>46</v>
      </c>
      <c r="Z23" s="5" t="s">
        <v>104</v>
      </c>
      <c r="AA23" s="2">
        <v>333</v>
      </c>
      <c r="AB23" s="2">
        <v>343</v>
      </c>
      <c r="AC23" s="2" t="s">
        <v>76</v>
      </c>
      <c r="AD23" s="6">
        <f t="shared" si="1"/>
        <v>240</v>
      </c>
      <c r="AE23" s="2" t="s">
        <v>77</v>
      </c>
      <c r="AF23" s="6">
        <f t="shared" si="10"/>
        <v>100</v>
      </c>
      <c r="AG23" s="2" t="s">
        <v>146</v>
      </c>
      <c r="AH23" s="6">
        <f t="shared" si="11"/>
        <v>26</v>
      </c>
      <c r="AI23" s="2" t="s">
        <v>122</v>
      </c>
      <c r="AJ23" s="6">
        <f t="shared" si="12"/>
        <v>58</v>
      </c>
      <c r="AK23" s="7" t="s">
        <v>147</v>
      </c>
      <c r="AL23" s="3">
        <f t="shared" si="13"/>
        <v>1579</v>
      </c>
      <c r="AM23" s="2" t="s">
        <v>148</v>
      </c>
      <c r="AN23" s="6">
        <f t="shared" si="14"/>
        <v>1139</v>
      </c>
      <c r="AO23" s="2" t="s">
        <v>149</v>
      </c>
      <c r="AP23" s="6">
        <f t="shared" si="15"/>
        <v>1753</v>
      </c>
      <c r="AQ23" s="2" t="s">
        <v>150</v>
      </c>
      <c r="AR23" s="6">
        <f t="shared" si="16"/>
        <v>1490</v>
      </c>
      <c r="AS23" s="2" t="s">
        <v>151</v>
      </c>
      <c r="AT23" s="6">
        <f t="shared" si="17"/>
        <v>2191</v>
      </c>
      <c r="AU23" s="2" t="s">
        <v>152</v>
      </c>
      <c r="AV23" s="6">
        <f t="shared" si="18"/>
        <v>2630</v>
      </c>
    </row>
    <row r="24" spans="1:48" ht="30" x14ac:dyDescent="0.25">
      <c r="A24" s="2" t="s">
        <v>23</v>
      </c>
      <c r="B24" s="2">
        <v>17</v>
      </c>
      <c r="C24" s="2" t="s">
        <v>16</v>
      </c>
      <c r="D24" s="2">
        <v>12.9</v>
      </c>
      <c r="E24" s="2" t="s">
        <v>8</v>
      </c>
      <c r="F24" s="2" t="s">
        <v>10</v>
      </c>
      <c r="G24" s="7" t="s">
        <v>153</v>
      </c>
      <c r="H24" s="3">
        <f t="shared" si="0"/>
        <v>5432</v>
      </c>
      <c r="I24" s="5" t="s">
        <v>127</v>
      </c>
      <c r="J24" s="2" t="s">
        <v>67</v>
      </c>
      <c r="K24" s="6">
        <f t="shared" si="2"/>
        <v>132</v>
      </c>
      <c r="L24" s="2" t="s">
        <v>154</v>
      </c>
      <c r="M24" s="6">
        <f t="shared" si="3"/>
        <v>245</v>
      </c>
      <c r="N24" s="2" t="s">
        <v>69</v>
      </c>
      <c r="O24" s="6">
        <f t="shared" si="4"/>
        <v>50</v>
      </c>
      <c r="P24" s="2" t="s">
        <v>70</v>
      </c>
      <c r="Q24" s="6">
        <f t="shared" si="5"/>
        <v>250</v>
      </c>
      <c r="R24" s="2" t="s">
        <v>71</v>
      </c>
      <c r="S24" s="6">
        <f t="shared" si="6"/>
        <v>120</v>
      </c>
      <c r="T24" s="8"/>
      <c r="U24" s="6">
        <f t="shared" si="7"/>
        <v>0</v>
      </c>
      <c r="V24" s="2" t="s">
        <v>71</v>
      </c>
      <c r="W24" s="6">
        <f t="shared" si="8"/>
        <v>120</v>
      </c>
      <c r="X24" s="2" t="s">
        <v>155</v>
      </c>
      <c r="Y24" s="6">
        <f t="shared" si="9"/>
        <v>66</v>
      </c>
      <c r="Z24" s="5" t="s">
        <v>75</v>
      </c>
      <c r="AA24" s="2">
        <v>295</v>
      </c>
      <c r="AB24" s="2">
        <v>343</v>
      </c>
      <c r="AC24" s="2" t="s">
        <v>76</v>
      </c>
      <c r="AD24" s="6">
        <f t="shared" si="1"/>
        <v>240</v>
      </c>
      <c r="AE24" s="2" t="s">
        <v>77</v>
      </c>
      <c r="AF24" s="6">
        <f t="shared" si="10"/>
        <v>100</v>
      </c>
      <c r="AG24" s="2" t="s">
        <v>156</v>
      </c>
      <c r="AH24" s="6">
        <f t="shared" si="11"/>
        <v>27</v>
      </c>
      <c r="AI24" s="2" t="s">
        <v>124</v>
      </c>
      <c r="AJ24" s="6">
        <f t="shared" si="12"/>
        <v>59</v>
      </c>
      <c r="AK24" s="7" t="s">
        <v>157</v>
      </c>
      <c r="AL24" s="3">
        <f t="shared" si="13"/>
        <v>1409</v>
      </c>
      <c r="AM24" s="2" t="s">
        <v>158</v>
      </c>
      <c r="AN24" s="6">
        <f t="shared" si="14"/>
        <v>706</v>
      </c>
      <c r="AO24" s="2" t="s">
        <v>159</v>
      </c>
      <c r="AP24" s="6">
        <f t="shared" si="15"/>
        <v>1086</v>
      </c>
      <c r="AQ24" s="2" t="s">
        <v>160</v>
      </c>
      <c r="AR24" s="6">
        <f t="shared" si="16"/>
        <v>923</v>
      </c>
      <c r="AS24" s="2" t="s">
        <v>161</v>
      </c>
      <c r="AT24" s="6">
        <f t="shared" si="17"/>
        <v>1358</v>
      </c>
      <c r="AU24" s="2" t="s">
        <v>162</v>
      </c>
      <c r="AV24" s="6">
        <f t="shared" si="18"/>
        <v>1630</v>
      </c>
    </row>
    <row r="25" spans="1:48" ht="30" x14ac:dyDescent="0.25">
      <c r="A25" s="2" t="s">
        <v>23</v>
      </c>
      <c r="B25" s="2">
        <v>18</v>
      </c>
      <c r="C25" s="2" t="s">
        <v>16</v>
      </c>
      <c r="D25" s="2">
        <v>12.9</v>
      </c>
      <c r="E25" s="2" t="s">
        <v>8</v>
      </c>
      <c r="F25" s="2" t="s">
        <v>13</v>
      </c>
      <c r="G25" s="7" t="s">
        <v>153</v>
      </c>
      <c r="H25" s="3">
        <f t="shared" si="0"/>
        <v>5432</v>
      </c>
      <c r="I25" s="5" t="s">
        <v>127</v>
      </c>
      <c r="J25" s="2" t="s">
        <v>67</v>
      </c>
      <c r="K25" s="6">
        <f t="shared" si="2"/>
        <v>132</v>
      </c>
      <c r="L25" s="2" t="s">
        <v>154</v>
      </c>
      <c r="M25" s="6">
        <f t="shared" si="3"/>
        <v>245</v>
      </c>
      <c r="N25" s="2" t="s">
        <v>69</v>
      </c>
      <c r="O25" s="6">
        <f t="shared" si="4"/>
        <v>50</v>
      </c>
      <c r="P25" s="2" t="s">
        <v>70</v>
      </c>
      <c r="Q25" s="6">
        <f t="shared" si="5"/>
        <v>250</v>
      </c>
      <c r="R25" s="2" t="s">
        <v>71</v>
      </c>
      <c r="S25" s="6">
        <f t="shared" si="6"/>
        <v>120</v>
      </c>
      <c r="T25" s="8"/>
      <c r="U25" s="6">
        <f t="shared" si="7"/>
        <v>0</v>
      </c>
      <c r="V25" s="2" t="s">
        <v>71</v>
      </c>
      <c r="W25" s="6">
        <f t="shared" si="8"/>
        <v>120</v>
      </c>
      <c r="X25" s="2" t="s">
        <v>155</v>
      </c>
      <c r="Y25" s="6">
        <f t="shared" si="9"/>
        <v>66</v>
      </c>
      <c r="Z25" s="5" t="s">
        <v>85</v>
      </c>
      <c r="AA25" s="2">
        <v>295</v>
      </c>
      <c r="AB25" s="2">
        <v>343</v>
      </c>
      <c r="AC25" s="2" t="s">
        <v>76</v>
      </c>
      <c r="AD25" s="6">
        <f t="shared" si="1"/>
        <v>240</v>
      </c>
      <c r="AE25" s="2" t="s">
        <v>77</v>
      </c>
      <c r="AF25" s="6">
        <f t="shared" si="10"/>
        <v>100</v>
      </c>
      <c r="AG25" s="2" t="s">
        <v>156</v>
      </c>
      <c r="AH25" s="6">
        <f t="shared" si="11"/>
        <v>27</v>
      </c>
      <c r="AI25" s="2" t="s">
        <v>124</v>
      </c>
      <c r="AJ25" s="6">
        <f t="shared" si="12"/>
        <v>59</v>
      </c>
      <c r="AK25" s="7" t="s">
        <v>157</v>
      </c>
      <c r="AL25" s="3">
        <f t="shared" si="13"/>
        <v>1409</v>
      </c>
      <c r="AM25" s="2" t="s">
        <v>158</v>
      </c>
      <c r="AN25" s="6">
        <f t="shared" si="14"/>
        <v>706</v>
      </c>
      <c r="AO25" s="2" t="s">
        <v>159</v>
      </c>
      <c r="AP25" s="6">
        <f t="shared" si="15"/>
        <v>1086</v>
      </c>
      <c r="AQ25" s="2" t="s">
        <v>160</v>
      </c>
      <c r="AR25" s="6">
        <f t="shared" si="16"/>
        <v>923</v>
      </c>
      <c r="AS25" s="2" t="s">
        <v>161</v>
      </c>
      <c r="AT25" s="6">
        <f t="shared" si="17"/>
        <v>1358</v>
      </c>
      <c r="AU25" s="2" t="s">
        <v>162</v>
      </c>
      <c r="AV25" s="6">
        <f t="shared" si="18"/>
        <v>1630</v>
      </c>
    </row>
    <row r="26" spans="1:48" ht="30" x14ac:dyDescent="0.25">
      <c r="A26" s="2" t="s">
        <v>23</v>
      </c>
      <c r="B26" s="2">
        <v>18</v>
      </c>
      <c r="C26" s="2" t="s">
        <v>16</v>
      </c>
      <c r="D26" s="2">
        <v>21</v>
      </c>
      <c r="E26" s="2" t="s">
        <v>8</v>
      </c>
      <c r="F26" s="2" t="s">
        <v>21</v>
      </c>
      <c r="G26" s="7" t="s">
        <v>153</v>
      </c>
      <c r="H26" s="3">
        <f t="shared" si="0"/>
        <v>5432</v>
      </c>
      <c r="I26" s="5" t="s">
        <v>127</v>
      </c>
      <c r="J26" s="2" t="s">
        <v>67</v>
      </c>
      <c r="K26" s="6">
        <f t="shared" si="2"/>
        <v>132</v>
      </c>
      <c r="L26" s="2" t="s">
        <v>154</v>
      </c>
      <c r="M26" s="6">
        <f t="shared" si="3"/>
        <v>245</v>
      </c>
      <c r="N26" s="2" t="s">
        <v>69</v>
      </c>
      <c r="O26" s="6">
        <f t="shared" si="4"/>
        <v>50</v>
      </c>
      <c r="P26" s="2" t="s">
        <v>70</v>
      </c>
      <c r="Q26" s="6">
        <f t="shared" si="5"/>
        <v>250</v>
      </c>
      <c r="R26" s="2" t="s">
        <v>71</v>
      </c>
      <c r="S26" s="6">
        <f t="shared" si="6"/>
        <v>120</v>
      </c>
      <c r="T26" s="8"/>
      <c r="U26" s="6">
        <f t="shared" si="7"/>
        <v>0</v>
      </c>
      <c r="V26" s="2" t="s">
        <v>71</v>
      </c>
      <c r="W26" s="6">
        <f t="shared" si="8"/>
        <v>120</v>
      </c>
      <c r="X26" s="2" t="s">
        <v>155</v>
      </c>
      <c r="Y26" s="6">
        <f t="shared" si="9"/>
        <v>66</v>
      </c>
      <c r="Z26" s="5" t="s">
        <v>87</v>
      </c>
      <c r="AA26" s="2">
        <v>295</v>
      </c>
      <c r="AB26" s="2">
        <v>343</v>
      </c>
      <c r="AC26" s="2" t="s">
        <v>76</v>
      </c>
      <c r="AD26" s="6">
        <f t="shared" si="1"/>
        <v>240</v>
      </c>
      <c r="AE26" s="2" t="s">
        <v>77</v>
      </c>
      <c r="AF26" s="6">
        <f t="shared" si="10"/>
        <v>100</v>
      </c>
      <c r="AG26" s="2" t="s">
        <v>156</v>
      </c>
      <c r="AH26" s="6">
        <f t="shared" si="11"/>
        <v>27</v>
      </c>
      <c r="AI26" s="2" t="s">
        <v>124</v>
      </c>
      <c r="AJ26" s="6">
        <f t="shared" si="12"/>
        <v>59</v>
      </c>
      <c r="AK26" s="7" t="s">
        <v>157</v>
      </c>
      <c r="AL26" s="3">
        <f t="shared" si="13"/>
        <v>1409</v>
      </c>
      <c r="AM26" s="2" t="s">
        <v>158</v>
      </c>
      <c r="AN26" s="6">
        <f t="shared" si="14"/>
        <v>706</v>
      </c>
      <c r="AO26" s="2" t="s">
        <v>159</v>
      </c>
      <c r="AP26" s="6">
        <f t="shared" si="15"/>
        <v>1086</v>
      </c>
      <c r="AQ26" s="2" t="s">
        <v>160</v>
      </c>
      <c r="AR26" s="6">
        <f t="shared" si="16"/>
        <v>923</v>
      </c>
      <c r="AS26" s="2" t="s">
        <v>161</v>
      </c>
      <c r="AT26" s="6">
        <f t="shared" si="17"/>
        <v>1358</v>
      </c>
      <c r="AU26" s="2" t="s">
        <v>162</v>
      </c>
      <c r="AV26" s="6">
        <f t="shared" si="18"/>
        <v>1630</v>
      </c>
    </row>
    <row r="27" spans="1:48" ht="30" x14ac:dyDescent="0.25">
      <c r="A27" s="2" t="s">
        <v>23</v>
      </c>
      <c r="B27" s="2">
        <v>24</v>
      </c>
      <c r="C27" s="2" t="s">
        <v>16</v>
      </c>
      <c r="D27" s="2">
        <v>22</v>
      </c>
      <c r="E27" s="2" t="s">
        <v>17</v>
      </c>
      <c r="F27" s="2" t="s">
        <v>21</v>
      </c>
      <c r="G27" s="7" t="s">
        <v>153</v>
      </c>
      <c r="H27" s="3">
        <f t="shared" si="0"/>
        <v>5432</v>
      </c>
      <c r="I27" s="5" t="s">
        <v>127</v>
      </c>
      <c r="J27" s="2" t="s">
        <v>67</v>
      </c>
      <c r="K27" s="6">
        <f t="shared" si="2"/>
        <v>132</v>
      </c>
      <c r="L27" s="2" t="s">
        <v>154</v>
      </c>
      <c r="M27" s="6">
        <f t="shared" si="3"/>
        <v>245</v>
      </c>
      <c r="N27" s="2" t="s">
        <v>69</v>
      </c>
      <c r="O27" s="6">
        <f t="shared" si="4"/>
        <v>50</v>
      </c>
      <c r="P27" s="2" t="s">
        <v>70</v>
      </c>
      <c r="Q27" s="6">
        <f t="shared" si="5"/>
        <v>250</v>
      </c>
      <c r="R27" s="2" t="s">
        <v>71</v>
      </c>
      <c r="S27" s="6">
        <f t="shared" si="6"/>
        <v>120</v>
      </c>
      <c r="T27" s="8"/>
      <c r="U27" s="6">
        <f t="shared" si="7"/>
        <v>0</v>
      </c>
      <c r="V27" s="2" t="s">
        <v>71</v>
      </c>
      <c r="W27" s="6">
        <f t="shared" si="8"/>
        <v>120</v>
      </c>
      <c r="X27" s="2" t="s">
        <v>155</v>
      </c>
      <c r="Y27" s="6">
        <f t="shared" si="9"/>
        <v>66</v>
      </c>
      <c r="Z27" s="5" t="s">
        <v>104</v>
      </c>
      <c r="AA27" s="2">
        <v>295</v>
      </c>
      <c r="AB27" s="2">
        <v>343</v>
      </c>
      <c r="AC27" s="2" t="s">
        <v>76</v>
      </c>
      <c r="AD27" s="6">
        <f t="shared" si="1"/>
        <v>240</v>
      </c>
      <c r="AE27" s="2" t="s">
        <v>77</v>
      </c>
      <c r="AF27" s="6">
        <f t="shared" si="10"/>
        <v>100</v>
      </c>
      <c r="AG27" s="2" t="s">
        <v>156</v>
      </c>
      <c r="AH27" s="6">
        <f t="shared" si="11"/>
        <v>27</v>
      </c>
      <c r="AI27" s="2" t="s">
        <v>124</v>
      </c>
      <c r="AJ27" s="6">
        <f t="shared" si="12"/>
        <v>59</v>
      </c>
      <c r="AK27" s="7" t="s">
        <v>157</v>
      </c>
      <c r="AL27" s="3">
        <f t="shared" si="13"/>
        <v>1409</v>
      </c>
      <c r="AM27" s="2" t="s">
        <v>158</v>
      </c>
      <c r="AN27" s="6">
        <f t="shared" si="14"/>
        <v>706</v>
      </c>
      <c r="AO27" s="2" t="s">
        <v>159</v>
      </c>
      <c r="AP27" s="6">
        <f t="shared" si="15"/>
        <v>1086</v>
      </c>
      <c r="AQ27" s="2" t="s">
        <v>160</v>
      </c>
      <c r="AR27" s="6">
        <f t="shared" si="16"/>
        <v>923</v>
      </c>
      <c r="AS27" s="2" t="s">
        <v>161</v>
      </c>
      <c r="AT27" s="6">
        <f t="shared" si="17"/>
        <v>1358</v>
      </c>
      <c r="AU27" s="2" t="s">
        <v>162</v>
      </c>
      <c r="AV27" s="6">
        <f t="shared" si="18"/>
        <v>1630</v>
      </c>
    </row>
    <row r="28" spans="1:48" ht="30" x14ac:dyDescent="0.25">
      <c r="A28" s="2" t="s">
        <v>24</v>
      </c>
      <c r="B28" s="2">
        <v>7</v>
      </c>
      <c r="C28" s="2" t="s">
        <v>7</v>
      </c>
      <c r="D28" s="2">
        <v>23</v>
      </c>
      <c r="E28" s="2" t="s">
        <v>17</v>
      </c>
      <c r="F28" s="2" t="s">
        <v>9</v>
      </c>
      <c r="G28" s="7" t="s">
        <v>163</v>
      </c>
      <c r="H28" s="3">
        <f t="shared" si="0"/>
        <v>6778</v>
      </c>
      <c r="I28" s="5" t="s">
        <v>164</v>
      </c>
      <c r="J28" s="2" t="s">
        <v>67</v>
      </c>
      <c r="K28" s="6">
        <f t="shared" si="2"/>
        <v>132</v>
      </c>
      <c r="L28" s="2" t="s">
        <v>68</v>
      </c>
      <c r="M28" s="6">
        <f t="shared" si="3"/>
        <v>400</v>
      </c>
      <c r="N28" s="2" t="s">
        <v>69</v>
      </c>
      <c r="O28" s="6">
        <f t="shared" si="4"/>
        <v>50</v>
      </c>
      <c r="P28" s="2" t="s">
        <v>70</v>
      </c>
      <c r="Q28" s="6">
        <f t="shared" si="5"/>
        <v>250</v>
      </c>
      <c r="R28" s="2" t="s">
        <v>73</v>
      </c>
      <c r="S28" s="6">
        <f t="shared" si="6"/>
        <v>134</v>
      </c>
      <c r="T28" s="8"/>
      <c r="U28" s="6">
        <f t="shared" si="7"/>
        <v>0</v>
      </c>
      <c r="V28" s="2" t="s">
        <v>73</v>
      </c>
      <c r="W28" s="6">
        <f t="shared" si="8"/>
        <v>134</v>
      </c>
      <c r="X28" s="2" t="s">
        <v>74</v>
      </c>
      <c r="Y28" s="6">
        <f t="shared" si="9"/>
        <v>6</v>
      </c>
      <c r="Z28" s="5" t="s">
        <v>75</v>
      </c>
      <c r="AA28" s="2">
        <v>295</v>
      </c>
      <c r="AB28" s="2">
        <v>377</v>
      </c>
      <c r="AC28" s="2" t="s">
        <v>165</v>
      </c>
      <c r="AD28" s="6">
        <f t="shared" si="1"/>
        <v>264</v>
      </c>
      <c r="AE28" s="2" t="s">
        <v>77</v>
      </c>
      <c r="AF28" s="6">
        <f t="shared" si="10"/>
        <v>100</v>
      </c>
      <c r="AG28" s="2" t="s">
        <v>166</v>
      </c>
      <c r="AH28" s="6">
        <f t="shared" si="11"/>
        <v>28</v>
      </c>
      <c r="AI28" s="2" t="s">
        <v>167</v>
      </c>
      <c r="AJ28" s="6">
        <f t="shared" si="12"/>
        <v>60</v>
      </c>
      <c r="AK28" s="7" t="s">
        <v>168</v>
      </c>
      <c r="AL28" s="3">
        <f t="shared" si="13"/>
        <v>1558</v>
      </c>
      <c r="AM28" s="2" t="s">
        <v>169</v>
      </c>
      <c r="AN28" s="6">
        <f t="shared" si="14"/>
        <v>881</v>
      </c>
      <c r="AO28" s="2" t="s">
        <v>170</v>
      </c>
      <c r="AP28" s="6">
        <f t="shared" si="15"/>
        <v>1356</v>
      </c>
      <c r="AQ28" s="2" t="s">
        <v>171</v>
      </c>
      <c r="AR28" s="6">
        <f t="shared" si="16"/>
        <v>1152</v>
      </c>
      <c r="AS28" s="2" t="s">
        <v>172</v>
      </c>
      <c r="AT28" s="6">
        <f t="shared" si="17"/>
        <v>1695</v>
      </c>
      <c r="AU28" s="2" t="s">
        <v>173</v>
      </c>
      <c r="AV28" s="6">
        <f t="shared" si="18"/>
        <v>2033</v>
      </c>
    </row>
    <row r="29" spans="1:48" ht="45" x14ac:dyDescent="0.25">
      <c r="A29" s="2" t="s">
        <v>24</v>
      </c>
      <c r="B29" s="2">
        <v>19</v>
      </c>
      <c r="C29" s="2" t="s">
        <v>7</v>
      </c>
      <c r="D29" s="2">
        <v>12</v>
      </c>
      <c r="E29" s="2" t="s">
        <v>17</v>
      </c>
      <c r="F29" s="2" t="s">
        <v>10</v>
      </c>
      <c r="G29" s="7" t="s">
        <v>163</v>
      </c>
      <c r="H29" s="3">
        <f t="shared" si="0"/>
        <v>6778</v>
      </c>
      <c r="I29" s="5" t="s">
        <v>164</v>
      </c>
      <c r="J29" s="2" t="s">
        <v>67</v>
      </c>
      <c r="K29" s="6">
        <f t="shared" si="2"/>
        <v>132</v>
      </c>
      <c r="L29" s="2" t="s">
        <v>68</v>
      </c>
      <c r="M29" s="6">
        <f t="shared" si="3"/>
        <v>400</v>
      </c>
      <c r="N29" s="2" t="s">
        <v>69</v>
      </c>
      <c r="O29" s="6">
        <f t="shared" si="4"/>
        <v>50</v>
      </c>
      <c r="P29" s="2" t="s">
        <v>70</v>
      </c>
      <c r="Q29" s="6">
        <f t="shared" si="5"/>
        <v>250</v>
      </c>
      <c r="R29" s="2" t="s">
        <v>73</v>
      </c>
      <c r="S29" s="6">
        <f t="shared" si="6"/>
        <v>134</v>
      </c>
      <c r="T29" s="2" t="s">
        <v>72</v>
      </c>
      <c r="U29" s="6">
        <f t="shared" si="7"/>
        <v>65</v>
      </c>
      <c r="V29" s="2" t="s">
        <v>73</v>
      </c>
      <c r="W29" s="6">
        <f t="shared" si="8"/>
        <v>134</v>
      </c>
      <c r="X29" s="2" t="s">
        <v>74</v>
      </c>
      <c r="Y29" s="6">
        <f t="shared" si="9"/>
        <v>6</v>
      </c>
      <c r="Z29" s="5" t="s">
        <v>85</v>
      </c>
      <c r="AA29" s="2">
        <v>295</v>
      </c>
      <c r="AB29" s="2">
        <v>377</v>
      </c>
      <c r="AC29" s="2" t="s">
        <v>165</v>
      </c>
      <c r="AD29" s="6">
        <f t="shared" si="1"/>
        <v>264</v>
      </c>
      <c r="AE29" s="2" t="s">
        <v>77</v>
      </c>
      <c r="AF29" s="6">
        <f t="shared" si="10"/>
        <v>100</v>
      </c>
      <c r="AG29" s="2" t="s">
        <v>166</v>
      </c>
      <c r="AH29" s="6">
        <f t="shared" si="11"/>
        <v>28</v>
      </c>
      <c r="AI29" s="2" t="s">
        <v>167</v>
      </c>
      <c r="AJ29" s="6">
        <f t="shared" si="12"/>
        <v>60</v>
      </c>
      <c r="AK29" s="7" t="s">
        <v>174</v>
      </c>
      <c r="AL29" s="3">
        <f t="shared" si="13"/>
        <v>1623</v>
      </c>
      <c r="AM29" s="2" t="s">
        <v>169</v>
      </c>
      <c r="AN29" s="6">
        <f t="shared" si="14"/>
        <v>881</v>
      </c>
      <c r="AO29" s="2" t="s">
        <v>170</v>
      </c>
      <c r="AP29" s="6">
        <f t="shared" si="15"/>
        <v>1356</v>
      </c>
      <c r="AQ29" s="2" t="s">
        <v>171</v>
      </c>
      <c r="AR29" s="6">
        <f t="shared" si="16"/>
        <v>1152</v>
      </c>
      <c r="AS29" s="2" t="s">
        <v>172</v>
      </c>
      <c r="AT29" s="6">
        <f t="shared" si="17"/>
        <v>1695</v>
      </c>
      <c r="AU29" s="2" t="s">
        <v>173</v>
      </c>
      <c r="AV29" s="6">
        <f t="shared" si="18"/>
        <v>2033</v>
      </c>
    </row>
    <row r="30" spans="1:48" ht="45" x14ac:dyDescent="0.25">
      <c r="A30" s="2" t="s">
        <v>24</v>
      </c>
      <c r="B30" s="2">
        <v>19</v>
      </c>
      <c r="C30" s="2" t="s">
        <v>7</v>
      </c>
      <c r="D30" s="2">
        <v>13</v>
      </c>
      <c r="E30" s="2" t="s">
        <v>8</v>
      </c>
      <c r="F30" s="2" t="s">
        <v>13</v>
      </c>
      <c r="G30" s="7" t="s">
        <v>163</v>
      </c>
      <c r="H30" s="3">
        <f t="shared" si="0"/>
        <v>6778</v>
      </c>
      <c r="I30" s="5" t="s">
        <v>164</v>
      </c>
      <c r="J30" s="2" t="s">
        <v>67</v>
      </c>
      <c r="K30" s="6">
        <f t="shared" si="2"/>
        <v>132</v>
      </c>
      <c r="L30" s="2" t="s">
        <v>68</v>
      </c>
      <c r="M30" s="6">
        <f t="shared" si="3"/>
        <v>400</v>
      </c>
      <c r="N30" s="2" t="s">
        <v>69</v>
      </c>
      <c r="O30" s="6">
        <f t="shared" si="4"/>
        <v>50</v>
      </c>
      <c r="P30" s="2" t="s">
        <v>70</v>
      </c>
      <c r="Q30" s="6">
        <f t="shared" si="5"/>
        <v>250</v>
      </c>
      <c r="R30" s="2" t="s">
        <v>73</v>
      </c>
      <c r="S30" s="6">
        <f t="shared" si="6"/>
        <v>134</v>
      </c>
      <c r="T30" s="2" t="s">
        <v>72</v>
      </c>
      <c r="U30" s="6">
        <f t="shared" si="7"/>
        <v>65</v>
      </c>
      <c r="V30" s="2" t="s">
        <v>73</v>
      </c>
      <c r="W30" s="6">
        <f t="shared" si="8"/>
        <v>134</v>
      </c>
      <c r="X30" s="2" t="s">
        <v>74</v>
      </c>
      <c r="Y30" s="6">
        <f t="shared" si="9"/>
        <v>6</v>
      </c>
      <c r="Z30" s="5" t="s">
        <v>87</v>
      </c>
      <c r="AA30" s="2">
        <v>295</v>
      </c>
      <c r="AB30" s="2">
        <v>377</v>
      </c>
      <c r="AC30" s="2" t="s">
        <v>165</v>
      </c>
      <c r="AD30" s="6">
        <f t="shared" si="1"/>
        <v>264</v>
      </c>
      <c r="AE30" s="2" t="s">
        <v>77</v>
      </c>
      <c r="AF30" s="6">
        <f t="shared" si="10"/>
        <v>100</v>
      </c>
      <c r="AG30" s="2" t="s">
        <v>166</v>
      </c>
      <c r="AH30" s="6">
        <f t="shared" si="11"/>
        <v>28</v>
      </c>
      <c r="AI30" s="2" t="s">
        <v>167</v>
      </c>
      <c r="AJ30" s="6">
        <f t="shared" si="12"/>
        <v>60</v>
      </c>
      <c r="AK30" s="7" t="s">
        <v>174</v>
      </c>
      <c r="AL30" s="3">
        <f t="shared" si="13"/>
        <v>1623</v>
      </c>
      <c r="AM30" s="2" t="s">
        <v>169</v>
      </c>
      <c r="AN30" s="6">
        <f t="shared" si="14"/>
        <v>881</v>
      </c>
      <c r="AO30" s="2" t="s">
        <v>170</v>
      </c>
      <c r="AP30" s="6">
        <f t="shared" si="15"/>
        <v>1356</v>
      </c>
      <c r="AQ30" s="2" t="s">
        <v>171</v>
      </c>
      <c r="AR30" s="6">
        <f t="shared" si="16"/>
        <v>1152</v>
      </c>
      <c r="AS30" s="2" t="s">
        <v>172</v>
      </c>
      <c r="AT30" s="6">
        <f t="shared" si="17"/>
        <v>1695</v>
      </c>
      <c r="AU30" s="2" t="s">
        <v>173</v>
      </c>
      <c r="AV30" s="6">
        <f t="shared" si="18"/>
        <v>2033</v>
      </c>
    </row>
    <row r="31" spans="1:48" ht="45" x14ac:dyDescent="0.25">
      <c r="A31" s="2" t="s">
        <v>24</v>
      </c>
      <c r="B31" s="2">
        <v>20</v>
      </c>
      <c r="C31" s="2" t="s">
        <v>7</v>
      </c>
      <c r="D31" s="2">
        <v>14</v>
      </c>
      <c r="E31" s="2" t="s">
        <v>8</v>
      </c>
      <c r="F31" s="2" t="s">
        <v>14</v>
      </c>
      <c r="G31" s="7" t="s">
        <v>163</v>
      </c>
      <c r="H31" s="3">
        <f t="shared" si="0"/>
        <v>6778</v>
      </c>
      <c r="I31" s="5" t="s">
        <v>164</v>
      </c>
      <c r="J31" s="2" t="s">
        <v>67</v>
      </c>
      <c r="K31" s="6">
        <f t="shared" si="2"/>
        <v>132</v>
      </c>
      <c r="L31" s="2" t="s">
        <v>68</v>
      </c>
      <c r="M31" s="6">
        <f t="shared" si="3"/>
        <v>400</v>
      </c>
      <c r="N31" s="2" t="s">
        <v>69</v>
      </c>
      <c r="O31" s="6">
        <f t="shared" si="4"/>
        <v>50</v>
      </c>
      <c r="P31" s="2" t="s">
        <v>70</v>
      </c>
      <c r="Q31" s="6">
        <f t="shared" si="5"/>
        <v>250</v>
      </c>
      <c r="R31" s="2" t="s">
        <v>73</v>
      </c>
      <c r="S31" s="6">
        <f t="shared" si="6"/>
        <v>134</v>
      </c>
      <c r="T31" s="2" t="s">
        <v>72</v>
      </c>
      <c r="U31" s="6">
        <f t="shared" si="7"/>
        <v>65</v>
      </c>
      <c r="V31" s="2" t="s">
        <v>73</v>
      </c>
      <c r="W31" s="6">
        <f t="shared" si="8"/>
        <v>134</v>
      </c>
      <c r="X31" s="2" t="s">
        <v>74</v>
      </c>
      <c r="Y31" s="6">
        <f t="shared" si="9"/>
        <v>6</v>
      </c>
      <c r="Z31" s="5" t="s">
        <v>104</v>
      </c>
      <c r="AA31" s="2">
        <v>295</v>
      </c>
      <c r="AB31" s="2">
        <v>377</v>
      </c>
      <c r="AC31" s="2" t="s">
        <v>165</v>
      </c>
      <c r="AD31" s="6">
        <f t="shared" si="1"/>
        <v>264</v>
      </c>
      <c r="AE31" s="2" t="s">
        <v>77</v>
      </c>
      <c r="AF31" s="6">
        <f t="shared" si="10"/>
        <v>100</v>
      </c>
      <c r="AG31" s="2" t="s">
        <v>166</v>
      </c>
      <c r="AH31" s="6">
        <f t="shared" si="11"/>
        <v>28</v>
      </c>
      <c r="AI31" s="2" t="s">
        <v>167</v>
      </c>
      <c r="AJ31" s="6">
        <f t="shared" si="12"/>
        <v>60</v>
      </c>
      <c r="AK31" s="7" t="s">
        <v>174</v>
      </c>
      <c r="AL31" s="3">
        <f t="shared" si="13"/>
        <v>1623</v>
      </c>
      <c r="AM31" s="2" t="s">
        <v>169</v>
      </c>
      <c r="AN31" s="6">
        <f t="shared" si="14"/>
        <v>881</v>
      </c>
      <c r="AO31" s="2" t="s">
        <v>170</v>
      </c>
      <c r="AP31" s="6">
        <f t="shared" si="15"/>
        <v>1356</v>
      </c>
      <c r="AQ31" s="2" t="s">
        <v>171</v>
      </c>
      <c r="AR31" s="6">
        <f t="shared" si="16"/>
        <v>1152</v>
      </c>
      <c r="AS31" s="2" t="s">
        <v>172</v>
      </c>
      <c r="AT31" s="6">
        <f t="shared" si="17"/>
        <v>1695</v>
      </c>
      <c r="AU31" s="2" t="s">
        <v>173</v>
      </c>
      <c r="AV31" s="6">
        <f t="shared" si="18"/>
        <v>2033</v>
      </c>
    </row>
    <row r="32" spans="1:48" ht="45" x14ac:dyDescent="0.25">
      <c r="A32" s="2" t="s">
        <v>24</v>
      </c>
      <c r="B32" s="2">
        <v>21</v>
      </c>
      <c r="C32" s="2" t="s">
        <v>7</v>
      </c>
      <c r="D32" s="2">
        <v>15</v>
      </c>
      <c r="E32" s="2" t="s">
        <v>8</v>
      </c>
      <c r="F32" s="2" t="s">
        <v>18</v>
      </c>
      <c r="G32" s="7" t="s">
        <v>163</v>
      </c>
      <c r="H32" s="3">
        <f t="shared" si="0"/>
        <v>6778</v>
      </c>
      <c r="I32" s="5" t="s">
        <v>164</v>
      </c>
      <c r="J32" s="2" t="s">
        <v>67</v>
      </c>
      <c r="K32" s="6">
        <f t="shared" si="2"/>
        <v>132</v>
      </c>
      <c r="L32" s="2" t="s">
        <v>68</v>
      </c>
      <c r="M32" s="6">
        <f t="shared" si="3"/>
        <v>400</v>
      </c>
      <c r="N32" s="2" t="s">
        <v>69</v>
      </c>
      <c r="O32" s="6">
        <f t="shared" si="4"/>
        <v>50</v>
      </c>
      <c r="P32" s="2" t="s">
        <v>70</v>
      </c>
      <c r="Q32" s="6">
        <f t="shared" si="5"/>
        <v>250</v>
      </c>
      <c r="R32" s="2" t="s">
        <v>73</v>
      </c>
      <c r="S32" s="6">
        <f t="shared" si="6"/>
        <v>134</v>
      </c>
      <c r="T32" s="2" t="s">
        <v>72</v>
      </c>
      <c r="U32" s="6">
        <f t="shared" si="7"/>
        <v>65</v>
      </c>
      <c r="V32" s="2" t="s">
        <v>73</v>
      </c>
      <c r="W32" s="6">
        <f t="shared" si="8"/>
        <v>134</v>
      </c>
      <c r="X32" s="2" t="s">
        <v>74</v>
      </c>
      <c r="Y32" s="6">
        <f t="shared" si="9"/>
        <v>6</v>
      </c>
      <c r="Z32" s="5" t="s">
        <v>75</v>
      </c>
      <c r="AA32" s="2">
        <v>295</v>
      </c>
      <c r="AB32" s="2">
        <v>377</v>
      </c>
      <c r="AC32" s="2" t="s">
        <v>165</v>
      </c>
      <c r="AD32" s="6">
        <f t="shared" si="1"/>
        <v>264</v>
      </c>
      <c r="AE32" s="2" t="s">
        <v>77</v>
      </c>
      <c r="AF32" s="6">
        <f t="shared" si="10"/>
        <v>100</v>
      </c>
      <c r="AG32" s="2" t="s">
        <v>166</v>
      </c>
      <c r="AH32" s="6">
        <f t="shared" si="11"/>
        <v>28</v>
      </c>
      <c r="AI32" s="2" t="s">
        <v>167</v>
      </c>
      <c r="AJ32" s="6">
        <f t="shared" si="12"/>
        <v>60</v>
      </c>
      <c r="AK32" s="7" t="s">
        <v>174</v>
      </c>
      <c r="AL32" s="3">
        <f t="shared" si="13"/>
        <v>1623</v>
      </c>
      <c r="AM32" s="2" t="s">
        <v>169</v>
      </c>
      <c r="AN32" s="6">
        <f t="shared" si="14"/>
        <v>881</v>
      </c>
      <c r="AO32" s="2" t="s">
        <v>170</v>
      </c>
      <c r="AP32" s="6">
        <f t="shared" si="15"/>
        <v>1356</v>
      </c>
      <c r="AQ32" s="2" t="s">
        <v>171</v>
      </c>
      <c r="AR32" s="6">
        <f t="shared" si="16"/>
        <v>1152</v>
      </c>
      <c r="AS32" s="2" t="s">
        <v>172</v>
      </c>
      <c r="AT32" s="6">
        <f t="shared" si="17"/>
        <v>1695</v>
      </c>
      <c r="AU32" s="2" t="s">
        <v>173</v>
      </c>
      <c r="AV32" s="6">
        <f t="shared" si="18"/>
        <v>2033</v>
      </c>
    </row>
    <row r="33" spans="1:48" ht="45" x14ac:dyDescent="0.25">
      <c r="A33" s="2" t="s">
        <v>24</v>
      </c>
      <c r="B33" s="2">
        <v>25</v>
      </c>
      <c r="C33" s="2" t="s">
        <v>7</v>
      </c>
      <c r="D33" s="2">
        <v>16</v>
      </c>
      <c r="E33" s="2" t="s">
        <v>8</v>
      </c>
      <c r="F33" s="2" t="s">
        <v>14</v>
      </c>
      <c r="G33" s="7" t="s">
        <v>163</v>
      </c>
      <c r="H33" s="3">
        <f t="shared" si="0"/>
        <v>6778</v>
      </c>
      <c r="I33" s="5" t="s">
        <v>164</v>
      </c>
      <c r="J33" s="2" t="s">
        <v>67</v>
      </c>
      <c r="K33" s="6">
        <f t="shared" si="2"/>
        <v>132</v>
      </c>
      <c r="L33" s="2" t="s">
        <v>68</v>
      </c>
      <c r="M33" s="6">
        <f t="shared" si="3"/>
        <v>400</v>
      </c>
      <c r="N33" s="2" t="s">
        <v>69</v>
      </c>
      <c r="O33" s="6">
        <f t="shared" si="4"/>
        <v>50</v>
      </c>
      <c r="P33" s="2" t="s">
        <v>70</v>
      </c>
      <c r="Q33" s="6">
        <f t="shared" si="5"/>
        <v>250</v>
      </c>
      <c r="R33" s="2" t="s">
        <v>73</v>
      </c>
      <c r="S33" s="6">
        <f t="shared" si="6"/>
        <v>134</v>
      </c>
      <c r="T33" s="2" t="s">
        <v>72</v>
      </c>
      <c r="U33" s="6">
        <f t="shared" si="7"/>
        <v>65</v>
      </c>
      <c r="V33" s="2" t="s">
        <v>73</v>
      </c>
      <c r="W33" s="6">
        <f t="shared" si="8"/>
        <v>134</v>
      </c>
      <c r="X33" s="2" t="s">
        <v>74</v>
      </c>
      <c r="Y33" s="6">
        <f t="shared" si="9"/>
        <v>6</v>
      </c>
      <c r="Z33" s="5" t="s">
        <v>85</v>
      </c>
      <c r="AA33" s="2">
        <v>295</v>
      </c>
      <c r="AB33" s="2">
        <v>377</v>
      </c>
      <c r="AC33" s="2" t="s">
        <v>165</v>
      </c>
      <c r="AD33" s="6">
        <f t="shared" si="1"/>
        <v>264</v>
      </c>
      <c r="AE33" s="2" t="s">
        <v>77</v>
      </c>
      <c r="AF33" s="6">
        <f t="shared" si="10"/>
        <v>100</v>
      </c>
      <c r="AG33" s="2" t="s">
        <v>166</v>
      </c>
      <c r="AH33" s="6">
        <f t="shared" si="11"/>
        <v>28</v>
      </c>
      <c r="AI33" s="2" t="s">
        <v>167</v>
      </c>
      <c r="AJ33" s="6">
        <f t="shared" si="12"/>
        <v>60</v>
      </c>
      <c r="AK33" s="7" t="s">
        <v>174</v>
      </c>
      <c r="AL33" s="3">
        <f t="shared" si="13"/>
        <v>1623</v>
      </c>
      <c r="AM33" s="2" t="s">
        <v>169</v>
      </c>
      <c r="AN33" s="6">
        <f t="shared" si="14"/>
        <v>881</v>
      </c>
      <c r="AO33" s="2" t="s">
        <v>170</v>
      </c>
      <c r="AP33" s="6">
        <f t="shared" si="15"/>
        <v>1356</v>
      </c>
      <c r="AQ33" s="2" t="s">
        <v>171</v>
      </c>
      <c r="AR33" s="6">
        <f t="shared" si="16"/>
        <v>1152</v>
      </c>
      <c r="AS33" s="2" t="s">
        <v>172</v>
      </c>
      <c r="AT33" s="6">
        <f t="shared" si="17"/>
        <v>1695</v>
      </c>
      <c r="AU33" s="2" t="s">
        <v>173</v>
      </c>
      <c r="AV33" s="6">
        <f t="shared" si="18"/>
        <v>2033</v>
      </c>
    </row>
    <row r="34" spans="1:48" ht="30" x14ac:dyDescent="0.25">
      <c r="A34" s="2" t="s">
        <v>24</v>
      </c>
      <c r="B34" s="2">
        <v>7</v>
      </c>
      <c r="C34" s="2" t="s">
        <v>7</v>
      </c>
      <c r="D34" s="2">
        <v>23</v>
      </c>
      <c r="E34" s="2" t="s">
        <v>17</v>
      </c>
      <c r="F34" s="2" t="s">
        <v>9</v>
      </c>
      <c r="G34" s="7" t="s">
        <v>163</v>
      </c>
      <c r="H34" s="3">
        <f t="shared" si="0"/>
        <v>6778</v>
      </c>
      <c r="I34" s="5" t="s">
        <v>164</v>
      </c>
      <c r="J34" s="2" t="s">
        <v>67</v>
      </c>
      <c r="K34" s="6">
        <f t="shared" si="2"/>
        <v>132</v>
      </c>
      <c r="L34" s="2" t="s">
        <v>68</v>
      </c>
      <c r="M34" s="6">
        <f t="shared" si="3"/>
        <v>400</v>
      </c>
      <c r="N34" s="2" t="s">
        <v>69</v>
      </c>
      <c r="O34" s="6">
        <f t="shared" si="4"/>
        <v>50</v>
      </c>
      <c r="P34" s="2" t="s">
        <v>70</v>
      </c>
      <c r="Q34" s="6">
        <f t="shared" si="5"/>
        <v>250</v>
      </c>
      <c r="R34" s="2" t="s">
        <v>73</v>
      </c>
      <c r="S34" s="6">
        <f t="shared" si="6"/>
        <v>134</v>
      </c>
      <c r="T34" s="8"/>
      <c r="U34" s="6">
        <f t="shared" si="7"/>
        <v>0</v>
      </c>
      <c r="V34" s="2" t="s">
        <v>73</v>
      </c>
      <c r="W34" s="6">
        <f t="shared" si="8"/>
        <v>134</v>
      </c>
      <c r="X34" s="2" t="s">
        <v>74</v>
      </c>
      <c r="Y34" s="6">
        <f t="shared" si="9"/>
        <v>6</v>
      </c>
      <c r="Z34" s="5" t="s">
        <v>87</v>
      </c>
      <c r="AA34" s="2">
        <v>295</v>
      </c>
      <c r="AB34" s="2">
        <v>377</v>
      </c>
      <c r="AC34" s="2" t="s">
        <v>165</v>
      </c>
      <c r="AD34" s="6">
        <f t="shared" si="1"/>
        <v>264</v>
      </c>
      <c r="AE34" s="2" t="s">
        <v>77</v>
      </c>
      <c r="AF34" s="6">
        <f t="shared" si="10"/>
        <v>100</v>
      </c>
      <c r="AG34" s="2" t="s">
        <v>166</v>
      </c>
      <c r="AH34" s="6">
        <f t="shared" si="11"/>
        <v>28</v>
      </c>
      <c r="AI34" s="2" t="s">
        <v>167</v>
      </c>
      <c r="AJ34" s="6">
        <f t="shared" si="12"/>
        <v>60</v>
      </c>
      <c r="AK34" s="7" t="s">
        <v>168</v>
      </c>
      <c r="AL34" s="3">
        <f t="shared" si="13"/>
        <v>1558</v>
      </c>
      <c r="AM34" s="2" t="s">
        <v>169</v>
      </c>
      <c r="AN34" s="6">
        <f t="shared" si="14"/>
        <v>881</v>
      </c>
      <c r="AO34" s="2" t="s">
        <v>170</v>
      </c>
      <c r="AP34" s="6">
        <f t="shared" si="15"/>
        <v>1356</v>
      </c>
      <c r="AQ34" s="2" t="s">
        <v>171</v>
      </c>
      <c r="AR34" s="6">
        <f t="shared" si="16"/>
        <v>1152</v>
      </c>
      <c r="AS34" s="2" t="s">
        <v>172</v>
      </c>
      <c r="AT34" s="6">
        <f t="shared" si="17"/>
        <v>1695</v>
      </c>
      <c r="AU34" s="2" t="s">
        <v>173</v>
      </c>
      <c r="AV34" s="6">
        <f t="shared" si="18"/>
        <v>2033</v>
      </c>
    </row>
    <row r="35" spans="1:48" ht="45" x14ac:dyDescent="0.25">
      <c r="A35" s="2" t="s">
        <v>24</v>
      </c>
      <c r="B35" s="2">
        <v>19</v>
      </c>
      <c r="C35" s="2" t="s">
        <v>7</v>
      </c>
      <c r="D35" s="2">
        <v>12</v>
      </c>
      <c r="E35" s="2" t="s">
        <v>17</v>
      </c>
      <c r="F35" s="2" t="s">
        <v>10</v>
      </c>
      <c r="G35" s="7" t="s">
        <v>163</v>
      </c>
      <c r="H35" s="3">
        <f t="shared" si="0"/>
        <v>6778</v>
      </c>
      <c r="I35" s="5" t="s">
        <v>164</v>
      </c>
      <c r="J35" s="2" t="s">
        <v>67</v>
      </c>
      <c r="K35" s="6">
        <f t="shared" si="2"/>
        <v>132</v>
      </c>
      <c r="L35" s="2" t="s">
        <v>68</v>
      </c>
      <c r="M35" s="6">
        <f t="shared" si="3"/>
        <v>400</v>
      </c>
      <c r="N35" s="2" t="s">
        <v>69</v>
      </c>
      <c r="O35" s="6">
        <f t="shared" si="4"/>
        <v>50</v>
      </c>
      <c r="P35" s="2" t="s">
        <v>70</v>
      </c>
      <c r="Q35" s="6">
        <f t="shared" si="5"/>
        <v>250</v>
      </c>
      <c r="R35" s="2" t="s">
        <v>73</v>
      </c>
      <c r="S35" s="6">
        <f t="shared" si="6"/>
        <v>134</v>
      </c>
      <c r="T35" s="2" t="s">
        <v>72</v>
      </c>
      <c r="U35" s="6">
        <f t="shared" si="7"/>
        <v>65</v>
      </c>
      <c r="V35" s="2" t="s">
        <v>73</v>
      </c>
      <c r="W35" s="6">
        <f t="shared" si="8"/>
        <v>134</v>
      </c>
      <c r="X35" s="2" t="s">
        <v>74</v>
      </c>
      <c r="Y35" s="6">
        <f t="shared" si="9"/>
        <v>6</v>
      </c>
      <c r="Z35" s="5" t="s">
        <v>104</v>
      </c>
      <c r="AA35" s="2">
        <v>295</v>
      </c>
      <c r="AB35" s="2">
        <v>377</v>
      </c>
      <c r="AC35" s="2" t="s">
        <v>165</v>
      </c>
      <c r="AD35" s="6">
        <f t="shared" si="1"/>
        <v>264</v>
      </c>
      <c r="AE35" s="2" t="s">
        <v>77</v>
      </c>
      <c r="AF35" s="6">
        <f t="shared" si="10"/>
        <v>100</v>
      </c>
      <c r="AG35" s="2" t="s">
        <v>166</v>
      </c>
      <c r="AH35" s="6">
        <f t="shared" si="11"/>
        <v>28</v>
      </c>
      <c r="AI35" s="2" t="s">
        <v>167</v>
      </c>
      <c r="AJ35" s="6">
        <f t="shared" si="12"/>
        <v>60</v>
      </c>
      <c r="AK35" s="7" t="s">
        <v>174</v>
      </c>
      <c r="AL35" s="3">
        <f t="shared" si="13"/>
        <v>1623</v>
      </c>
      <c r="AM35" s="2" t="s">
        <v>169</v>
      </c>
      <c r="AN35" s="6">
        <f t="shared" si="14"/>
        <v>881</v>
      </c>
      <c r="AO35" s="2" t="s">
        <v>170</v>
      </c>
      <c r="AP35" s="6">
        <f t="shared" si="15"/>
        <v>1356</v>
      </c>
      <c r="AQ35" s="2" t="s">
        <v>171</v>
      </c>
      <c r="AR35" s="6">
        <f t="shared" si="16"/>
        <v>1152</v>
      </c>
      <c r="AS35" s="2" t="s">
        <v>172</v>
      </c>
      <c r="AT35" s="6">
        <f t="shared" si="17"/>
        <v>1695</v>
      </c>
      <c r="AU35" s="2" t="s">
        <v>173</v>
      </c>
      <c r="AV35" s="6">
        <f t="shared" si="18"/>
        <v>2033</v>
      </c>
    </row>
    <row r="36" spans="1:48" ht="45" x14ac:dyDescent="0.25">
      <c r="A36" s="2" t="s">
        <v>24</v>
      </c>
      <c r="B36" s="2">
        <v>19</v>
      </c>
      <c r="C36" s="2" t="s">
        <v>7</v>
      </c>
      <c r="D36" s="2">
        <v>13</v>
      </c>
      <c r="E36" s="2" t="s">
        <v>8</v>
      </c>
      <c r="F36" s="2" t="s">
        <v>13</v>
      </c>
      <c r="G36" s="7" t="s">
        <v>163</v>
      </c>
      <c r="H36" s="3">
        <f t="shared" si="0"/>
        <v>6778</v>
      </c>
      <c r="I36" s="5" t="s">
        <v>164</v>
      </c>
      <c r="J36" s="2" t="s">
        <v>67</v>
      </c>
      <c r="K36" s="6">
        <f t="shared" si="2"/>
        <v>132</v>
      </c>
      <c r="L36" s="2" t="s">
        <v>68</v>
      </c>
      <c r="M36" s="6">
        <f t="shared" si="3"/>
        <v>400</v>
      </c>
      <c r="N36" s="2" t="s">
        <v>69</v>
      </c>
      <c r="O36" s="6">
        <f t="shared" si="4"/>
        <v>50</v>
      </c>
      <c r="P36" s="2" t="s">
        <v>70</v>
      </c>
      <c r="Q36" s="6">
        <f t="shared" si="5"/>
        <v>250</v>
      </c>
      <c r="R36" s="2" t="s">
        <v>73</v>
      </c>
      <c r="S36" s="6">
        <f t="shared" si="6"/>
        <v>134</v>
      </c>
      <c r="T36" s="2" t="s">
        <v>72</v>
      </c>
      <c r="U36" s="6">
        <f t="shared" si="7"/>
        <v>65</v>
      </c>
      <c r="V36" s="2" t="s">
        <v>73</v>
      </c>
      <c r="W36" s="6">
        <f t="shared" si="8"/>
        <v>134</v>
      </c>
      <c r="X36" s="2" t="s">
        <v>74</v>
      </c>
      <c r="Y36" s="6">
        <f t="shared" si="9"/>
        <v>6</v>
      </c>
      <c r="Z36" s="5" t="s">
        <v>75</v>
      </c>
      <c r="AA36" s="2">
        <v>295</v>
      </c>
      <c r="AB36" s="2">
        <v>377</v>
      </c>
      <c r="AC36" s="2" t="s">
        <v>165</v>
      </c>
      <c r="AD36" s="6">
        <f t="shared" si="1"/>
        <v>264</v>
      </c>
      <c r="AE36" s="2" t="s">
        <v>77</v>
      </c>
      <c r="AF36" s="6">
        <f t="shared" si="10"/>
        <v>100</v>
      </c>
      <c r="AG36" s="2" t="s">
        <v>166</v>
      </c>
      <c r="AH36" s="6">
        <f t="shared" si="11"/>
        <v>28</v>
      </c>
      <c r="AI36" s="2" t="s">
        <v>167</v>
      </c>
      <c r="AJ36" s="6">
        <f t="shared" si="12"/>
        <v>60</v>
      </c>
      <c r="AK36" s="7" t="s">
        <v>174</v>
      </c>
      <c r="AL36" s="3">
        <f t="shared" si="13"/>
        <v>1623</v>
      </c>
      <c r="AM36" s="2" t="s">
        <v>169</v>
      </c>
      <c r="AN36" s="6">
        <f t="shared" si="14"/>
        <v>881</v>
      </c>
      <c r="AO36" s="2" t="s">
        <v>170</v>
      </c>
      <c r="AP36" s="6">
        <f t="shared" si="15"/>
        <v>1356</v>
      </c>
      <c r="AQ36" s="2" t="s">
        <v>171</v>
      </c>
      <c r="AR36" s="6">
        <f t="shared" si="16"/>
        <v>1152</v>
      </c>
      <c r="AS36" s="2" t="s">
        <v>172</v>
      </c>
      <c r="AT36" s="6">
        <f t="shared" si="17"/>
        <v>1695</v>
      </c>
      <c r="AU36" s="2" t="s">
        <v>173</v>
      </c>
      <c r="AV36" s="6">
        <f t="shared" si="18"/>
        <v>2033</v>
      </c>
    </row>
    <row r="37" spans="1:48" ht="45" x14ac:dyDescent="0.25">
      <c r="A37" s="2" t="s">
        <v>24</v>
      </c>
      <c r="B37" s="2">
        <v>20</v>
      </c>
      <c r="C37" s="2" t="s">
        <v>7</v>
      </c>
      <c r="D37" s="2">
        <v>14</v>
      </c>
      <c r="E37" s="2" t="s">
        <v>8</v>
      </c>
      <c r="F37" s="2" t="s">
        <v>14</v>
      </c>
      <c r="G37" s="7" t="s">
        <v>163</v>
      </c>
      <c r="H37" s="3">
        <f t="shared" ref="H37:H65" si="19">_xlfn.NUMBERVALUE(CLEAN(SUBSTITUTE(G37,"$"," ")))</f>
        <v>6778</v>
      </c>
      <c r="I37" s="5" t="s">
        <v>164</v>
      </c>
      <c r="J37" s="2" t="s">
        <v>67</v>
      </c>
      <c r="K37" s="6">
        <f t="shared" si="2"/>
        <v>132</v>
      </c>
      <c r="L37" s="2" t="s">
        <v>68</v>
      </c>
      <c r="M37" s="6">
        <f t="shared" si="3"/>
        <v>400</v>
      </c>
      <c r="N37" s="2" t="s">
        <v>69</v>
      </c>
      <c r="O37" s="6">
        <f t="shared" si="4"/>
        <v>50</v>
      </c>
      <c r="P37" s="2" t="s">
        <v>70</v>
      </c>
      <c r="Q37" s="6">
        <f t="shared" si="5"/>
        <v>250</v>
      </c>
      <c r="R37" s="2" t="s">
        <v>73</v>
      </c>
      <c r="S37" s="6">
        <f t="shared" si="6"/>
        <v>134</v>
      </c>
      <c r="T37" s="2" t="s">
        <v>72</v>
      </c>
      <c r="U37" s="6">
        <f t="shared" si="7"/>
        <v>65</v>
      </c>
      <c r="V37" s="2" t="s">
        <v>73</v>
      </c>
      <c r="W37" s="6">
        <f t="shared" si="8"/>
        <v>134</v>
      </c>
      <c r="X37" s="2" t="s">
        <v>74</v>
      </c>
      <c r="Y37" s="6">
        <f t="shared" si="9"/>
        <v>6</v>
      </c>
      <c r="Z37" s="5" t="s">
        <v>85</v>
      </c>
      <c r="AA37" s="2">
        <v>295</v>
      </c>
      <c r="AB37" s="2">
        <v>377</v>
      </c>
      <c r="AC37" s="2" t="s">
        <v>165</v>
      </c>
      <c r="AD37" s="6">
        <f t="shared" ref="AD37:AD65" si="20">_xlfn.NUMBERVALUE(CLEAN(SUBSTITUTE(AC37,"$"," ")))</f>
        <v>264</v>
      </c>
      <c r="AE37" s="2" t="s">
        <v>77</v>
      </c>
      <c r="AF37" s="6">
        <f t="shared" si="10"/>
        <v>100</v>
      </c>
      <c r="AG37" s="2" t="s">
        <v>166</v>
      </c>
      <c r="AH37" s="6">
        <f t="shared" si="11"/>
        <v>28</v>
      </c>
      <c r="AI37" s="2" t="s">
        <v>167</v>
      </c>
      <c r="AJ37" s="6">
        <f t="shared" si="12"/>
        <v>60</v>
      </c>
      <c r="AK37" s="7" t="s">
        <v>174</v>
      </c>
      <c r="AL37" s="3">
        <f t="shared" si="13"/>
        <v>1623</v>
      </c>
      <c r="AM37" s="2" t="s">
        <v>169</v>
      </c>
      <c r="AN37" s="6">
        <f t="shared" si="14"/>
        <v>881</v>
      </c>
      <c r="AO37" s="2" t="s">
        <v>170</v>
      </c>
      <c r="AP37" s="6">
        <f t="shared" si="15"/>
        <v>1356</v>
      </c>
      <c r="AQ37" s="2" t="s">
        <v>171</v>
      </c>
      <c r="AR37" s="6">
        <f t="shared" si="16"/>
        <v>1152</v>
      </c>
      <c r="AS37" s="2" t="s">
        <v>172</v>
      </c>
      <c r="AT37" s="6">
        <f t="shared" si="17"/>
        <v>1695</v>
      </c>
      <c r="AU37" s="2" t="s">
        <v>173</v>
      </c>
      <c r="AV37" s="6">
        <f t="shared" si="18"/>
        <v>2033</v>
      </c>
    </row>
    <row r="38" spans="1:48" ht="45" x14ac:dyDescent="0.25">
      <c r="A38" s="2" t="s">
        <v>24</v>
      </c>
      <c r="B38" s="2">
        <v>21</v>
      </c>
      <c r="C38" s="2" t="s">
        <v>7</v>
      </c>
      <c r="D38" s="2">
        <v>15</v>
      </c>
      <c r="E38" s="2" t="s">
        <v>8</v>
      </c>
      <c r="F38" s="2" t="s">
        <v>18</v>
      </c>
      <c r="G38" s="7" t="s">
        <v>163</v>
      </c>
      <c r="H38" s="3">
        <f t="shared" si="19"/>
        <v>6778</v>
      </c>
      <c r="I38" s="5" t="s">
        <v>164</v>
      </c>
      <c r="J38" s="2" t="s">
        <v>67</v>
      </c>
      <c r="K38" s="6">
        <f t="shared" si="2"/>
        <v>132</v>
      </c>
      <c r="L38" s="2" t="s">
        <v>68</v>
      </c>
      <c r="M38" s="6">
        <f t="shared" si="3"/>
        <v>400</v>
      </c>
      <c r="N38" s="2" t="s">
        <v>69</v>
      </c>
      <c r="O38" s="6">
        <f t="shared" si="4"/>
        <v>50</v>
      </c>
      <c r="P38" s="2" t="s">
        <v>70</v>
      </c>
      <c r="Q38" s="6">
        <f t="shared" si="5"/>
        <v>250</v>
      </c>
      <c r="R38" s="2" t="s">
        <v>73</v>
      </c>
      <c r="S38" s="6">
        <f t="shared" si="6"/>
        <v>134</v>
      </c>
      <c r="T38" s="2" t="s">
        <v>72</v>
      </c>
      <c r="U38" s="6">
        <f t="shared" si="7"/>
        <v>65</v>
      </c>
      <c r="V38" s="2" t="s">
        <v>73</v>
      </c>
      <c r="W38" s="6">
        <f t="shared" si="8"/>
        <v>134</v>
      </c>
      <c r="X38" s="2" t="s">
        <v>74</v>
      </c>
      <c r="Y38" s="6">
        <f t="shared" si="9"/>
        <v>6</v>
      </c>
      <c r="Z38" s="5" t="s">
        <v>87</v>
      </c>
      <c r="AA38" s="2">
        <v>295</v>
      </c>
      <c r="AB38" s="2">
        <v>377</v>
      </c>
      <c r="AC38" s="2" t="s">
        <v>165</v>
      </c>
      <c r="AD38" s="6">
        <f t="shared" si="20"/>
        <v>264</v>
      </c>
      <c r="AE38" s="2" t="s">
        <v>77</v>
      </c>
      <c r="AF38" s="6">
        <f t="shared" si="10"/>
        <v>100</v>
      </c>
      <c r="AG38" s="2" t="s">
        <v>166</v>
      </c>
      <c r="AH38" s="6">
        <f t="shared" si="11"/>
        <v>28</v>
      </c>
      <c r="AI38" s="2" t="s">
        <v>167</v>
      </c>
      <c r="AJ38" s="6">
        <f t="shared" si="12"/>
        <v>60</v>
      </c>
      <c r="AK38" s="7" t="s">
        <v>174</v>
      </c>
      <c r="AL38" s="3">
        <f t="shared" si="13"/>
        <v>1623</v>
      </c>
      <c r="AM38" s="2" t="s">
        <v>169</v>
      </c>
      <c r="AN38" s="6">
        <f t="shared" si="14"/>
        <v>881</v>
      </c>
      <c r="AO38" s="2" t="s">
        <v>170</v>
      </c>
      <c r="AP38" s="6">
        <f t="shared" si="15"/>
        <v>1356</v>
      </c>
      <c r="AQ38" s="2" t="s">
        <v>171</v>
      </c>
      <c r="AR38" s="6">
        <f t="shared" si="16"/>
        <v>1152</v>
      </c>
      <c r="AS38" s="2" t="s">
        <v>172</v>
      </c>
      <c r="AT38" s="6">
        <f t="shared" si="17"/>
        <v>1695</v>
      </c>
      <c r="AU38" s="2" t="s">
        <v>173</v>
      </c>
      <c r="AV38" s="6">
        <f t="shared" si="18"/>
        <v>2033</v>
      </c>
    </row>
    <row r="39" spans="1:48" ht="45" x14ac:dyDescent="0.25">
      <c r="A39" s="2" t="s">
        <v>24</v>
      </c>
      <c r="B39" s="2">
        <v>25</v>
      </c>
      <c r="C39" s="2" t="s">
        <v>7</v>
      </c>
      <c r="D39" s="2">
        <v>16</v>
      </c>
      <c r="E39" s="2" t="s">
        <v>8</v>
      </c>
      <c r="F39" s="2" t="s">
        <v>14</v>
      </c>
      <c r="G39" s="7" t="s">
        <v>163</v>
      </c>
      <c r="H39" s="3">
        <f t="shared" si="19"/>
        <v>6778</v>
      </c>
      <c r="I39" s="5" t="s">
        <v>164</v>
      </c>
      <c r="J39" s="2" t="s">
        <v>67</v>
      </c>
      <c r="K39" s="6">
        <f t="shared" si="2"/>
        <v>132</v>
      </c>
      <c r="L39" s="2" t="s">
        <v>68</v>
      </c>
      <c r="M39" s="6">
        <f t="shared" si="3"/>
        <v>400</v>
      </c>
      <c r="N39" s="2" t="s">
        <v>69</v>
      </c>
      <c r="O39" s="6">
        <f t="shared" si="4"/>
        <v>50</v>
      </c>
      <c r="P39" s="2" t="s">
        <v>70</v>
      </c>
      <c r="Q39" s="6">
        <f t="shared" si="5"/>
        <v>250</v>
      </c>
      <c r="R39" s="2" t="s">
        <v>73</v>
      </c>
      <c r="S39" s="6">
        <f t="shared" si="6"/>
        <v>134</v>
      </c>
      <c r="T39" s="2" t="s">
        <v>72</v>
      </c>
      <c r="U39" s="6">
        <f t="shared" si="7"/>
        <v>65</v>
      </c>
      <c r="V39" s="2" t="s">
        <v>73</v>
      </c>
      <c r="W39" s="6">
        <f t="shared" si="8"/>
        <v>134</v>
      </c>
      <c r="X39" s="2" t="s">
        <v>74</v>
      </c>
      <c r="Y39" s="6">
        <f t="shared" si="9"/>
        <v>6</v>
      </c>
      <c r="Z39" s="5" t="s">
        <v>104</v>
      </c>
      <c r="AA39" s="2">
        <v>295</v>
      </c>
      <c r="AB39" s="2">
        <v>377</v>
      </c>
      <c r="AC39" s="2" t="s">
        <v>165</v>
      </c>
      <c r="AD39" s="6">
        <f t="shared" si="20"/>
        <v>264</v>
      </c>
      <c r="AE39" s="2" t="s">
        <v>77</v>
      </c>
      <c r="AF39" s="6">
        <f t="shared" si="10"/>
        <v>100</v>
      </c>
      <c r="AG39" s="2" t="s">
        <v>166</v>
      </c>
      <c r="AH39" s="6">
        <f t="shared" si="11"/>
        <v>28</v>
      </c>
      <c r="AI39" s="2" t="s">
        <v>167</v>
      </c>
      <c r="AJ39" s="6">
        <f t="shared" si="12"/>
        <v>60</v>
      </c>
      <c r="AK39" s="7" t="s">
        <v>174</v>
      </c>
      <c r="AL39" s="3">
        <f t="shared" si="13"/>
        <v>1623</v>
      </c>
      <c r="AM39" s="2" t="s">
        <v>169</v>
      </c>
      <c r="AN39" s="6">
        <f t="shared" si="14"/>
        <v>881</v>
      </c>
      <c r="AO39" s="2" t="s">
        <v>170</v>
      </c>
      <c r="AP39" s="6">
        <f t="shared" si="15"/>
        <v>1356</v>
      </c>
      <c r="AQ39" s="2" t="s">
        <v>171</v>
      </c>
      <c r="AR39" s="6">
        <f t="shared" si="16"/>
        <v>1152</v>
      </c>
      <c r="AS39" s="2" t="s">
        <v>172</v>
      </c>
      <c r="AT39" s="6">
        <f t="shared" si="17"/>
        <v>1695</v>
      </c>
      <c r="AU39" s="2" t="s">
        <v>173</v>
      </c>
      <c r="AV39" s="6">
        <f t="shared" si="18"/>
        <v>2033</v>
      </c>
    </row>
    <row r="40" spans="1:48" ht="30" x14ac:dyDescent="0.25">
      <c r="A40" s="2" t="s">
        <v>25</v>
      </c>
      <c r="B40" s="2">
        <v>8</v>
      </c>
      <c r="C40" s="2" t="s">
        <v>12</v>
      </c>
      <c r="D40" s="2">
        <v>17</v>
      </c>
      <c r="E40" s="2" t="s">
        <v>8</v>
      </c>
      <c r="F40" s="2" t="s">
        <v>21</v>
      </c>
      <c r="G40" s="7" t="s">
        <v>175</v>
      </c>
      <c r="H40" s="3">
        <f t="shared" si="19"/>
        <v>6543</v>
      </c>
      <c r="I40" s="5" t="s">
        <v>164</v>
      </c>
      <c r="J40" s="2" t="s">
        <v>67</v>
      </c>
      <c r="K40" s="6">
        <f t="shared" si="2"/>
        <v>132</v>
      </c>
      <c r="L40" s="2" t="s">
        <v>68</v>
      </c>
      <c r="M40" s="6">
        <f t="shared" si="3"/>
        <v>400</v>
      </c>
      <c r="N40" s="2" t="s">
        <v>69</v>
      </c>
      <c r="O40" s="6">
        <f t="shared" si="4"/>
        <v>50</v>
      </c>
      <c r="P40" s="2" t="s">
        <v>70</v>
      </c>
      <c r="Q40" s="6">
        <f t="shared" si="5"/>
        <v>250</v>
      </c>
      <c r="R40" s="2" t="s">
        <v>108</v>
      </c>
      <c r="S40" s="6">
        <f t="shared" si="6"/>
        <v>121</v>
      </c>
      <c r="T40" s="8"/>
      <c r="U40" s="6">
        <f t="shared" si="7"/>
        <v>0</v>
      </c>
      <c r="V40" s="2" t="s">
        <v>90</v>
      </c>
      <c r="W40" s="6">
        <f t="shared" si="8"/>
        <v>51</v>
      </c>
      <c r="X40" s="2" t="s">
        <v>90</v>
      </c>
      <c r="Y40" s="6">
        <f t="shared" si="9"/>
        <v>51</v>
      </c>
      <c r="Z40" s="5" t="s">
        <v>75</v>
      </c>
      <c r="AA40" s="2">
        <v>295</v>
      </c>
      <c r="AB40" s="2">
        <v>389</v>
      </c>
      <c r="AC40" s="2" t="s">
        <v>176</v>
      </c>
      <c r="AD40" s="6">
        <f t="shared" si="20"/>
        <v>272</v>
      </c>
      <c r="AE40" s="2" t="s">
        <v>77</v>
      </c>
      <c r="AF40" s="6">
        <f t="shared" si="10"/>
        <v>100</v>
      </c>
      <c r="AG40" s="2" t="s">
        <v>177</v>
      </c>
      <c r="AH40" s="6">
        <f t="shared" si="11"/>
        <v>29</v>
      </c>
      <c r="AI40" s="2" t="s">
        <v>178</v>
      </c>
      <c r="AJ40" s="6">
        <f t="shared" si="12"/>
        <v>61</v>
      </c>
      <c r="AK40" s="7" t="s">
        <v>179</v>
      </c>
      <c r="AL40" s="3">
        <f t="shared" si="13"/>
        <v>1517</v>
      </c>
      <c r="AM40" s="2" t="s">
        <v>180</v>
      </c>
      <c r="AN40" s="6">
        <f t="shared" si="14"/>
        <v>851</v>
      </c>
      <c r="AO40" s="2" t="s">
        <v>181</v>
      </c>
      <c r="AP40" s="6">
        <f t="shared" si="15"/>
        <v>1309</v>
      </c>
      <c r="AQ40" s="2" t="s">
        <v>182</v>
      </c>
      <c r="AR40" s="6">
        <f t="shared" si="16"/>
        <v>1112</v>
      </c>
      <c r="AS40" s="2" t="s">
        <v>183</v>
      </c>
      <c r="AT40" s="6">
        <f t="shared" si="17"/>
        <v>1636</v>
      </c>
      <c r="AU40" s="2" t="s">
        <v>184</v>
      </c>
      <c r="AV40" s="6">
        <f t="shared" si="18"/>
        <v>1963</v>
      </c>
    </row>
    <row r="41" spans="1:48" ht="30" x14ac:dyDescent="0.25">
      <c r="A41" s="2" t="s">
        <v>25</v>
      </c>
      <c r="B41" s="2">
        <v>20</v>
      </c>
      <c r="C41" s="2" t="s">
        <v>12</v>
      </c>
      <c r="D41" s="2">
        <v>18</v>
      </c>
      <c r="E41" s="2" t="s">
        <v>8</v>
      </c>
      <c r="F41" s="2" t="s">
        <v>18</v>
      </c>
      <c r="G41" s="7" t="s">
        <v>175</v>
      </c>
      <c r="H41" s="3">
        <f t="shared" si="19"/>
        <v>6543</v>
      </c>
      <c r="I41" s="5" t="s">
        <v>164</v>
      </c>
      <c r="J41" s="2" t="s">
        <v>67</v>
      </c>
      <c r="K41" s="6">
        <f t="shared" si="2"/>
        <v>132</v>
      </c>
      <c r="L41" s="2" t="s">
        <v>68</v>
      </c>
      <c r="M41" s="6">
        <f t="shared" si="3"/>
        <v>400</v>
      </c>
      <c r="N41" s="2" t="s">
        <v>69</v>
      </c>
      <c r="O41" s="6">
        <f t="shared" si="4"/>
        <v>50</v>
      </c>
      <c r="P41" s="2" t="s">
        <v>70</v>
      </c>
      <c r="Q41" s="6">
        <f t="shared" si="5"/>
        <v>250</v>
      </c>
      <c r="R41" s="2" t="s">
        <v>108</v>
      </c>
      <c r="S41" s="6">
        <f t="shared" si="6"/>
        <v>121</v>
      </c>
      <c r="T41" s="8"/>
      <c r="U41" s="6">
        <f t="shared" si="7"/>
        <v>0</v>
      </c>
      <c r="V41" s="2" t="s">
        <v>90</v>
      </c>
      <c r="W41" s="6">
        <f t="shared" si="8"/>
        <v>51</v>
      </c>
      <c r="X41" s="2" t="s">
        <v>90</v>
      </c>
      <c r="Y41" s="6">
        <f t="shared" si="9"/>
        <v>51</v>
      </c>
      <c r="Z41" s="5" t="s">
        <v>85</v>
      </c>
      <c r="AA41" s="2">
        <v>295</v>
      </c>
      <c r="AB41" s="2">
        <v>389</v>
      </c>
      <c r="AC41" s="2" t="s">
        <v>176</v>
      </c>
      <c r="AD41" s="6">
        <f t="shared" si="20"/>
        <v>272</v>
      </c>
      <c r="AE41" s="2" t="s">
        <v>77</v>
      </c>
      <c r="AF41" s="6">
        <f t="shared" si="10"/>
        <v>100</v>
      </c>
      <c r="AG41" s="2" t="s">
        <v>177</v>
      </c>
      <c r="AH41" s="6">
        <f t="shared" si="11"/>
        <v>29</v>
      </c>
      <c r="AI41" s="2" t="s">
        <v>178</v>
      </c>
      <c r="AJ41" s="6">
        <f t="shared" si="12"/>
        <v>61</v>
      </c>
      <c r="AK41" s="7" t="s">
        <v>179</v>
      </c>
      <c r="AL41" s="3">
        <f t="shared" si="13"/>
        <v>1517</v>
      </c>
      <c r="AM41" s="2" t="s">
        <v>180</v>
      </c>
      <c r="AN41" s="6">
        <f t="shared" si="14"/>
        <v>851</v>
      </c>
      <c r="AO41" s="2" t="s">
        <v>181</v>
      </c>
      <c r="AP41" s="6">
        <f t="shared" si="15"/>
        <v>1309</v>
      </c>
      <c r="AQ41" s="2" t="s">
        <v>182</v>
      </c>
      <c r="AR41" s="6">
        <f t="shared" si="16"/>
        <v>1112</v>
      </c>
      <c r="AS41" s="2" t="s">
        <v>183</v>
      </c>
      <c r="AT41" s="6">
        <f t="shared" si="17"/>
        <v>1636</v>
      </c>
      <c r="AU41" s="2" t="s">
        <v>184</v>
      </c>
      <c r="AV41" s="6">
        <f t="shared" si="18"/>
        <v>1963</v>
      </c>
    </row>
    <row r="42" spans="1:48" ht="45" x14ac:dyDescent="0.25">
      <c r="A42" s="2" t="s">
        <v>25</v>
      </c>
      <c r="B42" s="2">
        <v>22</v>
      </c>
      <c r="C42" s="2" t="s">
        <v>12</v>
      </c>
      <c r="D42" s="2">
        <v>12.9</v>
      </c>
      <c r="E42" s="2" t="s">
        <v>8</v>
      </c>
      <c r="F42" s="2" t="s">
        <v>9</v>
      </c>
      <c r="G42" s="7" t="s">
        <v>175</v>
      </c>
      <c r="H42" s="3">
        <f t="shared" si="19"/>
        <v>6543</v>
      </c>
      <c r="I42" s="5" t="s">
        <v>164</v>
      </c>
      <c r="J42" s="2" t="s">
        <v>67</v>
      </c>
      <c r="K42" s="6">
        <f t="shared" si="2"/>
        <v>132</v>
      </c>
      <c r="L42" s="2" t="s">
        <v>68</v>
      </c>
      <c r="M42" s="6">
        <f t="shared" si="3"/>
        <v>400</v>
      </c>
      <c r="N42" s="2" t="s">
        <v>69</v>
      </c>
      <c r="O42" s="6">
        <f t="shared" si="4"/>
        <v>50</v>
      </c>
      <c r="P42" s="2" t="s">
        <v>70</v>
      </c>
      <c r="Q42" s="6">
        <f t="shared" si="5"/>
        <v>250</v>
      </c>
      <c r="R42" s="2" t="s">
        <v>108</v>
      </c>
      <c r="S42" s="6">
        <f t="shared" si="6"/>
        <v>121</v>
      </c>
      <c r="T42" s="2" t="s">
        <v>185</v>
      </c>
      <c r="U42" s="6">
        <f t="shared" si="7"/>
        <v>33</v>
      </c>
      <c r="V42" s="2" t="s">
        <v>90</v>
      </c>
      <c r="W42" s="6">
        <f t="shared" si="8"/>
        <v>51</v>
      </c>
      <c r="X42" s="2" t="s">
        <v>90</v>
      </c>
      <c r="Y42" s="6">
        <f t="shared" si="9"/>
        <v>51</v>
      </c>
      <c r="Z42" s="5" t="s">
        <v>87</v>
      </c>
      <c r="AA42" s="2">
        <v>295</v>
      </c>
      <c r="AB42" s="2">
        <v>389</v>
      </c>
      <c r="AC42" s="2" t="s">
        <v>176</v>
      </c>
      <c r="AD42" s="6">
        <f t="shared" si="20"/>
        <v>272</v>
      </c>
      <c r="AE42" s="2" t="s">
        <v>77</v>
      </c>
      <c r="AF42" s="6">
        <f t="shared" si="10"/>
        <v>100</v>
      </c>
      <c r="AG42" s="2" t="s">
        <v>177</v>
      </c>
      <c r="AH42" s="6">
        <f t="shared" si="11"/>
        <v>29</v>
      </c>
      <c r="AI42" s="2" t="s">
        <v>178</v>
      </c>
      <c r="AJ42" s="6">
        <f t="shared" si="12"/>
        <v>61</v>
      </c>
      <c r="AK42" s="7" t="s">
        <v>186</v>
      </c>
      <c r="AL42" s="3">
        <f t="shared" si="13"/>
        <v>1550</v>
      </c>
      <c r="AM42" s="2" t="s">
        <v>180</v>
      </c>
      <c r="AN42" s="6">
        <f t="shared" si="14"/>
        <v>851</v>
      </c>
      <c r="AO42" s="2" t="s">
        <v>181</v>
      </c>
      <c r="AP42" s="6">
        <f t="shared" si="15"/>
        <v>1309</v>
      </c>
      <c r="AQ42" s="2" t="s">
        <v>182</v>
      </c>
      <c r="AR42" s="6">
        <f t="shared" si="16"/>
        <v>1112</v>
      </c>
      <c r="AS42" s="2" t="s">
        <v>183</v>
      </c>
      <c r="AT42" s="6">
        <f t="shared" si="17"/>
        <v>1636</v>
      </c>
      <c r="AU42" s="2" t="s">
        <v>184</v>
      </c>
      <c r="AV42" s="6">
        <f t="shared" si="18"/>
        <v>1963</v>
      </c>
    </row>
    <row r="43" spans="1:48" ht="45" x14ac:dyDescent="0.25">
      <c r="A43" s="2" t="s">
        <v>25</v>
      </c>
      <c r="B43" s="2">
        <v>23</v>
      </c>
      <c r="C43" s="2" t="s">
        <v>12</v>
      </c>
      <c r="D43" s="2">
        <v>12.9</v>
      </c>
      <c r="E43" s="2" t="s">
        <v>8</v>
      </c>
      <c r="F43" s="2" t="s">
        <v>10</v>
      </c>
      <c r="G43" s="7" t="s">
        <v>175</v>
      </c>
      <c r="H43" s="3">
        <f t="shared" si="19"/>
        <v>6543</v>
      </c>
      <c r="I43" s="5" t="s">
        <v>164</v>
      </c>
      <c r="J43" s="2" t="s">
        <v>67</v>
      </c>
      <c r="K43" s="6">
        <f t="shared" si="2"/>
        <v>132</v>
      </c>
      <c r="L43" s="2" t="s">
        <v>68</v>
      </c>
      <c r="M43" s="6">
        <f t="shared" si="3"/>
        <v>400</v>
      </c>
      <c r="N43" s="2" t="s">
        <v>69</v>
      </c>
      <c r="O43" s="6">
        <f t="shared" si="4"/>
        <v>50</v>
      </c>
      <c r="P43" s="2" t="s">
        <v>70</v>
      </c>
      <c r="Q43" s="6">
        <f t="shared" si="5"/>
        <v>250</v>
      </c>
      <c r="R43" s="2" t="s">
        <v>108</v>
      </c>
      <c r="S43" s="6">
        <f t="shared" si="6"/>
        <v>121</v>
      </c>
      <c r="T43" s="2" t="s">
        <v>185</v>
      </c>
      <c r="U43" s="6">
        <f t="shared" si="7"/>
        <v>33</v>
      </c>
      <c r="V43" s="2" t="s">
        <v>90</v>
      </c>
      <c r="W43" s="6">
        <f t="shared" si="8"/>
        <v>51</v>
      </c>
      <c r="X43" s="2" t="s">
        <v>90</v>
      </c>
      <c r="Y43" s="6">
        <f t="shared" si="9"/>
        <v>51</v>
      </c>
      <c r="Z43" s="5" t="s">
        <v>104</v>
      </c>
      <c r="AA43" s="2">
        <v>295</v>
      </c>
      <c r="AB43" s="2">
        <v>389</v>
      </c>
      <c r="AC43" s="2" t="s">
        <v>176</v>
      </c>
      <c r="AD43" s="6">
        <f t="shared" si="20"/>
        <v>272</v>
      </c>
      <c r="AE43" s="2" t="s">
        <v>77</v>
      </c>
      <c r="AF43" s="6">
        <f t="shared" si="10"/>
        <v>100</v>
      </c>
      <c r="AG43" s="2" t="s">
        <v>177</v>
      </c>
      <c r="AH43" s="6">
        <f t="shared" si="11"/>
        <v>29</v>
      </c>
      <c r="AI43" s="2" t="s">
        <v>178</v>
      </c>
      <c r="AJ43" s="6">
        <f t="shared" si="12"/>
        <v>61</v>
      </c>
      <c r="AK43" s="7" t="s">
        <v>186</v>
      </c>
      <c r="AL43" s="3">
        <f t="shared" si="13"/>
        <v>1550</v>
      </c>
      <c r="AM43" s="2" t="s">
        <v>180</v>
      </c>
      <c r="AN43" s="6">
        <f t="shared" si="14"/>
        <v>851</v>
      </c>
      <c r="AO43" s="2" t="s">
        <v>181</v>
      </c>
      <c r="AP43" s="6">
        <f t="shared" si="15"/>
        <v>1309</v>
      </c>
      <c r="AQ43" s="2" t="s">
        <v>182</v>
      </c>
      <c r="AR43" s="6">
        <f t="shared" si="16"/>
        <v>1112</v>
      </c>
      <c r="AS43" s="2" t="s">
        <v>183</v>
      </c>
      <c r="AT43" s="6">
        <f t="shared" si="17"/>
        <v>1636</v>
      </c>
      <c r="AU43" s="2" t="s">
        <v>184</v>
      </c>
      <c r="AV43" s="6">
        <f t="shared" si="18"/>
        <v>1963</v>
      </c>
    </row>
    <row r="44" spans="1:48" ht="30" x14ac:dyDescent="0.25">
      <c r="A44" s="2" t="s">
        <v>26</v>
      </c>
      <c r="B44" s="2">
        <v>25</v>
      </c>
      <c r="C44" s="2" t="s">
        <v>7</v>
      </c>
      <c r="D44" s="2">
        <v>12.9</v>
      </c>
      <c r="E44" s="2" t="s">
        <v>8</v>
      </c>
      <c r="F44" s="2" t="s">
        <v>10</v>
      </c>
      <c r="G44" s="7" t="s">
        <v>187</v>
      </c>
      <c r="H44" s="3">
        <f t="shared" si="19"/>
        <v>8633</v>
      </c>
      <c r="I44" s="5" t="s">
        <v>164</v>
      </c>
      <c r="J44" s="2" t="s">
        <v>67</v>
      </c>
      <c r="K44" s="6">
        <f t="shared" si="2"/>
        <v>132</v>
      </c>
      <c r="L44" s="2" t="s">
        <v>68</v>
      </c>
      <c r="M44" s="6">
        <f t="shared" si="3"/>
        <v>400</v>
      </c>
      <c r="N44" s="2" t="s">
        <v>69</v>
      </c>
      <c r="O44" s="6">
        <f t="shared" si="4"/>
        <v>50</v>
      </c>
      <c r="P44" s="2" t="s">
        <v>70</v>
      </c>
      <c r="Q44" s="6">
        <f t="shared" si="5"/>
        <v>250</v>
      </c>
      <c r="R44" s="2" t="s">
        <v>73</v>
      </c>
      <c r="S44" s="6">
        <f t="shared" si="6"/>
        <v>134</v>
      </c>
      <c r="T44" s="8"/>
      <c r="U44" s="6">
        <f t="shared" si="7"/>
        <v>0</v>
      </c>
      <c r="V44" s="2" t="s">
        <v>73</v>
      </c>
      <c r="W44" s="6">
        <f t="shared" si="8"/>
        <v>134</v>
      </c>
      <c r="X44" s="2" t="s">
        <v>74</v>
      </c>
      <c r="Y44" s="6">
        <f t="shared" si="9"/>
        <v>6</v>
      </c>
      <c r="Z44" s="5" t="s">
        <v>87</v>
      </c>
      <c r="AA44" s="2">
        <v>295</v>
      </c>
      <c r="AB44" s="2">
        <v>234</v>
      </c>
      <c r="AC44" s="2" t="s">
        <v>188</v>
      </c>
      <c r="AD44" s="6">
        <f t="shared" si="20"/>
        <v>164</v>
      </c>
      <c r="AE44" s="2" t="s">
        <v>77</v>
      </c>
      <c r="AF44" s="6">
        <f t="shared" si="10"/>
        <v>100</v>
      </c>
      <c r="AG44" s="2" t="s">
        <v>92</v>
      </c>
      <c r="AH44" s="6">
        <f t="shared" si="11"/>
        <v>23</v>
      </c>
      <c r="AI44" s="2" t="s">
        <v>93</v>
      </c>
      <c r="AJ44" s="6">
        <f t="shared" si="12"/>
        <v>55</v>
      </c>
      <c r="AK44" s="7" t="s">
        <v>189</v>
      </c>
      <c r="AL44" s="3">
        <f t="shared" si="13"/>
        <v>1448</v>
      </c>
      <c r="AM44" s="2" t="s">
        <v>190</v>
      </c>
      <c r="AN44" s="6">
        <f t="shared" si="14"/>
        <v>1122</v>
      </c>
      <c r="AO44" s="2" t="s">
        <v>191</v>
      </c>
      <c r="AP44" s="6">
        <f t="shared" si="15"/>
        <v>1727</v>
      </c>
      <c r="AQ44" s="2" t="s">
        <v>192</v>
      </c>
      <c r="AR44" s="6">
        <f t="shared" si="16"/>
        <v>1468</v>
      </c>
      <c r="AS44" s="2" t="s">
        <v>193</v>
      </c>
      <c r="AT44" s="6">
        <f t="shared" si="17"/>
        <v>2158</v>
      </c>
      <c r="AU44" s="2" t="s">
        <v>194</v>
      </c>
      <c r="AV44" s="6">
        <f t="shared" si="18"/>
        <v>2590</v>
      </c>
    </row>
    <row r="45" spans="1:48" ht="30" x14ac:dyDescent="0.25">
      <c r="A45" s="2" t="s">
        <v>26</v>
      </c>
      <c r="B45" s="2">
        <v>26</v>
      </c>
      <c r="C45" s="2" t="s">
        <v>7</v>
      </c>
      <c r="D45" s="2">
        <v>18</v>
      </c>
      <c r="E45" s="2" t="s">
        <v>8</v>
      </c>
      <c r="F45" s="2" t="s">
        <v>13</v>
      </c>
      <c r="G45" s="7" t="s">
        <v>187</v>
      </c>
      <c r="H45" s="3">
        <f t="shared" si="19"/>
        <v>8633</v>
      </c>
      <c r="I45" s="5" t="s">
        <v>164</v>
      </c>
      <c r="J45" s="2" t="s">
        <v>67</v>
      </c>
      <c r="K45" s="6">
        <f t="shared" si="2"/>
        <v>132</v>
      </c>
      <c r="L45" s="2" t="s">
        <v>68</v>
      </c>
      <c r="M45" s="6">
        <f t="shared" si="3"/>
        <v>400</v>
      </c>
      <c r="N45" s="2" t="s">
        <v>69</v>
      </c>
      <c r="O45" s="6">
        <f t="shared" si="4"/>
        <v>50</v>
      </c>
      <c r="P45" s="2" t="s">
        <v>70</v>
      </c>
      <c r="Q45" s="6">
        <f t="shared" si="5"/>
        <v>250</v>
      </c>
      <c r="R45" s="2" t="s">
        <v>73</v>
      </c>
      <c r="S45" s="6">
        <f t="shared" si="6"/>
        <v>134</v>
      </c>
      <c r="T45" s="8"/>
      <c r="U45" s="6">
        <f t="shared" si="7"/>
        <v>0</v>
      </c>
      <c r="V45" s="2" t="s">
        <v>73</v>
      </c>
      <c r="W45" s="6">
        <f t="shared" si="8"/>
        <v>134</v>
      </c>
      <c r="X45" s="2" t="s">
        <v>74</v>
      </c>
      <c r="Y45" s="6">
        <f t="shared" si="9"/>
        <v>6</v>
      </c>
      <c r="Z45" s="5" t="s">
        <v>87</v>
      </c>
      <c r="AA45" s="2">
        <v>295</v>
      </c>
      <c r="AB45" s="2">
        <v>234</v>
      </c>
      <c r="AC45" s="2" t="s">
        <v>188</v>
      </c>
      <c r="AD45" s="6">
        <f t="shared" si="20"/>
        <v>164</v>
      </c>
      <c r="AE45" s="2" t="s">
        <v>77</v>
      </c>
      <c r="AF45" s="6">
        <f t="shared" si="10"/>
        <v>100</v>
      </c>
      <c r="AG45" s="2" t="s">
        <v>92</v>
      </c>
      <c r="AH45" s="6">
        <f t="shared" si="11"/>
        <v>23</v>
      </c>
      <c r="AI45" s="2" t="s">
        <v>93</v>
      </c>
      <c r="AJ45" s="6">
        <f t="shared" si="12"/>
        <v>55</v>
      </c>
      <c r="AK45" s="7" t="s">
        <v>189</v>
      </c>
      <c r="AL45" s="3">
        <f t="shared" si="13"/>
        <v>1448</v>
      </c>
      <c r="AM45" s="2" t="s">
        <v>190</v>
      </c>
      <c r="AN45" s="6">
        <f t="shared" si="14"/>
        <v>1122</v>
      </c>
      <c r="AO45" s="2" t="s">
        <v>191</v>
      </c>
      <c r="AP45" s="6">
        <f t="shared" si="15"/>
        <v>1727</v>
      </c>
      <c r="AQ45" s="2" t="s">
        <v>192</v>
      </c>
      <c r="AR45" s="6">
        <f t="shared" si="16"/>
        <v>1468</v>
      </c>
      <c r="AS45" s="2" t="s">
        <v>193</v>
      </c>
      <c r="AT45" s="6">
        <f t="shared" si="17"/>
        <v>2158</v>
      </c>
      <c r="AU45" s="2" t="s">
        <v>194</v>
      </c>
      <c r="AV45" s="6">
        <f t="shared" si="18"/>
        <v>2590</v>
      </c>
    </row>
    <row r="46" spans="1:48" ht="30" x14ac:dyDescent="0.25">
      <c r="A46" s="2" t="s">
        <v>26</v>
      </c>
      <c r="B46" s="2">
        <v>27</v>
      </c>
      <c r="C46" s="2" t="s">
        <v>7</v>
      </c>
      <c r="D46" s="2">
        <v>19</v>
      </c>
      <c r="E46" s="2" t="s">
        <v>8</v>
      </c>
      <c r="F46" s="2" t="s">
        <v>14</v>
      </c>
      <c r="G46" s="7" t="s">
        <v>187</v>
      </c>
      <c r="H46" s="3">
        <f t="shared" si="19"/>
        <v>8633</v>
      </c>
      <c r="I46" s="5" t="s">
        <v>164</v>
      </c>
      <c r="J46" s="2" t="s">
        <v>67</v>
      </c>
      <c r="K46" s="6">
        <f t="shared" si="2"/>
        <v>132</v>
      </c>
      <c r="L46" s="2" t="s">
        <v>68</v>
      </c>
      <c r="M46" s="6">
        <f t="shared" si="3"/>
        <v>400</v>
      </c>
      <c r="N46" s="2" t="s">
        <v>69</v>
      </c>
      <c r="O46" s="6">
        <f t="shared" si="4"/>
        <v>50</v>
      </c>
      <c r="P46" s="2" t="s">
        <v>70</v>
      </c>
      <c r="Q46" s="6">
        <f t="shared" si="5"/>
        <v>250</v>
      </c>
      <c r="R46" s="2" t="s">
        <v>73</v>
      </c>
      <c r="S46" s="6">
        <f t="shared" si="6"/>
        <v>134</v>
      </c>
      <c r="T46" s="8"/>
      <c r="U46" s="6">
        <f t="shared" si="7"/>
        <v>0</v>
      </c>
      <c r="V46" s="2" t="s">
        <v>73</v>
      </c>
      <c r="W46" s="6">
        <f t="shared" si="8"/>
        <v>134</v>
      </c>
      <c r="X46" s="2" t="s">
        <v>74</v>
      </c>
      <c r="Y46" s="6">
        <f t="shared" si="9"/>
        <v>6</v>
      </c>
      <c r="Z46" s="5" t="s">
        <v>87</v>
      </c>
      <c r="AA46" s="2">
        <v>295</v>
      </c>
      <c r="AB46" s="2">
        <v>234</v>
      </c>
      <c r="AC46" s="2" t="s">
        <v>188</v>
      </c>
      <c r="AD46" s="6">
        <f t="shared" si="20"/>
        <v>164</v>
      </c>
      <c r="AE46" s="2" t="s">
        <v>77</v>
      </c>
      <c r="AF46" s="6">
        <f t="shared" si="10"/>
        <v>100</v>
      </c>
      <c r="AG46" s="2" t="s">
        <v>92</v>
      </c>
      <c r="AH46" s="6">
        <f t="shared" si="11"/>
        <v>23</v>
      </c>
      <c r="AI46" s="2" t="s">
        <v>93</v>
      </c>
      <c r="AJ46" s="6">
        <f t="shared" si="12"/>
        <v>55</v>
      </c>
      <c r="AK46" s="7" t="s">
        <v>189</v>
      </c>
      <c r="AL46" s="3">
        <f t="shared" si="13"/>
        <v>1448</v>
      </c>
      <c r="AM46" s="2" t="s">
        <v>190</v>
      </c>
      <c r="AN46" s="6">
        <f t="shared" si="14"/>
        <v>1122</v>
      </c>
      <c r="AO46" s="2" t="s">
        <v>191</v>
      </c>
      <c r="AP46" s="6">
        <f t="shared" si="15"/>
        <v>1727</v>
      </c>
      <c r="AQ46" s="2" t="s">
        <v>192</v>
      </c>
      <c r="AR46" s="6">
        <f t="shared" si="16"/>
        <v>1468</v>
      </c>
      <c r="AS46" s="2" t="s">
        <v>193</v>
      </c>
      <c r="AT46" s="6">
        <f t="shared" si="17"/>
        <v>2158</v>
      </c>
      <c r="AU46" s="2" t="s">
        <v>194</v>
      </c>
      <c r="AV46" s="6">
        <f t="shared" si="18"/>
        <v>2590</v>
      </c>
    </row>
    <row r="47" spans="1:48" ht="30" x14ac:dyDescent="0.25">
      <c r="A47" s="2" t="s">
        <v>26</v>
      </c>
      <c r="B47" s="2">
        <v>27</v>
      </c>
      <c r="C47" s="2" t="s">
        <v>7</v>
      </c>
      <c r="D47" s="2">
        <v>20</v>
      </c>
      <c r="E47" s="2" t="s">
        <v>8</v>
      </c>
      <c r="F47" s="2" t="s">
        <v>14</v>
      </c>
      <c r="G47" s="7" t="s">
        <v>187</v>
      </c>
      <c r="H47" s="3">
        <f t="shared" si="19"/>
        <v>8633</v>
      </c>
      <c r="I47" s="5" t="s">
        <v>164</v>
      </c>
      <c r="J47" s="2" t="s">
        <v>67</v>
      </c>
      <c r="K47" s="6">
        <f t="shared" si="2"/>
        <v>132</v>
      </c>
      <c r="L47" s="2" t="s">
        <v>68</v>
      </c>
      <c r="M47" s="6">
        <f t="shared" si="3"/>
        <v>400</v>
      </c>
      <c r="N47" s="2" t="s">
        <v>69</v>
      </c>
      <c r="O47" s="6">
        <f t="shared" si="4"/>
        <v>50</v>
      </c>
      <c r="P47" s="2" t="s">
        <v>70</v>
      </c>
      <c r="Q47" s="6">
        <f t="shared" si="5"/>
        <v>250</v>
      </c>
      <c r="R47" s="2" t="s">
        <v>73</v>
      </c>
      <c r="S47" s="6">
        <f t="shared" si="6"/>
        <v>134</v>
      </c>
      <c r="T47" s="8"/>
      <c r="U47" s="6">
        <f t="shared" si="7"/>
        <v>0</v>
      </c>
      <c r="V47" s="2" t="s">
        <v>73</v>
      </c>
      <c r="W47" s="6">
        <f t="shared" si="8"/>
        <v>134</v>
      </c>
      <c r="X47" s="2" t="s">
        <v>74</v>
      </c>
      <c r="Y47" s="6">
        <f t="shared" si="9"/>
        <v>6</v>
      </c>
      <c r="Z47" s="5" t="s">
        <v>87</v>
      </c>
      <c r="AA47" s="2">
        <v>295</v>
      </c>
      <c r="AB47" s="2">
        <v>234</v>
      </c>
      <c r="AC47" s="2" t="s">
        <v>188</v>
      </c>
      <c r="AD47" s="6">
        <f t="shared" si="20"/>
        <v>164</v>
      </c>
      <c r="AE47" s="2" t="s">
        <v>77</v>
      </c>
      <c r="AF47" s="6">
        <f t="shared" si="10"/>
        <v>100</v>
      </c>
      <c r="AG47" s="2" t="s">
        <v>92</v>
      </c>
      <c r="AH47" s="6">
        <f t="shared" si="11"/>
        <v>23</v>
      </c>
      <c r="AI47" s="2" t="s">
        <v>93</v>
      </c>
      <c r="AJ47" s="6">
        <f t="shared" si="12"/>
        <v>55</v>
      </c>
      <c r="AK47" s="7" t="s">
        <v>189</v>
      </c>
      <c r="AL47" s="3">
        <f t="shared" si="13"/>
        <v>1448</v>
      </c>
      <c r="AM47" s="2" t="s">
        <v>190</v>
      </c>
      <c r="AN47" s="6">
        <f t="shared" si="14"/>
        <v>1122</v>
      </c>
      <c r="AO47" s="2" t="s">
        <v>191</v>
      </c>
      <c r="AP47" s="6">
        <f t="shared" si="15"/>
        <v>1727</v>
      </c>
      <c r="AQ47" s="2" t="s">
        <v>192</v>
      </c>
      <c r="AR47" s="6">
        <f t="shared" si="16"/>
        <v>1468</v>
      </c>
      <c r="AS47" s="2" t="s">
        <v>193</v>
      </c>
      <c r="AT47" s="6">
        <f t="shared" si="17"/>
        <v>2158</v>
      </c>
      <c r="AU47" s="2" t="s">
        <v>194</v>
      </c>
      <c r="AV47" s="6">
        <f t="shared" si="18"/>
        <v>2590</v>
      </c>
    </row>
    <row r="48" spans="1:48" ht="45" x14ac:dyDescent="0.25">
      <c r="A48" s="2" t="s">
        <v>27</v>
      </c>
      <c r="B48" s="2">
        <v>1</v>
      </c>
      <c r="C48" s="2" t="s">
        <v>7</v>
      </c>
      <c r="D48" s="2">
        <v>21</v>
      </c>
      <c r="E48" s="2" t="s">
        <v>8</v>
      </c>
      <c r="F48" s="2" t="s">
        <v>14</v>
      </c>
      <c r="G48" s="7" t="s">
        <v>65</v>
      </c>
      <c r="H48" s="3">
        <f t="shared" si="19"/>
        <v>5556</v>
      </c>
      <c r="I48" s="5" t="s">
        <v>66</v>
      </c>
      <c r="J48" s="2" t="s">
        <v>67</v>
      </c>
      <c r="K48" s="6">
        <f t="shared" si="2"/>
        <v>132</v>
      </c>
      <c r="L48" s="2" t="s">
        <v>68</v>
      </c>
      <c r="M48" s="6">
        <f t="shared" si="3"/>
        <v>400</v>
      </c>
      <c r="N48" s="2" t="s">
        <v>69</v>
      </c>
      <c r="O48" s="6">
        <f t="shared" si="4"/>
        <v>50</v>
      </c>
      <c r="P48" s="2" t="s">
        <v>70</v>
      </c>
      <c r="Q48" s="6">
        <f t="shared" si="5"/>
        <v>250</v>
      </c>
      <c r="R48" s="2" t="s">
        <v>71</v>
      </c>
      <c r="S48" s="6">
        <f t="shared" si="6"/>
        <v>120</v>
      </c>
      <c r="T48" s="2" t="s">
        <v>72</v>
      </c>
      <c r="U48" s="6">
        <f t="shared" si="7"/>
        <v>65</v>
      </c>
      <c r="V48" s="2" t="s">
        <v>73</v>
      </c>
      <c r="W48" s="6">
        <f t="shared" si="8"/>
        <v>134</v>
      </c>
      <c r="X48" s="2" t="s">
        <v>74</v>
      </c>
      <c r="Y48" s="6">
        <f t="shared" si="9"/>
        <v>6</v>
      </c>
      <c r="Z48" s="5" t="s">
        <v>75</v>
      </c>
      <c r="AA48" s="2">
        <v>295</v>
      </c>
      <c r="AB48" s="2">
        <v>343</v>
      </c>
      <c r="AC48" s="2" t="s">
        <v>76</v>
      </c>
      <c r="AD48" s="6">
        <f t="shared" si="20"/>
        <v>240</v>
      </c>
      <c r="AE48" s="2" t="s">
        <v>77</v>
      </c>
      <c r="AF48" s="6">
        <f t="shared" si="10"/>
        <v>100</v>
      </c>
      <c r="AG48" s="2" t="s">
        <v>78</v>
      </c>
      <c r="AH48" s="6">
        <f t="shared" si="11"/>
        <v>22</v>
      </c>
      <c r="AI48" s="2" t="s">
        <v>79</v>
      </c>
      <c r="AJ48" s="6">
        <f t="shared" si="12"/>
        <v>54</v>
      </c>
      <c r="AK48" s="7" t="s">
        <v>86</v>
      </c>
      <c r="AL48" s="3">
        <f t="shared" si="13"/>
        <v>1573</v>
      </c>
      <c r="AM48" s="2" t="s">
        <v>80</v>
      </c>
      <c r="AN48" s="6">
        <f t="shared" si="14"/>
        <v>722</v>
      </c>
      <c r="AO48" s="2" t="s">
        <v>81</v>
      </c>
      <c r="AP48" s="6">
        <f t="shared" si="15"/>
        <v>1111</v>
      </c>
      <c r="AQ48" s="2" t="s">
        <v>82</v>
      </c>
      <c r="AR48" s="6">
        <f t="shared" si="16"/>
        <v>945</v>
      </c>
      <c r="AS48" s="2" t="s">
        <v>83</v>
      </c>
      <c r="AT48" s="6">
        <f t="shared" si="17"/>
        <v>1389</v>
      </c>
      <c r="AU48" s="2" t="s">
        <v>84</v>
      </c>
      <c r="AV48" s="6">
        <f t="shared" si="18"/>
        <v>1667</v>
      </c>
    </row>
    <row r="49" spans="1:48" ht="45" x14ac:dyDescent="0.25">
      <c r="A49" s="2" t="s">
        <v>27</v>
      </c>
      <c r="B49" s="2">
        <v>2</v>
      </c>
      <c r="C49" s="2" t="s">
        <v>7</v>
      </c>
      <c r="D49" s="2">
        <v>22</v>
      </c>
      <c r="E49" s="2" t="s">
        <v>8</v>
      </c>
      <c r="F49" s="2" t="s">
        <v>14</v>
      </c>
      <c r="G49" s="7" t="s">
        <v>65</v>
      </c>
      <c r="H49" s="3">
        <f t="shared" si="19"/>
        <v>5556</v>
      </c>
      <c r="I49" s="5" t="s">
        <v>66</v>
      </c>
      <c r="J49" s="2" t="s">
        <v>67</v>
      </c>
      <c r="K49" s="6">
        <f t="shared" si="2"/>
        <v>132</v>
      </c>
      <c r="L49" s="2" t="s">
        <v>68</v>
      </c>
      <c r="M49" s="6">
        <f t="shared" si="3"/>
        <v>400</v>
      </c>
      <c r="N49" s="2" t="s">
        <v>69</v>
      </c>
      <c r="O49" s="6">
        <f t="shared" si="4"/>
        <v>50</v>
      </c>
      <c r="P49" s="2" t="s">
        <v>70</v>
      </c>
      <c r="Q49" s="6">
        <f t="shared" si="5"/>
        <v>250</v>
      </c>
      <c r="R49" s="2" t="s">
        <v>71</v>
      </c>
      <c r="S49" s="6">
        <f t="shared" si="6"/>
        <v>120</v>
      </c>
      <c r="T49" s="2" t="s">
        <v>72</v>
      </c>
      <c r="U49" s="6">
        <f t="shared" si="7"/>
        <v>65</v>
      </c>
      <c r="V49" s="2" t="s">
        <v>73</v>
      </c>
      <c r="W49" s="6">
        <f t="shared" si="8"/>
        <v>134</v>
      </c>
      <c r="X49" s="2" t="s">
        <v>74</v>
      </c>
      <c r="Y49" s="6">
        <f t="shared" si="9"/>
        <v>6</v>
      </c>
      <c r="Z49" s="5" t="s">
        <v>75</v>
      </c>
      <c r="AA49" s="2">
        <v>295</v>
      </c>
      <c r="AB49" s="2">
        <v>343</v>
      </c>
      <c r="AC49" s="2" t="s">
        <v>76</v>
      </c>
      <c r="AD49" s="6">
        <f t="shared" si="20"/>
        <v>240</v>
      </c>
      <c r="AE49" s="2" t="s">
        <v>77</v>
      </c>
      <c r="AF49" s="6">
        <f t="shared" si="10"/>
        <v>100</v>
      </c>
      <c r="AG49" s="2" t="s">
        <v>78</v>
      </c>
      <c r="AH49" s="6">
        <f t="shared" si="11"/>
        <v>22</v>
      </c>
      <c r="AI49" s="2" t="s">
        <v>79</v>
      </c>
      <c r="AJ49" s="6">
        <f t="shared" si="12"/>
        <v>54</v>
      </c>
      <c r="AK49" s="7" t="s">
        <v>86</v>
      </c>
      <c r="AL49" s="3">
        <f t="shared" si="13"/>
        <v>1573</v>
      </c>
      <c r="AM49" s="2" t="s">
        <v>80</v>
      </c>
      <c r="AN49" s="6">
        <f t="shared" si="14"/>
        <v>722</v>
      </c>
      <c r="AO49" s="2" t="s">
        <v>81</v>
      </c>
      <c r="AP49" s="6">
        <f t="shared" si="15"/>
        <v>1111</v>
      </c>
      <c r="AQ49" s="2" t="s">
        <v>82</v>
      </c>
      <c r="AR49" s="6">
        <f t="shared" si="16"/>
        <v>945</v>
      </c>
      <c r="AS49" s="2" t="s">
        <v>83</v>
      </c>
      <c r="AT49" s="6">
        <f t="shared" si="17"/>
        <v>1389</v>
      </c>
      <c r="AU49" s="2" t="s">
        <v>84</v>
      </c>
      <c r="AV49" s="6">
        <f t="shared" si="18"/>
        <v>1667</v>
      </c>
    </row>
    <row r="50" spans="1:48" ht="30" x14ac:dyDescent="0.25">
      <c r="A50" s="2" t="s">
        <v>27</v>
      </c>
      <c r="B50" s="2">
        <v>10</v>
      </c>
      <c r="C50" s="2" t="s">
        <v>7</v>
      </c>
      <c r="D50" s="2">
        <v>23</v>
      </c>
      <c r="E50" s="2" t="s">
        <v>8</v>
      </c>
      <c r="F50" s="2" t="s">
        <v>14</v>
      </c>
      <c r="G50" s="7" t="s">
        <v>126</v>
      </c>
      <c r="H50" s="3">
        <f t="shared" si="19"/>
        <v>6433</v>
      </c>
      <c r="I50" s="5" t="s">
        <v>127</v>
      </c>
      <c r="J50" s="2" t="s">
        <v>67</v>
      </c>
      <c r="K50" s="6">
        <f t="shared" si="2"/>
        <v>132</v>
      </c>
      <c r="L50" s="2" t="s">
        <v>128</v>
      </c>
      <c r="M50" s="6">
        <f t="shared" si="3"/>
        <v>399</v>
      </c>
      <c r="N50" s="2" t="s">
        <v>69</v>
      </c>
      <c r="O50" s="6">
        <f t="shared" si="4"/>
        <v>50</v>
      </c>
      <c r="P50" s="2" t="s">
        <v>70</v>
      </c>
      <c r="Q50" s="6">
        <f t="shared" si="5"/>
        <v>250</v>
      </c>
      <c r="R50" s="2" t="s">
        <v>73</v>
      </c>
      <c r="S50" s="6">
        <f t="shared" si="6"/>
        <v>134</v>
      </c>
      <c r="T50" s="8"/>
      <c r="U50" s="6">
        <f t="shared" si="7"/>
        <v>0</v>
      </c>
      <c r="V50" s="2" t="s">
        <v>73</v>
      </c>
      <c r="W50" s="6">
        <f t="shared" si="8"/>
        <v>134</v>
      </c>
      <c r="X50" s="2" t="s">
        <v>74</v>
      </c>
      <c r="Y50" s="6">
        <f t="shared" si="9"/>
        <v>6</v>
      </c>
      <c r="Z50" s="5" t="s">
        <v>85</v>
      </c>
      <c r="AA50" s="2">
        <v>295</v>
      </c>
      <c r="AB50" s="2">
        <v>343</v>
      </c>
      <c r="AC50" s="2" t="s">
        <v>76</v>
      </c>
      <c r="AD50" s="6">
        <f t="shared" si="20"/>
        <v>240</v>
      </c>
      <c r="AE50" s="2" t="s">
        <v>77</v>
      </c>
      <c r="AF50" s="6">
        <f t="shared" si="10"/>
        <v>100</v>
      </c>
      <c r="AG50" s="2" t="s">
        <v>130</v>
      </c>
      <c r="AH50" s="6">
        <f t="shared" si="11"/>
        <v>25</v>
      </c>
      <c r="AI50" s="2" t="s">
        <v>120</v>
      </c>
      <c r="AJ50" s="6">
        <f t="shared" si="12"/>
        <v>57</v>
      </c>
      <c r="AK50" s="7" t="s">
        <v>195</v>
      </c>
      <c r="AL50" s="3">
        <f t="shared" si="13"/>
        <v>1527</v>
      </c>
      <c r="AM50" s="2" t="s">
        <v>132</v>
      </c>
      <c r="AN50" s="6">
        <f t="shared" si="14"/>
        <v>836</v>
      </c>
      <c r="AO50" s="2" t="s">
        <v>133</v>
      </c>
      <c r="AP50" s="6">
        <f t="shared" si="15"/>
        <v>1287</v>
      </c>
      <c r="AQ50" s="2" t="s">
        <v>134</v>
      </c>
      <c r="AR50" s="6">
        <f t="shared" si="16"/>
        <v>1094</v>
      </c>
      <c r="AS50" s="2" t="s">
        <v>135</v>
      </c>
      <c r="AT50" s="6">
        <f t="shared" si="17"/>
        <v>1608</v>
      </c>
      <c r="AU50" s="2" t="s">
        <v>136</v>
      </c>
      <c r="AV50" s="6">
        <f t="shared" si="18"/>
        <v>1930</v>
      </c>
    </row>
    <row r="51" spans="1:48" ht="45" x14ac:dyDescent="0.25">
      <c r="A51" s="2" t="s">
        <v>27</v>
      </c>
      <c r="B51" s="2">
        <v>10</v>
      </c>
      <c r="C51" s="2" t="s">
        <v>12</v>
      </c>
      <c r="D51" s="2">
        <v>12.9</v>
      </c>
      <c r="E51" s="2" t="s">
        <v>8</v>
      </c>
      <c r="F51" s="2" t="s">
        <v>14</v>
      </c>
      <c r="G51" s="7" t="s">
        <v>196</v>
      </c>
      <c r="H51" s="3">
        <f t="shared" si="19"/>
        <v>3456</v>
      </c>
      <c r="I51" s="5" t="s">
        <v>197</v>
      </c>
      <c r="J51" s="2" t="s">
        <v>67</v>
      </c>
      <c r="K51" s="6">
        <f t="shared" si="2"/>
        <v>132</v>
      </c>
      <c r="L51" s="2" t="s">
        <v>68</v>
      </c>
      <c r="M51" s="6">
        <f t="shared" si="3"/>
        <v>400</v>
      </c>
      <c r="N51" s="2" t="s">
        <v>69</v>
      </c>
      <c r="O51" s="6">
        <f t="shared" si="4"/>
        <v>50</v>
      </c>
      <c r="P51" s="2" t="s">
        <v>70</v>
      </c>
      <c r="Q51" s="6">
        <f t="shared" si="5"/>
        <v>250</v>
      </c>
      <c r="R51" s="2" t="s">
        <v>143</v>
      </c>
      <c r="S51" s="6">
        <f t="shared" si="6"/>
        <v>128</v>
      </c>
      <c r="T51" s="2" t="s">
        <v>72</v>
      </c>
      <c r="U51" s="6">
        <f t="shared" si="7"/>
        <v>65</v>
      </c>
      <c r="V51" s="2" t="s">
        <v>73</v>
      </c>
      <c r="W51" s="6">
        <f t="shared" si="8"/>
        <v>134</v>
      </c>
      <c r="X51" s="2" t="s">
        <v>74</v>
      </c>
      <c r="Y51" s="6">
        <f t="shared" si="9"/>
        <v>6</v>
      </c>
      <c r="Z51" s="5" t="s">
        <v>104</v>
      </c>
      <c r="AA51" s="2">
        <v>295</v>
      </c>
      <c r="AB51" s="2">
        <v>343</v>
      </c>
      <c r="AC51" s="2" t="s">
        <v>76</v>
      </c>
      <c r="AD51" s="6">
        <f t="shared" si="20"/>
        <v>240</v>
      </c>
      <c r="AE51" s="2" t="s">
        <v>77</v>
      </c>
      <c r="AF51" s="6">
        <f t="shared" si="10"/>
        <v>100</v>
      </c>
      <c r="AG51" s="2" t="s">
        <v>112</v>
      </c>
      <c r="AH51" s="6">
        <f t="shared" si="11"/>
        <v>24</v>
      </c>
      <c r="AI51" s="2" t="s">
        <v>110</v>
      </c>
      <c r="AJ51" s="6">
        <f t="shared" si="12"/>
        <v>56</v>
      </c>
      <c r="AK51" s="7" t="s">
        <v>198</v>
      </c>
      <c r="AL51" s="3">
        <f t="shared" si="13"/>
        <v>1585</v>
      </c>
      <c r="AM51" s="2" t="s">
        <v>199</v>
      </c>
      <c r="AN51" s="6">
        <f t="shared" si="14"/>
        <v>449</v>
      </c>
      <c r="AO51" s="2" t="s">
        <v>200</v>
      </c>
      <c r="AP51" s="6">
        <f t="shared" si="15"/>
        <v>691</v>
      </c>
      <c r="AQ51" s="2" t="s">
        <v>116</v>
      </c>
      <c r="AR51" s="6">
        <f t="shared" si="16"/>
        <v>588</v>
      </c>
      <c r="AS51" s="2" t="s">
        <v>201</v>
      </c>
      <c r="AT51" s="6">
        <f t="shared" si="17"/>
        <v>864</v>
      </c>
      <c r="AU51" s="2" t="s">
        <v>118</v>
      </c>
      <c r="AV51" s="6">
        <f t="shared" si="18"/>
        <v>1037</v>
      </c>
    </row>
    <row r="52" spans="1:48" ht="30" x14ac:dyDescent="0.25">
      <c r="A52" s="2" t="s">
        <v>27</v>
      </c>
      <c r="B52" s="2">
        <v>11</v>
      </c>
      <c r="C52" s="2" t="s">
        <v>7</v>
      </c>
      <c r="D52" s="2">
        <v>13</v>
      </c>
      <c r="E52" s="2" t="s">
        <v>8</v>
      </c>
      <c r="F52" s="2" t="s">
        <v>14</v>
      </c>
      <c r="G52" s="7" t="s">
        <v>126</v>
      </c>
      <c r="H52" s="3">
        <f t="shared" si="19"/>
        <v>6433</v>
      </c>
      <c r="I52" s="5" t="s">
        <v>127</v>
      </c>
      <c r="J52" s="2" t="s">
        <v>67</v>
      </c>
      <c r="K52" s="6">
        <f t="shared" si="2"/>
        <v>132</v>
      </c>
      <c r="L52" s="2" t="s">
        <v>128</v>
      </c>
      <c r="M52" s="6">
        <f t="shared" si="3"/>
        <v>399</v>
      </c>
      <c r="N52" s="2" t="s">
        <v>69</v>
      </c>
      <c r="O52" s="6">
        <f t="shared" si="4"/>
        <v>50</v>
      </c>
      <c r="P52" s="2" t="s">
        <v>70</v>
      </c>
      <c r="Q52" s="6">
        <f t="shared" si="5"/>
        <v>250</v>
      </c>
      <c r="R52" s="2" t="s">
        <v>73</v>
      </c>
      <c r="S52" s="6">
        <f t="shared" si="6"/>
        <v>134</v>
      </c>
      <c r="T52" s="8"/>
      <c r="U52" s="6">
        <f t="shared" si="7"/>
        <v>0</v>
      </c>
      <c r="V52" s="2" t="s">
        <v>73</v>
      </c>
      <c r="W52" s="6">
        <f t="shared" si="8"/>
        <v>134</v>
      </c>
      <c r="X52" s="2" t="s">
        <v>74</v>
      </c>
      <c r="Y52" s="6">
        <f t="shared" si="9"/>
        <v>6</v>
      </c>
      <c r="Z52" s="5" t="s">
        <v>85</v>
      </c>
      <c r="AA52" s="2">
        <v>295</v>
      </c>
      <c r="AB52" s="2">
        <v>343</v>
      </c>
      <c r="AC52" s="2" t="s">
        <v>76</v>
      </c>
      <c r="AD52" s="6">
        <f t="shared" si="20"/>
        <v>240</v>
      </c>
      <c r="AE52" s="2" t="s">
        <v>77</v>
      </c>
      <c r="AF52" s="6">
        <f t="shared" si="10"/>
        <v>100</v>
      </c>
      <c r="AG52" s="2" t="s">
        <v>130</v>
      </c>
      <c r="AH52" s="6">
        <f t="shared" si="11"/>
        <v>25</v>
      </c>
      <c r="AI52" s="2" t="s">
        <v>120</v>
      </c>
      <c r="AJ52" s="6">
        <f t="shared" si="12"/>
        <v>57</v>
      </c>
      <c r="AK52" s="7" t="s">
        <v>195</v>
      </c>
      <c r="AL52" s="3">
        <f t="shared" si="13"/>
        <v>1527</v>
      </c>
      <c r="AM52" s="2" t="s">
        <v>132</v>
      </c>
      <c r="AN52" s="6">
        <f t="shared" si="14"/>
        <v>836</v>
      </c>
      <c r="AO52" s="2" t="s">
        <v>133</v>
      </c>
      <c r="AP52" s="6">
        <f t="shared" si="15"/>
        <v>1287</v>
      </c>
      <c r="AQ52" s="2" t="s">
        <v>134</v>
      </c>
      <c r="AR52" s="6">
        <f t="shared" si="16"/>
        <v>1094</v>
      </c>
      <c r="AS52" s="2" t="s">
        <v>135</v>
      </c>
      <c r="AT52" s="6">
        <f t="shared" si="17"/>
        <v>1608</v>
      </c>
      <c r="AU52" s="2" t="s">
        <v>136</v>
      </c>
      <c r="AV52" s="6">
        <f t="shared" si="18"/>
        <v>1930</v>
      </c>
    </row>
    <row r="53" spans="1:48" ht="30" x14ac:dyDescent="0.25">
      <c r="A53" s="2" t="s">
        <v>27</v>
      </c>
      <c r="B53" s="2">
        <v>28</v>
      </c>
      <c r="C53" s="2" t="s">
        <v>12</v>
      </c>
      <c r="D53" s="2">
        <v>14</v>
      </c>
      <c r="E53" s="2" t="s">
        <v>8</v>
      </c>
      <c r="F53" s="2" t="s">
        <v>14</v>
      </c>
      <c r="G53" s="7" t="s">
        <v>196</v>
      </c>
      <c r="H53" s="3">
        <f t="shared" si="19"/>
        <v>3456</v>
      </c>
      <c r="I53" s="5" t="s">
        <v>197</v>
      </c>
      <c r="J53" s="2" t="s">
        <v>67</v>
      </c>
      <c r="K53" s="6">
        <f t="shared" si="2"/>
        <v>132</v>
      </c>
      <c r="L53" s="2" t="s">
        <v>68</v>
      </c>
      <c r="M53" s="6">
        <f t="shared" si="3"/>
        <v>400</v>
      </c>
      <c r="N53" s="2" t="s">
        <v>69</v>
      </c>
      <c r="O53" s="6">
        <f t="shared" si="4"/>
        <v>50</v>
      </c>
      <c r="P53" s="2" t="s">
        <v>70</v>
      </c>
      <c r="Q53" s="6">
        <f t="shared" si="5"/>
        <v>250</v>
      </c>
      <c r="R53" s="2" t="s">
        <v>143</v>
      </c>
      <c r="S53" s="6">
        <f t="shared" si="6"/>
        <v>128</v>
      </c>
      <c r="T53" s="8"/>
      <c r="U53" s="6">
        <f t="shared" si="7"/>
        <v>0</v>
      </c>
      <c r="V53" s="2" t="s">
        <v>73</v>
      </c>
      <c r="W53" s="6">
        <f t="shared" si="8"/>
        <v>134</v>
      </c>
      <c r="X53" s="2" t="s">
        <v>74</v>
      </c>
      <c r="Y53" s="6">
        <f t="shared" si="9"/>
        <v>6</v>
      </c>
      <c r="Z53" s="5" t="s">
        <v>104</v>
      </c>
      <c r="AA53" s="2">
        <v>295</v>
      </c>
      <c r="AB53" s="2">
        <v>343</v>
      </c>
      <c r="AC53" s="2" t="s">
        <v>76</v>
      </c>
      <c r="AD53" s="6">
        <f t="shared" si="20"/>
        <v>240</v>
      </c>
      <c r="AE53" s="2" t="s">
        <v>77</v>
      </c>
      <c r="AF53" s="6">
        <f t="shared" si="10"/>
        <v>100</v>
      </c>
      <c r="AG53" s="2" t="s">
        <v>112</v>
      </c>
      <c r="AH53" s="6">
        <f t="shared" si="11"/>
        <v>24</v>
      </c>
      <c r="AI53" s="2" t="s">
        <v>110</v>
      </c>
      <c r="AJ53" s="6">
        <f t="shared" si="12"/>
        <v>56</v>
      </c>
      <c r="AK53" s="7" t="s">
        <v>202</v>
      </c>
      <c r="AL53" s="3">
        <f t="shared" si="13"/>
        <v>1520</v>
      </c>
      <c r="AM53" s="2" t="s">
        <v>199</v>
      </c>
      <c r="AN53" s="6">
        <f t="shared" si="14"/>
        <v>449</v>
      </c>
      <c r="AO53" s="2" t="s">
        <v>200</v>
      </c>
      <c r="AP53" s="6">
        <f t="shared" si="15"/>
        <v>691</v>
      </c>
      <c r="AQ53" s="2" t="s">
        <v>116</v>
      </c>
      <c r="AR53" s="6">
        <f t="shared" si="16"/>
        <v>588</v>
      </c>
      <c r="AS53" s="2" t="s">
        <v>201</v>
      </c>
      <c r="AT53" s="6">
        <f t="shared" si="17"/>
        <v>864</v>
      </c>
      <c r="AU53" s="2" t="s">
        <v>118</v>
      </c>
      <c r="AV53" s="6">
        <f t="shared" si="18"/>
        <v>1037</v>
      </c>
    </row>
    <row r="54" spans="1:48" ht="30" x14ac:dyDescent="0.25">
      <c r="A54" s="2" t="s">
        <v>27</v>
      </c>
      <c r="B54" s="2">
        <v>28</v>
      </c>
      <c r="C54" s="2" t="s">
        <v>12</v>
      </c>
      <c r="D54" s="2">
        <v>15</v>
      </c>
      <c r="E54" s="2" t="s">
        <v>8</v>
      </c>
      <c r="F54" s="2" t="s">
        <v>14</v>
      </c>
      <c r="G54" s="7" t="s">
        <v>196</v>
      </c>
      <c r="H54" s="3">
        <f t="shared" si="19"/>
        <v>3456</v>
      </c>
      <c r="I54" s="5" t="s">
        <v>197</v>
      </c>
      <c r="J54" s="2" t="s">
        <v>67</v>
      </c>
      <c r="K54" s="6">
        <f t="shared" si="2"/>
        <v>132</v>
      </c>
      <c r="L54" s="2" t="s">
        <v>68</v>
      </c>
      <c r="M54" s="6">
        <f t="shared" si="3"/>
        <v>400</v>
      </c>
      <c r="N54" s="2" t="s">
        <v>69</v>
      </c>
      <c r="O54" s="6">
        <f t="shared" si="4"/>
        <v>50</v>
      </c>
      <c r="P54" s="2" t="s">
        <v>70</v>
      </c>
      <c r="Q54" s="6">
        <f t="shared" si="5"/>
        <v>250</v>
      </c>
      <c r="R54" s="2" t="s">
        <v>143</v>
      </c>
      <c r="S54" s="6">
        <f t="shared" si="6"/>
        <v>128</v>
      </c>
      <c r="T54" s="8"/>
      <c r="U54" s="6">
        <f t="shared" si="7"/>
        <v>0</v>
      </c>
      <c r="V54" s="2" t="s">
        <v>73</v>
      </c>
      <c r="W54" s="6">
        <f t="shared" si="8"/>
        <v>134</v>
      </c>
      <c r="X54" s="2" t="s">
        <v>74</v>
      </c>
      <c r="Y54" s="6">
        <f t="shared" si="9"/>
        <v>6</v>
      </c>
      <c r="Z54" s="5" t="s">
        <v>104</v>
      </c>
      <c r="AA54" s="2">
        <v>295</v>
      </c>
      <c r="AB54" s="2">
        <v>343</v>
      </c>
      <c r="AC54" s="2" t="s">
        <v>76</v>
      </c>
      <c r="AD54" s="6">
        <f t="shared" si="20"/>
        <v>240</v>
      </c>
      <c r="AE54" s="2" t="s">
        <v>77</v>
      </c>
      <c r="AF54" s="6">
        <f t="shared" si="10"/>
        <v>100</v>
      </c>
      <c r="AG54" s="2" t="s">
        <v>112</v>
      </c>
      <c r="AH54" s="6">
        <f t="shared" si="11"/>
        <v>24</v>
      </c>
      <c r="AI54" s="2" t="s">
        <v>110</v>
      </c>
      <c r="AJ54" s="6">
        <f t="shared" si="12"/>
        <v>56</v>
      </c>
      <c r="AK54" s="7" t="s">
        <v>202</v>
      </c>
      <c r="AL54" s="3">
        <f t="shared" si="13"/>
        <v>1520</v>
      </c>
      <c r="AM54" s="2" t="s">
        <v>199</v>
      </c>
      <c r="AN54" s="6">
        <f t="shared" si="14"/>
        <v>449</v>
      </c>
      <c r="AO54" s="2" t="s">
        <v>200</v>
      </c>
      <c r="AP54" s="6">
        <f t="shared" si="15"/>
        <v>691</v>
      </c>
      <c r="AQ54" s="2" t="s">
        <v>116</v>
      </c>
      <c r="AR54" s="6">
        <f t="shared" si="16"/>
        <v>588</v>
      </c>
      <c r="AS54" s="2" t="s">
        <v>201</v>
      </c>
      <c r="AT54" s="6">
        <f t="shared" si="17"/>
        <v>864</v>
      </c>
      <c r="AU54" s="2" t="s">
        <v>118</v>
      </c>
      <c r="AV54" s="6">
        <f t="shared" si="18"/>
        <v>1037</v>
      </c>
    </row>
    <row r="55" spans="1:48" ht="30" x14ac:dyDescent="0.25">
      <c r="A55" s="2" t="s">
        <v>27</v>
      </c>
      <c r="B55" s="2">
        <v>29</v>
      </c>
      <c r="C55" s="2" t="s">
        <v>12</v>
      </c>
      <c r="D55" s="2">
        <v>16</v>
      </c>
      <c r="E55" s="2" t="s">
        <v>8</v>
      </c>
      <c r="F55" s="2" t="s">
        <v>14</v>
      </c>
      <c r="G55" s="7" t="s">
        <v>196</v>
      </c>
      <c r="H55" s="3">
        <f t="shared" si="19"/>
        <v>3456</v>
      </c>
      <c r="I55" s="5" t="s">
        <v>197</v>
      </c>
      <c r="J55" s="2" t="s">
        <v>67</v>
      </c>
      <c r="K55" s="6">
        <f t="shared" si="2"/>
        <v>132</v>
      </c>
      <c r="L55" s="2" t="s">
        <v>68</v>
      </c>
      <c r="M55" s="6">
        <f t="shared" si="3"/>
        <v>400</v>
      </c>
      <c r="N55" s="2" t="s">
        <v>69</v>
      </c>
      <c r="O55" s="6">
        <f t="shared" si="4"/>
        <v>50</v>
      </c>
      <c r="P55" s="2" t="s">
        <v>70</v>
      </c>
      <c r="Q55" s="6">
        <f t="shared" si="5"/>
        <v>250</v>
      </c>
      <c r="R55" s="2" t="s">
        <v>143</v>
      </c>
      <c r="S55" s="6">
        <f t="shared" si="6"/>
        <v>128</v>
      </c>
      <c r="T55" s="8"/>
      <c r="U55" s="6">
        <f t="shared" si="7"/>
        <v>0</v>
      </c>
      <c r="V55" s="2" t="s">
        <v>73</v>
      </c>
      <c r="W55" s="6">
        <f t="shared" si="8"/>
        <v>134</v>
      </c>
      <c r="X55" s="2" t="s">
        <v>74</v>
      </c>
      <c r="Y55" s="6">
        <f t="shared" si="9"/>
        <v>6</v>
      </c>
      <c r="Z55" s="5" t="s">
        <v>104</v>
      </c>
      <c r="AA55" s="2">
        <v>295</v>
      </c>
      <c r="AB55" s="2">
        <v>343</v>
      </c>
      <c r="AC55" s="2" t="s">
        <v>76</v>
      </c>
      <c r="AD55" s="6">
        <f t="shared" si="20"/>
        <v>240</v>
      </c>
      <c r="AE55" s="2" t="s">
        <v>77</v>
      </c>
      <c r="AF55" s="6">
        <f t="shared" si="10"/>
        <v>100</v>
      </c>
      <c r="AG55" s="2" t="s">
        <v>112</v>
      </c>
      <c r="AH55" s="6">
        <f t="shared" si="11"/>
        <v>24</v>
      </c>
      <c r="AI55" s="2" t="s">
        <v>110</v>
      </c>
      <c r="AJ55" s="6">
        <f t="shared" si="12"/>
        <v>56</v>
      </c>
      <c r="AK55" s="7" t="s">
        <v>202</v>
      </c>
      <c r="AL55" s="3">
        <f t="shared" si="13"/>
        <v>1520</v>
      </c>
      <c r="AM55" s="2" t="s">
        <v>199</v>
      </c>
      <c r="AN55" s="6">
        <f t="shared" si="14"/>
        <v>449</v>
      </c>
      <c r="AO55" s="2" t="s">
        <v>200</v>
      </c>
      <c r="AP55" s="6">
        <f t="shared" si="15"/>
        <v>691</v>
      </c>
      <c r="AQ55" s="2" t="s">
        <v>116</v>
      </c>
      <c r="AR55" s="6">
        <f t="shared" si="16"/>
        <v>588</v>
      </c>
      <c r="AS55" s="2" t="s">
        <v>201</v>
      </c>
      <c r="AT55" s="6">
        <f t="shared" si="17"/>
        <v>864</v>
      </c>
      <c r="AU55" s="2" t="s">
        <v>118</v>
      </c>
      <c r="AV55" s="6">
        <f t="shared" si="18"/>
        <v>1037</v>
      </c>
    </row>
    <row r="56" spans="1:48" ht="45" x14ac:dyDescent="0.25">
      <c r="A56" s="2" t="s">
        <v>27</v>
      </c>
      <c r="B56" s="2">
        <v>1</v>
      </c>
      <c r="C56" s="2" t="s">
        <v>7</v>
      </c>
      <c r="D56" s="2">
        <v>21</v>
      </c>
      <c r="E56" s="2" t="s">
        <v>8</v>
      </c>
      <c r="F56" s="2" t="s">
        <v>14</v>
      </c>
      <c r="G56" s="7" t="s">
        <v>65</v>
      </c>
      <c r="H56" s="3">
        <f t="shared" si="19"/>
        <v>5556</v>
      </c>
      <c r="I56" s="5" t="s">
        <v>66</v>
      </c>
      <c r="J56" s="2" t="s">
        <v>67</v>
      </c>
      <c r="K56" s="6">
        <f t="shared" si="2"/>
        <v>132</v>
      </c>
      <c r="L56" s="2" t="s">
        <v>68</v>
      </c>
      <c r="M56" s="6">
        <f t="shared" si="3"/>
        <v>400</v>
      </c>
      <c r="N56" s="2" t="s">
        <v>69</v>
      </c>
      <c r="O56" s="6">
        <f t="shared" si="4"/>
        <v>50</v>
      </c>
      <c r="P56" s="2" t="s">
        <v>70</v>
      </c>
      <c r="Q56" s="6">
        <f t="shared" si="5"/>
        <v>250</v>
      </c>
      <c r="R56" s="2" t="s">
        <v>71</v>
      </c>
      <c r="S56" s="6">
        <f t="shared" si="6"/>
        <v>120</v>
      </c>
      <c r="T56" s="2" t="s">
        <v>72</v>
      </c>
      <c r="U56" s="6">
        <f t="shared" si="7"/>
        <v>65</v>
      </c>
      <c r="V56" s="2" t="s">
        <v>73</v>
      </c>
      <c r="W56" s="6">
        <f t="shared" si="8"/>
        <v>134</v>
      </c>
      <c r="X56" s="2" t="s">
        <v>74</v>
      </c>
      <c r="Y56" s="6">
        <f t="shared" si="9"/>
        <v>6</v>
      </c>
      <c r="Z56" s="5" t="s">
        <v>75</v>
      </c>
      <c r="AA56" s="2">
        <v>295</v>
      </c>
      <c r="AB56" s="2">
        <v>343</v>
      </c>
      <c r="AC56" s="2" t="s">
        <v>76</v>
      </c>
      <c r="AD56" s="6">
        <f t="shared" si="20"/>
        <v>240</v>
      </c>
      <c r="AE56" s="2" t="s">
        <v>77</v>
      </c>
      <c r="AF56" s="6">
        <f t="shared" si="10"/>
        <v>100</v>
      </c>
      <c r="AG56" s="2" t="s">
        <v>78</v>
      </c>
      <c r="AH56" s="6">
        <f t="shared" si="11"/>
        <v>22</v>
      </c>
      <c r="AI56" s="2" t="s">
        <v>79</v>
      </c>
      <c r="AJ56" s="6">
        <f t="shared" si="12"/>
        <v>54</v>
      </c>
      <c r="AK56" s="7" t="s">
        <v>86</v>
      </c>
      <c r="AL56" s="3">
        <f t="shared" si="13"/>
        <v>1573</v>
      </c>
      <c r="AM56" s="2" t="s">
        <v>80</v>
      </c>
      <c r="AN56" s="6">
        <f t="shared" si="14"/>
        <v>722</v>
      </c>
      <c r="AO56" s="2" t="s">
        <v>81</v>
      </c>
      <c r="AP56" s="6">
        <f t="shared" si="15"/>
        <v>1111</v>
      </c>
      <c r="AQ56" s="2" t="s">
        <v>82</v>
      </c>
      <c r="AR56" s="6">
        <f t="shared" si="16"/>
        <v>945</v>
      </c>
      <c r="AS56" s="2" t="s">
        <v>83</v>
      </c>
      <c r="AT56" s="6">
        <f t="shared" si="17"/>
        <v>1389</v>
      </c>
      <c r="AU56" s="2" t="s">
        <v>84</v>
      </c>
      <c r="AV56" s="6">
        <f t="shared" si="18"/>
        <v>1667</v>
      </c>
    </row>
    <row r="57" spans="1:48" ht="45" x14ac:dyDescent="0.25">
      <c r="A57" s="2" t="s">
        <v>27</v>
      </c>
      <c r="B57" s="2">
        <v>2</v>
      </c>
      <c r="C57" s="2" t="s">
        <v>7</v>
      </c>
      <c r="D57" s="2">
        <v>22</v>
      </c>
      <c r="E57" s="2" t="s">
        <v>8</v>
      </c>
      <c r="F57" s="2" t="s">
        <v>14</v>
      </c>
      <c r="G57" s="7" t="s">
        <v>65</v>
      </c>
      <c r="H57" s="3">
        <f t="shared" si="19"/>
        <v>5556</v>
      </c>
      <c r="I57" s="5" t="s">
        <v>66</v>
      </c>
      <c r="J57" s="2" t="s">
        <v>67</v>
      </c>
      <c r="K57" s="6">
        <f t="shared" si="2"/>
        <v>132</v>
      </c>
      <c r="L57" s="2" t="s">
        <v>68</v>
      </c>
      <c r="M57" s="6">
        <f t="shared" si="3"/>
        <v>400</v>
      </c>
      <c r="N57" s="2" t="s">
        <v>69</v>
      </c>
      <c r="O57" s="6">
        <f t="shared" si="4"/>
        <v>50</v>
      </c>
      <c r="P57" s="2" t="s">
        <v>70</v>
      </c>
      <c r="Q57" s="6">
        <f t="shared" si="5"/>
        <v>250</v>
      </c>
      <c r="R57" s="2" t="s">
        <v>71</v>
      </c>
      <c r="S57" s="6">
        <f t="shared" si="6"/>
        <v>120</v>
      </c>
      <c r="T57" s="2" t="s">
        <v>72</v>
      </c>
      <c r="U57" s="6">
        <f t="shared" si="7"/>
        <v>65</v>
      </c>
      <c r="V57" s="2" t="s">
        <v>73</v>
      </c>
      <c r="W57" s="6">
        <f t="shared" si="8"/>
        <v>134</v>
      </c>
      <c r="X57" s="2" t="s">
        <v>74</v>
      </c>
      <c r="Y57" s="6">
        <f t="shared" si="9"/>
        <v>6</v>
      </c>
      <c r="Z57" s="5" t="s">
        <v>75</v>
      </c>
      <c r="AA57" s="2">
        <v>295</v>
      </c>
      <c r="AB57" s="2">
        <v>343</v>
      </c>
      <c r="AC57" s="2" t="s">
        <v>76</v>
      </c>
      <c r="AD57" s="6">
        <f t="shared" si="20"/>
        <v>240</v>
      </c>
      <c r="AE57" s="2" t="s">
        <v>77</v>
      </c>
      <c r="AF57" s="6">
        <f t="shared" si="10"/>
        <v>100</v>
      </c>
      <c r="AG57" s="2" t="s">
        <v>78</v>
      </c>
      <c r="AH57" s="6">
        <f t="shared" si="11"/>
        <v>22</v>
      </c>
      <c r="AI57" s="2" t="s">
        <v>79</v>
      </c>
      <c r="AJ57" s="6">
        <f t="shared" si="12"/>
        <v>54</v>
      </c>
      <c r="AK57" s="7" t="s">
        <v>86</v>
      </c>
      <c r="AL57" s="3">
        <f t="shared" si="13"/>
        <v>1573</v>
      </c>
      <c r="AM57" s="2" t="s">
        <v>80</v>
      </c>
      <c r="AN57" s="6">
        <f t="shared" si="14"/>
        <v>722</v>
      </c>
      <c r="AO57" s="2" t="s">
        <v>81</v>
      </c>
      <c r="AP57" s="6">
        <f t="shared" si="15"/>
        <v>1111</v>
      </c>
      <c r="AQ57" s="2" t="s">
        <v>82</v>
      </c>
      <c r="AR57" s="6">
        <f t="shared" si="16"/>
        <v>945</v>
      </c>
      <c r="AS57" s="2" t="s">
        <v>83</v>
      </c>
      <c r="AT57" s="6">
        <f t="shared" si="17"/>
        <v>1389</v>
      </c>
      <c r="AU57" s="2" t="s">
        <v>84</v>
      </c>
      <c r="AV57" s="6">
        <f t="shared" si="18"/>
        <v>1667</v>
      </c>
    </row>
    <row r="58" spans="1:48" ht="45" x14ac:dyDescent="0.25">
      <c r="A58" s="2" t="s">
        <v>28</v>
      </c>
      <c r="B58" s="2">
        <v>29</v>
      </c>
      <c r="C58" s="2" t="s">
        <v>16</v>
      </c>
      <c r="D58" s="2">
        <v>18</v>
      </c>
      <c r="E58" s="2" t="s">
        <v>8</v>
      </c>
      <c r="F58" s="2" t="s">
        <v>14</v>
      </c>
      <c r="G58" s="7" t="s">
        <v>203</v>
      </c>
      <c r="H58" s="3">
        <f t="shared" si="19"/>
        <v>4782</v>
      </c>
      <c r="I58" s="5" t="s">
        <v>197</v>
      </c>
      <c r="J58" s="2" t="s">
        <v>67</v>
      </c>
      <c r="K58" s="6">
        <f t="shared" si="2"/>
        <v>132</v>
      </c>
      <c r="L58" s="2" t="s">
        <v>68</v>
      </c>
      <c r="M58" s="6">
        <f t="shared" si="3"/>
        <v>400</v>
      </c>
      <c r="N58" s="2" t="s">
        <v>69</v>
      </c>
      <c r="O58" s="6">
        <f t="shared" si="4"/>
        <v>50</v>
      </c>
      <c r="P58" s="2" t="s">
        <v>70</v>
      </c>
      <c r="Q58" s="6">
        <f t="shared" si="5"/>
        <v>250</v>
      </c>
      <c r="R58" s="2" t="s">
        <v>71</v>
      </c>
      <c r="S58" s="6">
        <f t="shared" si="6"/>
        <v>120</v>
      </c>
      <c r="T58" s="2" t="s">
        <v>72</v>
      </c>
      <c r="U58" s="6">
        <f t="shared" si="7"/>
        <v>65</v>
      </c>
      <c r="V58" s="2" t="s">
        <v>73</v>
      </c>
      <c r="W58" s="6">
        <f t="shared" si="8"/>
        <v>134</v>
      </c>
      <c r="X58" s="2" t="s">
        <v>74</v>
      </c>
      <c r="Y58" s="6">
        <f t="shared" si="9"/>
        <v>6</v>
      </c>
      <c r="Z58" s="5" t="s">
        <v>104</v>
      </c>
      <c r="AA58" s="2">
        <v>295</v>
      </c>
      <c r="AB58" s="2">
        <v>399</v>
      </c>
      <c r="AC58" s="2" t="s">
        <v>204</v>
      </c>
      <c r="AD58" s="6">
        <f t="shared" si="20"/>
        <v>279</v>
      </c>
      <c r="AE58" s="2" t="s">
        <v>77</v>
      </c>
      <c r="AF58" s="6">
        <f t="shared" si="10"/>
        <v>100</v>
      </c>
      <c r="AG58" s="2" t="s">
        <v>130</v>
      </c>
      <c r="AH58" s="6">
        <f t="shared" si="11"/>
        <v>25</v>
      </c>
      <c r="AI58" s="2" t="s">
        <v>120</v>
      </c>
      <c r="AJ58" s="6">
        <f t="shared" si="12"/>
        <v>57</v>
      </c>
      <c r="AK58" s="7" t="s">
        <v>205</v>
      </c>
      <c r="AL58" s="3">
        <f t="shared" si="13"/>
        <v>1618</v>
      </c>
      <c r="AM58" s="2" t="s">
        <v>206</v>
      </c>
      <c r="AN58" s="6">
        <f t="shared" si="14"/>
        <v>622</v>
      </c>
      <c r="AO58" s="2" t="s">
        <v>207</v>
      </c>
      <c r="AP58" s="6">
        <f t="shared" si="15"/>
        <v>956</v>
      </c>
      <c r="AQ58" s="2" t="s">
        <v>208</v>
      </c>
      <c r="AR58" s="6">
        <f t="shared" si="16"/>
        <v>813</v>
      </c>
      <c r="AS58" s="2" t="s">
        <v>209</v>
      </c>
      <c r="AT58" s="6">
        <f t="shared" si="17"/>
        <v>1196</v>
      </c>
      <c r="AU58" s="2" t="s">
        <v>210</v>
      </c>
      <c r="AV58" s="6">
        <f t="shared" si="18"/>
        <v>1435</v>
      </c>
    </row>
    <row r="59" spans="1:48" ht="45" x14ac:dyDescent="0.25">
      <c r="A59" s="2" t="s">
        <v>28</v>
      </c>
      <c r="B59" s="2">
        <v>11</v>
      </c>
      <c r="C59" s="2" t="s">
        <v>16</v>
      </c>
      <c r="D59" s="2">
        <v>17</v>
      </c>
      <c r="E59" s="2" t="s">
        <v>8</v>
      </c>
      <c r="F59" s="2" t="s">
        <v>14</v>
      </c>
      <c r="G59" s="7" t="s">
        <v>203</v>
      </c>
      <c r="H59" s="3">
        <f t="shared" si="19"/>
        <v>4782</v>
      </c>
      <c r="I59" s="5" t="s">
        <v>197</v>
      </c>
      <c r="J59" s="2" t="s">
        <v>67</v>
      </c>
      <c r="K59" s="6">
        <f t="shared" si="2"/>
        <v>132</v>
      </c>
      <c r="L59" s="2" t="s">
        <v>68</v>
      </c>
      <c r="M59" s="6">
        <f t="shared" si="3"/>
        <v>400</v>
      </c>
      <c r="N59" s="2" t="s">
        <v>69</v>
      </c>
      <c r="O59" s="6">
        <f t="shared" si="4"/>
        <v>50</v>
      </c>
      <c r="P59" s="2" t="s">
        <v>70</v>
      </c>
      <c r="Q59" s="6">
        <f t="shared" si="5"/>
        <v>250</v>
      </c>
      <c r="R59" s="2" t="s">
        <v>71</v>
      </c>
      <c r="S59" s="6">
        <f t="shared" si="6"/>
        <v>120</v>
      </c>
      <c r="T59" s="2" t="s">
        <v>72</v>
      </c>
      <c r="U59" s="6">
        <f t="shared" si="7"/>
        <v>65</v>
      </c>
      <c r="V59" s="2" t="s">
        <v>73</v>
      </c>
      <c r="W59" s="6">
        <f t="shared" si="8"/>
        <v>134</v>
      </c>
      <c r="X59" s="2" t="s">
        <v>74</v>
      </c>
      <c r="Y59" s="6">
        <f t="shared" si="9"/>
        <v>6</v>
      </c>
      <c r="Z59" s="5" t="s">
        <v>104</v>
      </c>
      <c r="AA59" s="2">
        <v>295</v>
      </c>
      <c r="AB59" s="2">
        <v>399</v>
      </c>
      <c r="AC59" s="2" t="s">
        <v>204</v>
      </c>
      <c r="AD59" s="6">
        <f t="shared" si="20"/>
        <v>279</v>
      </c>
      <c r="AE59" s="2" t="s">
        <v>77</v>
      </c>
      <c r="AF59" s="6">
        <f t="shared" si="10"/>
        <v>100</v>
      </c>
      <c r="AG59" s="2" t="s">
        <v>130</v>
      </c>
      <c r="AH59" s="6">
        <f t="shared" si="11"/>
        <v>25</v>
      </c>
      <c r="AI59" s="2" t="s">
        <v>120</v>
      </c>
      <c r="AJ59" s="6">
        <f t="shared" si="12"/>
        <v>57</v>
      </c>
      <c r="AK59" s="7" t="s">
        <v>205</v>
      </c>
      <c r="AL59" s="3">
        <f t="shared" si="13"/>
        <v>1618</v>
      </c>
      <c r="AM59" s="2" t="s">
        <v>206</v>
      </c>
      <c r="AN59" s="6">
        <f t="shared" si="14"/>
        <v>622</v>
      </c>
      <c r="AO59" s="2" t="s">
        <v>207</v>
      </c>
      <c r="AP59" s="6">
        <f t="shared" si="15"/>
        <v>956</v>
      </c>
      <c r="AQ59" s="2" t="s">
        <v>208</v>
      </c>
      <c r="AR59" s="6">
        <f t="shared" si="16"/>
        <v>813</v>
      </c>
      <c r="AS59" s="2" t="s">
        <v>209</v>
      </c>
      <c r="AT59" s="6">
        <f t="shared" si="17"/>
        <v>1196</v>
      </c>
      <c r="AU59" s="2" t="s">
        <v>210</v>
      </c>
      <c r="AV59" s="6">
        <f t="shared" si="18"/>
        <v>1435</v>
      </c>
    </row>
    <row r="60" spans="1:48" ht="45" x14ac:dyDescent="0.25">
      <c r="A60" s="2" t="s">
        <v>28</v>
      </c>
      <c r="B60" s="2">
        <v>23</v>
      </c>
      <c r="C60" s="2" t="s">
        <v>16</v>
      </c>
      <c r="D60" s="2">
        <v>18</v>
      </c>
      <c r="E60" s="2" t="s">
        <v>8</v>
      </c>
      <c r="F60" s="2" t="s">
        <v>14</v>
      </c>
      <c r="G60" s="7" t="s">
        <v>203</v>
      </c>
      <c r="H60" s="3">
        <f t="shared" si="19"/>
        <v>4782</v>
      </c>
      <c r="I60" s="5" t="s">
        <v>197</v>
      </c>
      <c r="J60" s="2" t="s">
        <v>67</v>
      </c>
      <c r="K60" s="6">
        <f t="shared" si="2"/>
        <v>132</v>
      </c>
      <c r="L60" s="2" t="s">
        <v>68</v>
      </c>
      <c r="M60" s="6">
        <f t="shared" si="3"/>
        <v>400</v>
      </c>
      <c r="N60" s="2" t="s">
        <v>69</v>
      </c>
      <c r="O60" s="6">
        <f t="shared" si="4"/>
        <v>50</v>
      </c>
      <c r="P60" s="2" t="s">
        <v>70</v>
      </c>
      <c r="Q60" s="6">
        <f t="shared" si="5"/>
        <v>250</v>
      </c>
      <c r="R60" s="2" t="s">
        <v>71</v>
      </c>
      <c r="S60" s="6">
        <f t="shared" si="6"/>
        <v>120</v>
      </c>
      <c r="T60" s="2" t="s">
        <v>72</v>
      </c>
      <c r="U60" s="6">
        <f t="shared" si="7"/>
        <v>65</v>
      </c>
      <c r="V60" s="2" t="s">
        <v>73</v>
      </c>
      <c r="W60" s="6">
        <f t="shared" si="8"/>
        <v>134</v>
      </c>
      <c r="X60" s="2" t="s">
        <v>74</v>
      </c>
      <c r="Y60" s="6">
        <f t="shared" si="9"/>
        <v>6</v>
      </c>
      <c r="Z60" s="5" t="s">
        <v>104</v>
      </c>
      <c r="AA60" s="2">
        <v>295</v>
      </c>
      <c r="AB60" s="2">
        <v>399</v>
      </c>
      <c r="AC60" s="2" t="s">
        <v>204</v>
      </c>
      <c r="AD60" s="6">
        <f t="shared" si="20"/>
        <v>279</v>
      </c>
      <c r="AE60" s="2" t="s">
        <v>77</v>
      </c>
      <c r="AF60" s="6">
        <f t="shared" si="10"/>
        <v>100</v>
      </c>
      <c r="AG60" s="2" t="s">
        <v>130</v>
      </c>
      <c r="AH60" s="6">
        <f t="shared" si="11"/>
        <v>25</v>
      </c>
      <c r="AI60" s="2" t="s">
        <v>120</v>
      </c>
      <c r="AJ60" s="6">
        <f t="shared" si="12"/>
        <v>57</v>
      </c>
      <c r="AK60" s="7" t="s">
        <v>205</v>
      </c>
      <c r="AL60" s="3">
        <f t="shared" si="13"/>
        <v>1618</v>
      </c>
      <c r="AM60" s="2" t="s">
        <v>206</v>
      </c>
      <c r="AN60" s="6">
        <f t="shared" si="14"/>
        <v>622</v>
      </c>
      <c r="AO60" s="2" t="s">
        <v>207</v>
      </c>
      <c r="AP60" s="6">
        <f t="shared" si="15"/>
        <v>956</v>
      </c>
      <c r="AQ60" s="2" t="s">
        <v>208</v>
      </c>
      <c r="AR60" s="6">
        <f t="shared" si="16"/>
        <v>813</v>
      </c>
      <c r="AS60" s="2" t="s">
        <v>209</v>
      </c>
      <c r="AT60" s="6">
        <f t="shared" si="17"/>
        <v>1196</v>
      </c>
      <c r="AU60" s="2" t="s">
        <v>210</v>
      </c>
      <c r="AV60" s="6">
        <f t="shared" si="18"/>
        <v>1435</v>
      </c>
    </row>
    <row r="61" spans="1:48" ht="45" x14ac:dyDescent="0.25">
      <c r="A61" s="2" t="s">
        <v>28</v>
      </c>
      <c r="B61" s="2">
        <v>23</v>
      </c>
      <c r="C61" s="2" t="s">
        <v>16</v>
      </c>
      <c r="D61" s="2">
        <v>18</v>
      </c>
      <c r="E61" s="2" t="s">
        <v>8</v>
      </c>
      <c r="F61" s="2" t="s">
        <v>14</v>
      </c>
      <c r="G61" s="7" t="s">
        <v>203</v>
      </c>
      <c r="H61" s="3">
        <f t="shared" si="19"/>
        <v>4782</v>
      </c>
      <c r="I61" s="5" t="s">
        <v>197</v>
      </c>
      <c r="J61" s="2" t="s">
        <v>67</v>
      </c>
      <c r="K61" s="6">
        <f t="shared" si="2"/>
        <v>132</v>
      </c>
      <c r="L61" s="2" t="s">
        <v>68</v>
      </c>
      <c r="M61" s="6">
        <f t="shared" si="3"/>
        <v>400</v>
      </c>
      <c r="N61" s="2" t="s">
        <v>69</v>
      </c>
      <c r="O61" s="6">
        <f t="shared" si="4"/>
        <v>50</v>
      </c>
      <c r="P61" s="2" t="s">
        <v>70</v>
      </c>
      <c r="Q61" s="6">
        <f t="shared" si="5"/>
        <v>250</v>
      </c>
      <c r="R61" s="2" t="s">
        <v>71</v>
      </c>
      <c r="S61" s="6">
        <f t="shared" si="6"/>
        <v>120</v>
      </c>
      <c r="T61" s="2" t="s">
        <v>72</v>
      </c>
      <c r="U61" s="6">
        <f t="shared" si="7"/>
        <v>65</v>
      </c>
      <c r="V61" s="2" t="s">
        <v>73</v>
      </c>
      <c r="W61" s="6">
        <f t="shared" si="8"/>
        <v>134</v>
      </c>
      <c r="X61" s="2" t="s">
        <v>74</v>
      </c>
      <c r="Y61" s="6">
        <f t="shared" si="9"/>
        <v>6</v>
      </c>
      <c r="Z61" s="5" t="s">
        <v>104</v>
      </c>
      <c r="AA61" s="2">
        <v>295</v>
      </c>
      <c r="AB61" s="2">
        <v>399</v>
      </c>
      <c r="AC61" s="2" t="s">
        <v>204</v>
      </c>
      <c r="AD61" s="6">
        <f t="shared" si="20"/>
        <v>279</v>
      </c>
      <c r="AE61" s="2" t="s">
        <v>77</v>
      </c>
      <c r="AF61" s="6">
        <f t="shared" si="10"/>
        <v>100</v>
      </c>
      <c r="AG61" s="2" t="s">
        <v>130</v>
      </c>
      <c r="AH61" s="6">
        <f t="shared" si="11"/>
        <v>25</v>
      </c>
      <c r="AI61" s="2" t="s">
        <v>120</v>
      </c>
      <c r="AJ61" s="6">
        <f t="shared" si="12"/>
        <v>57</v>
      </c>
      <c r="AK61" s="7" t="s">
        <v>205</v>
      </c>
      <c r="AL61" s="3">
        <f t="shared" si="13"/>
        <v>1618</v>
      </c>
      <c r="AM61" s="2" t="s">
        <v>206</v>
      </c>
      <c r="AN61" s="6">
        <f t="shared" si="14"/>
        <v>622</v>
      </c>
      <c r="AO61" s="2" t="s">
        <v>207</v>
      </c>
      <c r="AP61" s="6">
        <f t="shared" si="15"/>
        <v>956</v>
      </c>
      <c r="AQ61" s="2" t="s">
        <v>208</v>
      </c>
      <c r="AR61" s="6">
        <f t="shared" si="16"/>
        <v>813</v>
      </c>
      <c r="AS61" s="2" t="s">
        <v>209</v>
      </c>
      <c r="AT61" s="6">
        <f t="shared" si="17"/>
        <v>1196</v>
      </c>
      <c r="AU61" s="2" t="s">
        <v>210</v>
      </c>
      <c r="AV61" s="6">
        <f t="shared" si="18"/>
        <v>1435</v>
      </c>
    </row>
    <row r="62" spans="1:48" ht="45" x14ac:dyDescent="0.25">
      <c r="A62" s="2" t="s">
        <v>28</v>
      </c>
      <c r="B62" s="2">
        <v>29</v>
      </c>
      <c r="C62" s="2" t="s">
        <v>16</v>
      </c>
      <c r="D62" s="2">
        <v>18</v>
      </c>
      <c r="E62" s="2" t="s">
        <v>8</v>
      </c>
      <c r="F62" s="2" t="s">
        <v>14</v>
      </c>
      <c r="G62" s="7" t="s">
        <v>203</v>
      </c>
      <c r="H62" s="3">
        <f t="shared" si="19"/>
        <v>4782</v>
      </c>
      <c r="I62" s="5" t="s">
        <v>197</v>
      </c>
      <c r="J62" s="2" t="s">
        <v>67</v>
      </c>
      <c r="K62" s="6">
        <f t="shared" si="2"/>
        <v>132</v>
      </c>
      <c r="L62" s="2" t="s">
        <v>68</v>
      </c>
      <c r="M62" s="6">
        <f t="shared" si="3"/>
        <v>400</v>
      </c>
      <c r="N62" s="2" t="s">
        <v>69</v>
      </c>
      <c r="O62" s="6">
        <f t="shared" si="4"/>
        <v>50</v>
      </c>
      <c r="P62" s="2" t="s">
        <v>70</v>
      </c>
      <c r="Q62" s="6">
        <f t="shared" si="5"/>
        <v>250</v>
      </c>
      <c r="R62" s="2" t="s">
        <v>71</v>
      </c>
      <c r="S62" s="6">
        <f t="shared" si="6"/>
        <v>120</v>
      </c>
      <c r="T62" s="2" t="s">
        <v>72</v>
      </c>
      <c r="U62" s="6">
        <f t="shared" si="7"/>
        <v>65</v>
      </c>
      <c r="V62" s="2" t="s">
        <v>73</v>
      </c>
      <c r="W62" s="6">
        <f t="shared" si="8"/>
        <v>134</v>
      </c>
      <c r="X62" s="2" t="s">
        <v>74</v>
      </c>
      <c r="Y62" s="6">
        <f t="shared" si="9"/>
        <v>6</v>
      </c>
      <c r="Z62" s="5" t="s">
        <v>104</v>
      </c>
      <c r="AA62" s="2">
        <v>295</v>
      </c>
      <c r="AB62" s="2">
        <v>399</v>
      </c>
      <c r="AC62" s="2" t="s">
        <v>204</v>
      </c>
      <c r="AD62" s="6">
        <f t="shared" si="20"/>
        <v>279</v>
      </c>
      <c r="AE62" s="2" t="s">
        <v>77</v>
      </c>
      <c r="AF62" s="6">
        <f t="shared" si="10"/>
        <v>100</v>
      </c>
      <c r="AG62" s="2" t="s">
        <v>130</v>
      </c>
      <c r="AH62" s="6">
        <f t="shared" si="11"/>
        <v>25</v>
      </c>
      <c r="AI62" s="2" t="s">
        <v>120</v>
      </c>
      <c r="AJ62" s="6">
        <f t="shared" si="12"/>
        <v>57</v>
      </c>
      <c r="AK62" s="7" t="s">
        <v>205</v>
      </c>
      <c r="AL62" s="3">
        <f t="shared" si="13"/>
        <v>1618</v>
      </c>
      <c r="AM62" s="2" t="s">
        <v>206</v>
      </c>
      <c r="AN62" s="6">
        <f t="shared" si="14"/>
        <v>622</v>
      </c>
      <c r="AO62" s="2" t="s">
        <v>207</v>
      </c>
      <c r="AP62" s="6">
        <f t="shared" si="15"/>
        <v>956</v>
      </c>
      <c r="AQ62" s="2" t="s">
        <v>208</v>
      </c>
      <c r="AR62" s="6">
        <f t="shared" si="16"/>
        <v>813</v>
      </c>
      <c r="AS62" s="2" t="s">
        <v>209</v>
      </c>
      <c r="AT62" s="6">
        <f t="shared" si="17"/>
        <v>1196</v>
      </c>
      <c r="AU62" s="2" t="s">
        <v>210</v>
      </c>
      <c r="AV62" s="6">
        <f t="shared" si="18"/>
        <v>1435</v>
      </c>
    </row>
    <row r="63" spans="1:48" ht="30" x14ac:dyDescent="0.25">
      <c r="A63" s="2" t="s">
        <v>29</v>
      </c>
      <c r="B63" s="2">
        <v>12</v>
      </c>
      <c r="C63" s="2" t="s">
        <v>7</v>
      </c>
      <c r="D63" s="2">
        <v>12.9</v>
      </c>
      <c r="E63" s="2" t="s">
        <v>8</v>
      </c>
      <c r="F63" s="2" t="s">
        <v>14</v>
      </c>
      <c r="G63" s="7" t="s">
        <v>211</v>
      </c>
      <c r="H63" s="3">
        <f t="shared" si="19"/>
        <v>5287</v>
      </c>
      <c r="I63" s="5" t="s">
        <v>197</v>
      </c>
      <c r="J63" s="2" t="s">
        <v>67</v>
      </c>
      <c r="K63" s="6">
        <f t="shared" si="2"/>
        <v>132</v>
      </c>
      <c r="L63" s="2" t="s">
        <v>68</v>
      </c>
      <c r="M63" s="6">
        <f t="shared" si="3"/>
        <v>400</v>
      </c>
      <c r="N63" s="2" t="s">
        <v>69</v>
      </c>
      <c r="O63" s="6">
        <f t="shared" si="4"/>
        <v>50</v>
      </c>
      <c r="P63" s="2" t="s">
        <v>70</v>
      </c>
      <c r="Q63" s="6">
        <f t="shared" si="5"/>
        <v>250</v>
      </c>
      <c r="R63" s="2" t="s">
        <v>73</v>
      </c>
      <c r="S63" s="6">
        <f t="shared" si="6"/>
        <v>134</v>
      </c>
      <c r="T63" s="8"/>
      <c r="U63" s="6">
        <f t="shared" si="7"/>
        <v>0</v>
      </c>
      <c r="V63" s="2" t="s">
        <v>73</v>
      </c>
      <c r="W63" s="6">
        <f t="shared" si="8"/>
        <v>134</v>
      </c>
      <c r="X63" s="2" t="s">
        <v>74</v>
      </c>
      <c r="Y63" s="6">
        <f t="shared" si="9"/>
        <v>6</v>
      </c>
      <c r="Z63" s="5" t="s">
        <v>104</v>
      </c>
      <c r="AA63" s="2">
        <v>295</v>
      </c>
      <c r="AB63" s="2">
        <v>343</v>
      </c>
      <c r="AC63" s="2" t="s">
        <v>76</v>
      </c>
      <c r="AD63" s="6">
        <f t="shared" si="20"/>
        <v>240</v>
      </c>
      <c r="AE63" s="2" t="s">
        <v>77</v>
      </c>
      <c r="AF63" s="6">
        <f t="shared" si="10"/>
        <v>100</v>
      </c>
      <c r="AG63" s="2" t="s">
        <v>146</v>
      </c>
      <c r="AH63" s="6">
        <f t="shared" si="11"/>
        <v>26</v>
      </c>
      <c r="AI63" s="2" t="s">
        <v>122</v>
      </c>
      <c r="AJ63" s="6">
        <f t="shared" si="12"/>
        <v>58</v>
      </c>
      <c r="AK63" s="7" t="s">
        <v>212</v>
      </c>
      <c r="AL63" s="3">
        <f t="shared" si="13"/>
        <v>1530</v>
      </c>
      <c r="AM63" s="2" t="s">
        <v>213</v>
      </c>
      <c r="AN63" s="6">
        <f t="shared" si="14"/>
        <v>687</v>
      </c>
      <c r="AO63" s="2" t="s">
        <v>214</v>
      </c>
      <c r="AP63" s="6">
        <f t="shared" si="15"/>
        <v>1057</v>
      </c>
      <c r="AQ63" s="2" t="s">
        <v>215</v>
      </c>
      <c r="AR63" s="6">
        <f t="shared" si="16"/>
        <v>899</v>
      </c>
      <c r="AS63" s="2" t="s">
        <v>216</v>
      </c>
      <c r="AT63" s="6">
        <f t="shared" si="17"/>
        <v>1322</v>
      </c>
      <c r="AU63" s="2" t="s">
        <v>217</v>
      </c>
      <c r="AV63" s="6">
        <f t="shared" si="18"/>
        <v>1586</v>
      </c>
    </row>
    <row r="64" spans="1:48" ht="30" x14ac:dyDescent="0.25">
      <c r="A64" s="2" t="s">
        <v>29</v>
      </c>
      <c r="B64" s="2">
        <v>24</v>
      </c>
      <c r="C64" s="2" t="s">
        <v>7</v>
      </c>
      <c r="D64" s="2">
        <v>18</v>
      </c>
      <c r="E64" s="2" t="s">
        <v>8</v>
      </c>
      <c r="F64" s="2" t="s">
        <v>14</v>
      </c>
      <c r="G64" s="9" t="s">
        <v>211</v>
      </c>
      <c r="H64" s="3">
        <f t="shared" si="19"/>
        <v>5287</v>
      </c>
      <c r="I64" s="5" t="s">
        <v>197</v>
      </c>
      <c r="J64" s="2" t="s">
        <v>67</v>
      </c>
      <c r="K64" s="6">
        <f t="shared" si="2"/>
        <v>132</v>
      </c>
      <c r="L64" s="2" t="s">
        <v>68</v>
      </c>
      <c r="M64" s="6">
        <f t="shared" si="3"/>
        <v>400</v>
      </c>
      <c r="N64" s="2" t="s">
        <v>69</v>
      </c>
      <c r="O64" s="6">
        <f t="shared" si="4"/>
        <v>50</v>
      </c>
      <c r="P64" s="2" t="s">
        <v>70</v>
      </c>
      <c r="Q64" s="6">
        <f t="shared" si="5"/>
        <v>250</v>
      </c>
      <c r="R64" s="2" t="s">
        <v>73</v>
      </c>
      <c r="S64" s="6">
        <f t="shared" si="6"/>
        <v>134</v>
      </c>
      <c r="T64" s="8"/>
      <c r="U64" s="6">
        <f t="shared" si="7"/>
        <v>0</v>
      </c>
      <c r="V64" s="2" t="s">
        <v>73</v>
      </c>
      <c r="W64" s="6">
        <f t="shared" si="8"/>
        <v>134</v>
      </c>
      <c r="X64" s="2" t="s">
        <v>74</v>
      </c>
      <c r="Y64" s="6">
        <f t="shared" si="9"/>
        <v>6</v>
      </c>
      <c r="Z64" s="5" t="s">
        <v>104</v>
      </c>
      <c r="AA64" s="2">
        <v>295</v>
      </c>
      <c r="AB64" s="2">
        <v>343</v>
      </c>
      <c r="AC64" s="2" t="s">
        <v>76</v>
      </c>
      <c r="AD64" s="6">
        <f t="shared" si="20"/>
        <v>240</v>
      </c>
      <c r="AE64" s="2" t="s">
        <v>77</v>
      </c>
      <c r="AF64" s="6">
        <f t="shared" si="10"/>
        <v>100</v>
      </c>
      <c r="AG64" s="2" t="s">
        <v>146</v>
      </c>
      <c r="AH64" s="6">
        <f t="shared" si="11"/>
        <v>26</v>
      </c>
      <c r="AI64" s="2" t="s">
        <v>122</v>
      </c>
      <c r="AJ64" s="6">
        <f t="shared" si="12"/>
        <v>58</v>
      </c>
      <c r="AK64" s="7" t="s">
        <v>212</v>
      </c>
      <c r="AL64" s="3">
        <f t="shared" si="13"/>
        <v>1530</v>
      </c>
      <c r="AM64" s="2" t="s">
        <v>213</v>
      </c>
      <c r="AN64" s="6">
        <f t="shared" si="14"/>
        <v>687</v>
      </c>
      <c r="AO64" s="2" t="s">
        <v>214</v>
      </c>
      <c r="AP64" s="6">
        <f t="shared" si="15"/>
        <v>1057</v>
      </c>
      <c r="AQ64" s="2" t="s">
        <v>215</v>
      </c>
      <c r="AR64" s="6">
        <f t="shared" si="16"/>
        <v>899</v>
      </c>
      <c r="AS64" s="2" t="s">
        <v>216</v>
      </c>
      <c r="AT64" s="6">
        <f t="shared" si="17"/>
        <v>1322</v>
      </c>
      <c r="AU64" s="2" t="s">
        <v>217</v>
      </c>
      <c r="AV64" s="6">
        <f t="shared" si="18"/>
        <v>1586</v>
      </c>
    </row>
    <row r="65" spans="1:48" ht="30" x14ac:dyDescent="0.25">
      <c r="A65" s="2" t="s">
        <v>29</v>
      </c>
      <c r="B65" s="2">
        <v>25</v>
      </c>
      <c r="C65" s="2" t="s">
        <v>7</v>
      </c>
      <c r="D65" s="2">
        <v>18</v>
      </c>
      <c r="E65" s="2" t="s">
        <v>8</v>
      </c>
      <c r="F65" s="2" t="s">
        <v>14</v>
      </c>
      <c r="G65" s="9" t="s">
        <v>211</v>
      </c>
      <c r="H65" s="3">
        <f t="shared" si="19"/>
        <v>5287</v>
      </c>
      <c r="I65" s="5" t="s">
        <v>197</v>
      </c>
      <c r="J65" s="2" t="s">
        <v>67</v>
      </c>
      <c r="K65" s="6">
        <f t="shared" si="2"/>
        <v>132</v>
      </c>
      <c r="L65" s="2" t="s">
        <v>68</v>
      </c>
      <c r="M65" s="6">
        <f t="shared" si="3"/>
        <v>400</v>
      </c>
      <c r="N65" s="2" t="s">
        <v>69</v>
      </c>
      <c r="O65" s="6">
        <f t="shared" si="4"/>
        <v>50</v>
      </c>
      <c r="P65" s="2" t="s">
        <v>70</v>
      </c>
      <c r="Q65" s="6">
        <f t="shared" si="5"/>
        <v>250</v>
      </c>
      <c r="R65" s="2" t="s">
        <v>73</v>
      </c>
      <c r="S65" s="6">
        <f t="shared" si="6"/>
        <v>134</v>
      </c>
      <c r="T65" s="8"/>
      <c r="U65" s="6">
        <f t="shared" si="7"/>
        <v>0</v>
      </c>
      <c r="V65" s="2" t="s">
        <v>73</v>
      </c>
      <c r="W65" s="6">
        <f t="shared" si="8"/>
        <v>134</v>
      </c>
      <c r="X65" s="2" t="s">
        <v>74</v>
      </c>
      <c r="Y65" s="6">
        <f t="shared" si="9"/>
        <v>6</v>
      </c>
      <c r="Z65" s="5" t="s">
        <v>104</v>
      </c>
      <c r="AA65" s="2">
        <v>295</v>
      </c>
      <c r="AB65" s="2">
        <v>343</v>
      </c>
      <c r="AC65" s="2" t="s">
        <v>76</v>
      </c>
      <c r="AD65" s="6">
        <f t="shared" si="20"/>
        <v>240</v>
      </c>
      <c r="AE65" s="2" t="s">
        <v>77</v>
      </c>
      <c r="AF65" s="6">
        <f t="shared" si="10"/>
        <v>100</v>
      </c>
      <c r="AG65" s="2" t="s">
        <v>146</v>
      </c>
      <c r="AH65" s="6">
        <f t="shared" si="11"/>
        <v>26</v>
      </c>
      <c r="AI65" s="2" t="s">
        <v>122</v>
      </c>
      <c r="AJ65" s="6">
        <f t="shared" si="12"/>
        <v>58</v>
      </c>
      <c r="AK65" s="7" t="s">
        <v>212</v>
      </c>
      <c r="AL65" s="3">
        <f t="shared" si="13"/>
        <v>1530</v>
      </c>
      <c r="AM65" s="2" t="s">
        <v>213</v>
      </c>
      <c r="AN65" s="6">
        <f t="shared" si="14"/>
        <v>687</v>
      </c>
      <c r="AO65" s="2" t="s">
        <v>214</v>
      </c>
      <c r="AP65" s="6">
        <f t="shared" si="15"/>
        <v>1057</v>
      </c>
      <c r="AQ65" s="2" t="s">
        <v>215</v>
      </c>
      <c r="AR65" s="6">
        <f t="shared" si="16"/>
        <v>899</v>
      </c>
      <c r="AS65" s="2" t="s">
        <v>216</v>
      </c>
      <c r="AT65" s="6">
        <f t="shared" si="17"/>
        <v>1322</v>
      </c>
      <c r="AU65" s="2" t="s">
        <v>217</v>
      </c>
      <c r="AV65" s="6">
        <f t="shared" si="18"/>
        <v>1586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60DFE-A37D-46C7-B026-BB031C6CAE4A}">
  <sheetPr>
    <tabColor theme="8" tint="0.59999389629810485"/>
  </sheetPr>
  <dimension ref="V5:AA66"/>
  <sheetViews>
    <sheetView showGridLines="0" showRowColHeaders="0" tabSelected="1" zoomScale="90" zoomScaleNormal="90" workbookViewId="0">
      <selection activeCell="AF27" sqref="AF27"/>
    </sheetView>
  </sheetViews>
  <sheetFormatPr defaultRowHeight="15" x14ac:dyDescent="0.25"/>
  <cols>
    <col min="35" max="35" width="14.28515625" bestFit="1" customWidth="1"/>
    <col min="36" max="36" width="17.28515625" bestFit="1" customWidth="1"/>
  </cols>
  <sheetData>
    <row r="5" spans="22:27" x14ac:dyDescent="0.25">
      <c r="V5" t="s">
        <v>38</v>
      </c>
      <c r="W5" t="s">
        <v>39</v>
      </c>
      <c r="X5" t="s">
        <v>39</v>
      </c>
      <c r="Y5" t="s">
        <v>39</v>
      </c>
      <c r="Z5" t="s">
        <v>39</v>
      </c>
      <c r="AA5" t="s">
        <v>39</v>
      </c>
    </row>
    <row r="6" spans="22:27" x14ac:dyDescent="0.25">
      <c r="W6" s="23">
        <f>_xlfn.NUMBERVALUE(CLEAN(SUBSTITUTE(V6,"$"," ")))</f>
        <v>0</v>
      </c>
      <c r="X6" s="23">
        <f>_xlfn.NUMBERVALUE(CLEAN(SUBSTITUTE(V6,"$"," ")))</f>
        <v>0</v>
      </c>
      <c r="Y6" s="23">
        <f>_xlfn.NUMBERVALUE(CLEAN(SUBSTITUTE(V6,"$"," ")))</f>
        <v>0</v>
      </c>
      <c r="Z6" s="23">
        <f>_xlfn.NUMBERVALUE(CLEAN(SUBSTITUTE(V6,"$"," ")))</f>
        <v>0</v>
      </c>
      <c r="AA6" s="23">
        <f>_xlfn.NUMBERVALUE(CLEAN(SUBSTITUTE(V6,"$"," ")))</f>
        <v>0</v>
      </c>
    </row>
    <row r="7" spans="22:27" x14ac:dyDescent="0.25">
      <c r="W7" s="23">
        <f t="shared" ref="W7:W66" si="0">_xlfn.NUMBERVALUE(CLEAN(SUBSTITUTE(V7,"$"," ")))</f>
        <v>0</v>
      </c>
      <c r="X7" s="23">
        <f t="shared" ref="X7:X66" si="1">_xlfn.NUMBERVALUE(CLEAN(SUBSTITUTE(V7,"$"," ")))</f>
        <v>0</v>
      </c>
      <c r="Y7" s="23" t="e" vm="1">
        <v>#VALUE!</v>
      </c>
      <c r="Z7" s="23">
        <f t="shared" ref="Z7:Z66" si="2">_xlfn.NUMBERVALUE(CLEAN(SUBSTITUTE(V7,"$"," ")))</f>
        <v>0</v>
      </c>
      <c r="AA7" s="23">
        <f t="shared" ref="AA7:AA66" si="3">_xlfn.NUMBERVALUE(CLEAN(SUBSTITUTE(V7,"$"," ")))</f>
        <v>0</v>
      </c>
    </row>
    <row r="8" spans="22:27" x14ac:dyDescent="0.25">
      <c r="W8" s="23">
        <f t="shared" si="0"/>
        <v>0</v>
      </c>
      <c r="X8" s="23">
        <f t="shared" si="1"/>
        <v>0</v>
      </c>
      <c r="Y8" s="23">
        <f t="shared" ref="Y8:Y66" si="4">_xlfn.NUMBERVALUE(CLEAN(SUBSTITUTE(V8,"$"," ")))</f>
        <v>0</v>
      </c>
      <c r="Z8" s="23">
        <f t="shared" si="2"/>
        <v>0</v>
      </c>
      <c r="AA8" s="23">
        <f t="shared" si="3"/>
        <v>0</v>
      </c>
    </row>
    <row r="9" spans="22:27" x14ac:dyDescent="0.25">
      <c r="W9" s="23">
        <f t="shared" si="0"/>
        <v>0</v>
      </c>
      <c r="X9" s="23">
        <f t="shared" si="1"/>
        <v>0</v>
      </c>
      <c r="Y9" s="23">
        <f t="shared" si="4"/>
        <v>0</v>
      </c>
      <c r="Z9" s="23">
        <f t="shared" si="2"/>
        <v>0</v>
      </c>
      <c r="AA9" s="23">
        <f t="shared" si="3"/>
        <v>0</v>
      </c>
    </row>
    <row r="10" spans="22:27" x14ac:dyDescent="0.25">
      <c r="W10" s="23">
        <f t="shared" si="0"/>
        <v>0</v>
      </c>
      <c r="X10" s="23">
        <f t="shared" si="1"/>
        <v>0</v>
      </c>
      <c r="Y10" s="23">
        <f t="shared" si="4"/>
        <v>0</v>
      </c>
      <c r="Z10" s="23">
        <f t="shared" si="2"/>
        <v>0</v>
      </c>
      <c r="AA10" s="23">
        <f t="shared" si="3"/>
        <v>0</v>
      </c>
    </row>
    <row r="11" spans="22:27" x14ac:dyDescent="0.25">
      <c r="W11" s="23">
        <f t="shared" si="0"/>
        <v>0</v>
      </c>
      <c r="X11" s="23">
        <f t="shared" si="1"/>
        <v>0</v>
      </c>
      <c r="Y11" s="23">
        <f t="shared" si="4"/>
        <v>0</v>
      </c>
      <c r="Z11" s="23">
        <f t="shared" si="2"/>
        <v>0</v>
      </c>
      <c r="AA11" s="23">
        <f t="shared" si="3"/>
        <v>0</v>
      </c>
    </row>
    <row r="12" spans="22:27" x14ac:dyDescent="0.25">
      <c r="W12" s="23">
        <f t="shared" si="0"/>
        <v>0</v>
      </c>
      <c r="X12" s="23">
        <f t="shared" si="1"/>
        <v>0</v>
      </c>
      <c r="Y12" s="23">
        <f t="shared" si="4"/>
        <v>0</v>
      </c>
      <c r="Z12" s="23">
        <f t="shared" si="2"/>
        <v>0</v>
      </c>
      <c r="AA12" s="23">
        <f t="shared" si="3"/>
        <v>0</v>
      </c>
    </row>
    <row r="13" spans="22:27" x14ac:dyDescent="0.25">
      <c r="W13" s="23">
        <f t="shared" si="0"/>
        <v>0</v>
      </c>
      <c r="X13" s="23">
        <f t="shared" si="1"/>
        <v>0</v>
      </c>
      <c r="Y13" s="23">
        <f t="shared" si="4"/>
        <v>0</v>
      </c>
      <c r="Z13" s="23">
        <f t="shared" si="2"/>
        <v>0</v>
      </c>
      <c r="AA13" s="23">
        <f t="shared" si="3"/>
        <v>0</v>
      </c>
    </row>
    <row r="14" spans="22:27" x14ac:dyDescent="0.25">
      <c r="W14" s="23">
        <f t="shared" si="0"/>
        <v>0</v>
      </c>
      <c r="X14" s="23">
        <f t="shared" si="1"/>
        <v>0</v>
      </c>
      <c r="Y14" s="23">
        <f t="shared" si="4"/>
        <v>0</v>
      </c>
      <c r="Z14" s="23">
        <f t="shared" si="2"/>
        <v>0</v>
      </c>
      <c r="AA14" s="23">
        <f t="shared" si="3"/>
        <v>0</v>
      </c>
    </row>
    <row r="15" spans="22:27" x14ac:dyDescent="0.25">
      <c r="W15" s="23">
        <f t="shared" si="0"/>
        <v>0</v>
      </c>
      <c r="X15" s="23">
        <f t="shared" si="1"/>
        <v>0</v>
      </c>
      <c r="Y15" s="23">
        <f t="shared" si="4"/>
        <v>0</v>
      </c>
      <c r="Z15" s="23">
        <f t="shared" si="2"/>
        <v>0</v>
      </c>
      <c r="AA15" s="23">
        <f t="shared" si="3"/>
        <v>0</v>
      </c>
    </row>
    <row r="16" spans="22:27" x14ac:dyDescent="0.25">
      <c r="W16" s="23">
        <f t="shared" si="0"/>
        <v>0</v>
      </c>
      <c r="X16" s="23">
        <f t="shared" si="1"/>
        <v>0</v>
      </c>
      <c r="Y16" s="23">
        <f t="shared" si="4"/>
        <v>0</v>
      </c>
      <c r="Z16" s="23">
        <f t="shared" si="2"/>
        <v>0</v>
      </c>
      <c r="AA16" s="23">
        <f t="shared" si="3"/>
        <v>0</v>
      </c>
    </row>
    <row r="17" spans="23:27" x14ac:dyDescent="0.25">
      <c r="W17" s="23">
        <f t="shared" si="0"/>
        <v>0</v>
      </c>
      <c r="X17" s="23">
        <f t="shared" si="1"/>
        <v>0</v>
      </c>
      <c r="Y17" s="23">
        <f t="shared" si="4"/>
        <v>0</v>
      </c>
      <c r="Z17" s="23">
        <f t="shared" si="2"/>
        <v>0</v>
      </c>
      <c r="AA17" s="23">
        <f t="shared" si="3"/>
        <v>0</v>
      </c>
    </row>
    <row r="18" spans="23:27" x14ac:dyDescent="0.25">
      <c r="W18" s="23">
        <f t="shared" si="0"/>
        <v>0</v>
      </c>
      <c r="X18" s="23">
        <f t="shared" si="1"/>
        <v>0</v>
      </c>
      <c r="Y18" s="23">
        <f t="shared" si="4"/>
        <v>0</v>
      </c>
      <c r="Z18" s="23">
        <f t="shared" si="2"/>
        <v>0</v>
      </c>
      <c r="AA18" s="23">
        <f t="shared" si="3"/>
        <v>0</v>
      </c>
    </row>
    <row r="19" spans="23:27" x14ac:dyDescent="0.25">
      <c r="W19" s="23">
        <f t="shared" si="0"/>
        <v>0</v>
      </c>
      <c r="X19" s="23">
        <f t="shared" si="1"/>
        <v>0</v>
      </c>
      <c r="Y19" s="23">
        <f t="shared" si="4"/>
        <v>0</v>
      </c>
      <c r="Z19" s="23">
        <f t="shared" si="2"/>
        <v>0</v>
      </c>
      <c r="AA19" s="23">
        <f t="shared" si="3"/>
        <v>0</v>
      </c>
    </row>
    <row r="20" spans="23:27" x14ac:dyDescent="0.25">
      <c r="W20" s="23">
        <f t="shared" si="0"/>
        <v>0</v>
      </c>
      <c r="X20" s="23">
        <f t="shared" si="1"/>
        <v>0</v>
      </c>
      <c r="Y20" s="23">
        <f t="shared" si="4"/>
        <v>0</v>
      </c>
      <c r="Z20" s="23">
        <f t="shared" si="2"/>
        <v>0</v>
      </c>
      <c r="AA20" s="23">
        <f t="shared" si="3"/>
        <v>0</v>
      </c>
    </row>
    <row r="21" spans="23:27" x14ac:dyDescent="0.25">
      <c r="W21" s="23">
        <f t="shared" si="0"/>
        <v>0</v>
      </c>
      <c r="X21" s="23">
        <f t="shared" si="1"/>
        <v>0</v>
      </c>
      <c r="Y21" s="23">
        <f t="shared" si="4"/>
        <v>0</v>
      </c>
      <c r="Z21" s="23">
        <f t="shared" si="2"/>
        <v>0</v>
      </c>
      <c r="AA21" s="23">
        <f t="shared" si="3"/>
        <v>0</v>
      </c>
    </row>
    <row r="22" spans="23:27" x14ac:dyDescent="0.25">
      <c r="W22" s="23">
        <f t="shared" si="0"/>
        <v>0</v>
      </c>
      <c r="X22" s="23">
        <f t="shared" si="1"/>
        <v>0</v>
      </c>
      <c r="Y22" s="23">
        <f t="shared" si="4"/>
        <v>0</v>
      </c>
      <c r="Z22" s="23">
        <f t="shared" si="2"/>
        <v>0</v>
      </c>
      <c r="AA22" s="23">
        <f t="shared" si="3"/>
        <v>0</v>
      </c>
    </row>
    <row r="23" spans="23:27" x14ac:dyDescent="0.25">
      <c r="W23" s="23">
        <f t="shared" si="0"/>
        <v>0</v>
      </c>
      <c r="X23" s="23">
        <f t="shared" si="1"/>
        <v>0</v>
      </c>
      <c r="Y23" s="23">
        <f t="shared" si="4"/>
        <v>0</v>
      </c>
      <c r="Z23" s="23">
        <f t="shared" si="2"/>
        <v>0</v>
      </c>
      <c r="AA23" s="23">
        <f t="shared" si="3"/>
        <v>0</v>
      </c>
    </row>
    <row r="24" spans="23:27" x14ac:dyDescent="0.25">
      <c r="W24" s="23">
        <f t="shared" si="0"/>
        <v>0</v>
      </c>
      <c r="X24" s="23">
        <f t="shared" si="1"/>
        <v>0</v>
      </c>
      <c r="Y24" s="23">
        <f t="shared" si="4"/>
        <v>0</v>
      </c>
      <c r="Z24" s="23">
        <f t="shared" si="2"/>
        <v>0</v>
      </c>
      <c r="AA24" s="23">
        <f t="shared" si="3"/>
        <v>0</v>
      </c>
    </row>
    <row r="25" spans="23:27" x14ac:dyDescent="0.25">
      <c r="W25" s="23">
        <f t="shared" si="0"/>
        <v>0</v>
      </c>
      <c r="X25" s="23">
        <f t="shared" si="1"/>
        <v>0</v>
      </c>
      <c r="Y25" s="23">
        <f t="shared" si="4"/>
        <v>0</v>
      </c>
      <c r="Z25" s="23">
        <f t="shared" si="2"/>
        <v>0</v>
      </c>
      <c r="AA25" s="23">
        <f t="shared" si="3"/>
        <v>0</v>
      </c>
    </row>
    <row r="26" spans="23:27" x14ac:dyDescent="0.25">
      <c r="W26" s="23">
        <f t="shared" si="0"/>
        <v>0</v>
      </c>
      <c r="X26" s="23">
        <f t="shared" si="1"/>
        <v>0</v>
      </c>
      <c r="Y26" s="23">
        <f t="shared" si="4"/>
        <v>0</v>
      </c>
      <c r="Z26" s="23">
        <f t="shared" si="2"/>
        <v>0</v>
      </c>
      <c r="AA26" s="23">
        <f t="shared" si="3"/>
        <v>0</v>
      </c>
    </row>
    <row r="27" spans="23:27" x14ac:dyDescent="0.25">
      <c r="W27" s="23">
        <f t="shared" si="0"/>
        <v>0</v>
      </c>
      <c r="X27" s="23">
        <f t="shared" si="1"/>
        <v>0</v>
      </c>
      <c r="Y27" s="23">
        <f t="shared" si="4"/>
        <v>0</v>
      </c>
      <c r="Z27" s="23">
        <f t="shared" si="2"/>
        <v>0</v>
      </c>
      <c r="AA27" s="23">
        <f t="shared" si="3"/>
        <v>0</v>
      </c>
    </row>
    <row r="28" spans="23:27" x14ac:dyDescent="0.25">
      <c r="W28" s="23">
        <f t="shared" si="0"/>
        <v>0</v>
      </c>
      <c r="X28" s="23">
        <f t="shared" si="1"/>
        <v>0</v>
      </c>
      <c r="Y28" s="23">
        <f t="shared" si="4"/>
        <v>0</v>
      </c>
      <c r="Z28" s="23">
        <f t="shared" si="2"/>
        <v>0</v>
      </c>
      <c r="AA28" s="23">
        <f t="shared" si="3"/>
        <v>0</v>
      </c>
    </row>
    <row r="29" spans="23:27" x14ac:dyDescent="0.25">
      <c r="W29" s="23">
        <f t="shared" si="0"/>
        <v>0</v>
      </c>
      <c r="X29" s="23">
        <f t="shared" si="1"/>
        <v>0</v>
      </c>
      <c r="Y29" s="23">
        <f t="shared" si="4"/>
        <v>0</v>
      </c>
      <c r="Z29" s="23">
        <f t="shared" si="2"/>
        <v>0</v>
      </c>
      <c r="AA29" s="23">
        <f t="shared" si="3"/>
        <v>0</v>
      </c>
    </row>
    <row r="30" spans="23:27" x14ac:dyDescent="0.25">
      <c r="W30" s="23">
        <f t="shared" si="0"/>
        <v>0</v>
      </c>
      <c r="X30" s="23">
        <f t="shared" si="1"/>
        <v>0</v>
      </c>
      <c r="Y30" s="23">
        <f t="shared" si="4"/>
        <v>0</v>
      </c>
      <c r="Z30" s="23">
        <f t="shared" si="2"/>
        <v>0</v>
      </c>
      <c r="AA30" s="23">
        <f t="shared" si="3"/>
        <v>0</v>
      </c>
    </row>
    <row r="31" spans="23:27" x14ac:dyDescent="0.25">
      <c r="W31" s="23">
        <f t="shared" si="0"/>
        <v>0</v>
      </c>
      <c r="X31" s="23">
        <f t="shared" si="1"/>
        <v>0</v>
      </c>
      <c r="Y31" s="23">
        <f t="shared" si="4"/>
        <v>0</v>
      </c>
      <c r="Z31" s="23">
        <f t="shared" si="2"/>
        <v>0</v>
      </c>
      <c r="AA31" s="23">
        <f t="shared" si="3"/>
        <v>0</v>
      </c>
    </row>
    <row r="32" spans="23:27" x14ac:dyDescent="0.25">
      <c r="W32" s="23">
        <f t="shared" si="0"/>
        <v>0</v>
      </c>
      <c r="X32" s="23">
        <f t="shared" si="1"/>
        <v>0</v>
      </c>
      <c r="Y32" s="23">
        <f t="shared" si="4"/>
        <v>0</v>
      </c>
      <c r="Z32" s="23">
        <f t="shared" si="2"/>
        <v>0</v>
      </c>
      <c r="AA32" s="23">
        <f t="shared" si="3"/>
        <v>0</v>
      </c>
    </row>
    <row r="33" spans="23:27" x14ac:dyDescent="0.25">
      <c r="W33" s="23">
        <f t="shared" si="0"/>
        <v>0</v>
      </c>
      <c r="X33" s="23">
        <f t="shared" si="1"/>
        <v>0</v>
      </c>
      <c r="Y33" s="23">
        <f t="shared" si="4"/>
        <v>0</v>
      </c>
      <c r="Z33" s="23">
        <f t="shared" si="2"/>
        <v>0</v>
      </c>
      <c r="AA33" s="23">
        <f t="shared" si="3"/>
        <v>0</v>
      </c>
    </row>
    <row r="34" spans="23:27" x14ac:dyDescent="0.25">
      <c r="W34" s="23">
        <f t="shared" si="0"/>
        <v>0</v>
      </c>
      <c r="X34" s="23">
        <f t="shared" si="1"/>
        <v>0</v>
      </c>
      <c r="Y34" s="23">
        <f t="shared" si="4"/>
        <v>0</v>
      </c>
      <c r="Z34" s="23">
        <f t="shared" si="2"/>
        <v>0</v>
      </c>
      <c r="AA34" s="23">
        <f t="shared" si="3"/>
        <v>0</v>
      </c>
    </row>
    <row r="35" spans="23:27" x14ac:dyDescent="0.25">
      <c r="W35" s="23">
        <f t="shared" si="0"/>
        <v>0</v>
      </c>
      <c r="X35" s="23">
        <f t="shared" si="1"/>
        <v>0</v>
      </c>
      <c r="Y35" s="23">
        <f t="shared" si="4"/>
        <v>0</v>
      </c>
      <c r="Z35" s="23">
        <f t="shared" si="2"/>
        <v>0</v>
      </c>
      <c r="AA35" s="23">
        <f t="shared" si="3"/>
        <v>0</v>
      </c>
    </row>
    <row r="36" spans="23:27" x14ac:dyDescent="0.25">
      <c r="W36" s="23">
        <f t="shared" si="0"/>
        <v>0</v>
      </c>
      <c r="X36" s="23">
        <f t="shared" si="1"/>
        <v>0</v>
      </c>
      <c r="Y36" s="23">
        <f t="shared" si="4"/>
        <v>0</v>
      </c>
      <c r="Z36" s="23">
        <f t="shared" si="2"/>
        <v>0</v>
      </c>
      <c r="AA36" s="23">
        <f t="shared" si="3"/>
        <v>0</v>
      </c>
    </row>
    <row r="37" spans="23:27" x14ac:dyDescent="0.25">
      <c r="W37" s="23">
        <f t="shared" si="0"/>
        <v>0</v>
      </c>
      <c r="X37" s="23">
        <f t="shared" si="1"/>
        <v>0</v>
      </c>
      <c r="Y37" s="23">
        <f t="shared" si="4"/>
        <v>0</v>
      </c>
      <c r="Z37" s="23">
        <f t="shared" si="2"/>
        <v>0</v>
      </c>
      <c r="AA37" s="23">
        <f t="shared" si="3"/>
        <v>0</v>
      </c>
    </row>
    <row r="38" spans="23:27" x14ac:dyDescent="0.25">
      <c r="W38" s="23">
        <f t="shared" si="0"/>
        <v>0</v>
      </c>
      <c r="X38" s="23">
        <f t="shared" si="1"/>
        <v>0</v>
      </c>
      <c r="Y38" s="23">
        <f t="shared" si="4"/>
        <v>0</v>
      </c>
      <c r="Z38" s="23">
        <f t="shared" si="2"/>
        <v>0</v>
      </c>
      <c r="AA38" s="23">
        <f t="shared" si="3"/>
        <v>0</v>
      </c>
    </row>
    <row r="39" spans="23:27" x14ac:dyDescent="0.25">
      <c r="W39" s="23">
        <f t="shared" si="0"/>
        <v>0</v>
      </c>
      <c r="X39" s="23">
        <f t="shared" si="1"/>
        <v>0</v>
      </c>
      <c r="Y39" s="23">
        <f t="shared" si="4"/>
        <v>0</v>
      </c>
      <c r="Z39" s="23">
        <f t="shared" si="2"/>
        <v>0</v>
      </c>
      <c r="AA39" s="23">
        <f t="shared" si="3"/>
        <v>0</v>
      </c>
    </row>
    <row r="40" spans="23:27" x14ac:dyDescent="0.25">
      <c r="W40" s="23">
        <f t="shared" si="0"/>
        <v>0</v>
      </c>
      <c r="X40" s="23">
        <f t="shared" si="1"/>
        <v>0</v>
      </c>
      <c r="Y40" s="23">
        <f t="shared" si="4"/>
        <v>0</v>
      </c>
      <c r="Z40" s="23">
        <f t="shared" si="2"/>
        <v>0</v>
      </c>
      <c r="AA40" s="23">
        <f t="shared" si="3"/>
        <v>0</v>
      </c>
    </row>
    <row r="41" spans="23:27" x14ac:dyDescent="0.25">
      <c r="W41" s="23">
        <f t="shared" si="0"/>
        <v>0</v>
      </c>
      <c r="X41" s="23">
        <f t="shared" si="1"/>
        <v>0</v>
      </c>
      <c r="Y41" s="23">
        <f t="shared" si="4"/>
        <v>0</v>
      </c>
      <c r="Z41" s="23">
        <f t="shared" si="2"/>
        <v>0</v>
      </c>
      <c r="AA41" s="23">
        <f t="shared" si="3"/>
        <v>0</v>
      </c>
    </row>
    <row r="42" spans="23:27" x14ac:dyDescent="0.25">
      <c r="W42" s="23">
        <f t="shared" si="0"/>
        <v>0</v>
      </c>
      <c r="X42" s="23">
        <f t="shared" si="1"/>
        <v>0</v>
      </c>
      <c r="Y42" s="23">
        <f t="shared" si="4"/>
        <v>0</v>
      </c>
      <c r="Z42" s="23">
        <f t="shared" si="2"/>
        <v>0</v>
      </c>
      <c r="AA42" s="23">
        <f t="shared" si="3"/>
        <v>0</v>
      </c>
    </row>
    <row r="43" spans="23:27" x14ac:dyDescent="0.25">
      <c r="W43" s="23">
        <f t="shared" si="0"/>
        <v>0</v>
      </c>
      <c r="X43" s="23">
        <f t="shared" si="1"/>
        <v>0</v>
      </c>
      <c r="Y43" s="23">
        <f t="shared" si="4"/>
        <v>0</v>
      </c>
      <c r="Z43" s="23">
        <f t="shared" si="2"/>
        <v>0</v>
      </c>
      <c r="AA43" s="23">
        <f t="shared" si="3"/>
        <v>0</v>
      </c>
    </row>
    <row r="44" spans="23:27" x14ac:dyDescent="0.25">
      <c r="W44" s="23">
        <f t="shared" si="0"/>
        <v>0</v>
      </c>
      <c r="X44" s="23">
        <f t="shared" si="1"/>
        <v>0</v>
      </c>
      <c r="Y44" s="23">
        <f t="shared" si="4"/>
        <v>0</v>
      </c>
      <c r="Z44" s="23">
        <f t="shared" si="2"/>
        <v>0</v>
      </c>
      <c r="AA44" s="23">
        <f t="shared" si="3"/>
        <v>0</v>
      </c>
    </row>
    <row r="45" spans="23:27" x14ac:dyDescent="0.25">
      <c r="W45" s="23">
        <f t="shared" si="0"/>
        <v>0</v>
      </c>
      <c r="X45" s="23">
        <f t="shared" si="1"/>
        <v>0</v>
      </c>
      <c r="Y45" s="23">
        <f t="shared" si="4"/>
        <v>0</v>
      </c>
      <c r="Z45" s="23">
        <f t="shared" si="2"/>
        <v>0</v>
      </c>
      <c r="AA45" s="23">
        <f t="shared" si="3"/>
        <v>0</v>
      </c>
    </row>
    <row r="46" spans="23:27" x14ac:dyDescent="0.25">
      <c r="W46" s="23">
        <f t="shared" si="0"/>
        <v>0</v>
      </c>
      <c r="X46" s="23">
        <f t="shared" si="1"/>
        <v>0</v>
      </c>
      <c r="Y46" s="23">
        <f t="shared" si="4"/>
        <v>0</v>
      </c>
      <c r="Z46" s="23">
        <f t="shared" si="2"/>
        <v>0</v>
      </c>
      <c r="AA46" s="23">
        <f t="shared" si="3"/>
        <v>0</v>
      </c>
    </row>
    <row r="47" spans="23:27" x14ac:dyDescent="0.25">
      <c r="W47" s="23">
        <f t="shared" si="0"/>
        <v>0</v>
      </c>
      <c r="X47" s="23">
        <f t="shared" si="1"/>
        <v>0</v>
      </c>
      <c r="Y47" s="23">
        <f t="shared" si="4"/>
        <v>0</v>
      </c>
      <c r="Z47" s="23">
        <f t="shared" si="2"/>
        <v>0</v>
      </c>
      <c r="AA47" s="23">
        <f t="shared" si="3"/>
        <v>0</v>
      </c>
    </row>
    <row r="48" spans="23:27" x14ac:dyDescent="0.25">
      <c r="W48" s="23">
        <f t="shared" si="0"/>
        <v>0</v>
      </c>
      <c r="X48" s="23">
        <f t="shared" si="1"/>
        <v>0</v>
      </c>
      <c r="Y48" s="23">
        <f t="shared" si="4"/>
        <v>0</v>
      </c>
      <c r="Z48" s="23">
        <f t="shared" si="2"/>
        <v>0</v>
      </c>
      <c r="AA48" s="23">
        <f t="shared" si="3"/>
        <v>0</v>
      </c>
    </row>
    <row r="49" spans="23:27" x14ac:dyDescent="0.25">
      <c r="W49" s="23">
        <f t="shared" si="0"/>
        <v>0</v>
      </c>
      <c r="X49" s="23">
        <f t="shared" si="1"/>
        <v>0</v>
      </c>
      <c r="Y49" s="23">
        <f t="shared" si="4"/>
        <v>0</v>
      </c>
      <c r="Z49" s="23">
        <f t="shared" si="2"/>
        <v>0</v>
      </c>
      <c r="AA49" s="23">
        <f t="shared" si="3"/>
        <v>0</v>
      </c>
    </row>
    <row r="50" spans="23:27" x14ac:dyDescent="0.25">
      <c r="W50" s="23">
        <f t="shared" si="0"/>
        <v>0</v>
      </c>
      <c r="X50" s="23">
        <f t="shared" si="1"/>
        <v>0</v>
      </c>
      <c r="Y50" s="23">
        <f t="shared" si="4"/>
        <v>0</v>
      </c>
      <c r="Z50" s="23">
        <f t="shared" si="2"/>
        <v>0</v>
      </c>
      <c r="AA50" s="23">
        <f t="shared" si="3"/>
        <v>0</v>
      </c>
    </row>
    <row r="51" spans="23:27" x14ac:dyDescent="0.25">
      <c r="W51" s="23">
        <f t="shared" si="0"/>
        <v>0</v>
      </c>
      <c r="X51" s="23">
        <f t="shared" si="1"/>
        <v>0</v>
      </c>
      <c r="Y51" s="23">
        <f t="shared" si="4"/>
        <v>0</v>
      </c>
      <c r="Z51" s="23">
        <f t="shared" si="2"/>
        <v>0</v>
      </c>
      <c r="AA51" s="23">
        <f t="shared" si="3"/>
        <v>0</v>
      </c>
    </row>
    <row r="52" spans="23:27" x14ac:dyDescent="0.25">
      <c r="W52" s="23">
        <f t="shared" si="0"/>
        <v>0</v>
      </c>
      <c r="X52" s="23">
        <f t="shared" si="1"/>
        <v>0</v>
      </c>
      <c r="Y52" s="23">
        <f t="shared" si="4"/>
        <v>0</v>
      </c>
      <c r="Z52" s="23">
        <f t="shared" si="2"/>
        <v>0</v>
      </c>
      <c r="AA52" s="23">
        <f t="shared" si="3"/>
        <v>0</v>
      </c>
    </row>
    <row r="53" spans="23:27" x14ac:dyDescent="0.25">
      <c r="W53" s="23">
        <f t="shared" si="0"/>
        <v>0</v>
      </c>
      <c r="X53" s="23">
        <f t="shared" si="1"/>
        <v>0</v>
      </c>
      <c r="Y53" s="23">
        <f t="shared" si="4"/>
        <v>0</v>
      </c>
      <c r="Z53" s="23">
        <f t="shared" si="2"/>
        <v>0</v>
      </c>
      <c r="AA53" s="23">
        <f t="shared" si="3"/>
        <v>0</v>
      </c>
    </row>
    <row r="54" spans="23:27" x14ac:dyDescent="0.25">
      <c r="W54" s="23">
        <f t="shared" si="0"/>
        <v>0</v>
      </c>
      <c r="X54" s="23">
        <f t="shared" si="1"/>
        <v>0</v>
      </c>
      <c r="Y54" s="23">
        <f t="shared" si="4"/>
        <v>0</v>
      </c>
      <c r="Z54" s="23">
        <f t="shared" si="2"/>
        <v>0</v>
      </c>
      <c r="AA54" s="23">
        <f t="shared" si="3"/>
        <v>0</v>
      </c>
    </row>
    <row r="55" spans="23:27" x14ac:dyDescent="0.25">
      <c r="W55" s="23">
        <f t="shared" si="0"/>
        <v>0</v>
      </c>
      <c r="X55" s="23">
        <f t="shared" si="1"/>
        <v>0</v>
      </c>
      <c r="Y55" s="23">
        <f t="shared" si="4"/>
        <v>0</v>
      </c>
      <c r="Z55" s="23">
        <f t="shared" si="2"/>
        <v>0</v>
      </c>
      <c r="AA55" s="23">
        <f t="shared" si="3"/>
        <v>0</v>
      </c>
    </row>
    <row r="56" spans="23:27" x14ac:dyDescent="0.25">
      <c r="W56" s="23">
        <f t="shared" si="0"/>
        <v>0</v>
      </c>
      <c r="X56" s="23">
        <f t="shared" si="1"/>
        <v>0</v>
      </c>
      <c r="Y56" s="23">
        <f t="shared" si="4"/>
        <v>0</v>
      </c>
      <c r="Z56" s="23">
        <f t="shared" si="2"/>
        <v>0</v>
      </c>
      <c r="AA56" s="23">
        <f t="shared" si="3"/>
        <v>0</v>
      </c>
    </row>
    <row r="57" spans="23:27" x14ac:dyDescent="0.25">
      <c r="W57" s="23">
        <f t="shared" si="0"/>
        <v>0</v>
      </c>
      <c r="X57" s="23">
        <f t="shared" si="1"/>
        <v>0</v>
      </c>
      <c r="Y57" s="23">
        <f t="shared" si="4"/>
        <v>0</v>
      </c>
      <c r="Z57" s="23">
        <f t="shared" si="2"/>
        <v>0</v>
      </c>
      <c r="AA57" s="23">
        <f t="shared" si="3"/>
        <v>0</v>
      </c>
    </row>
    <row r="58" spans="23:27" x14ac:dyDescent="0.25">
      <c r="W58" s="23">
        <f t="shared" si="0"/>
        <v>0</v>
      </c>
      <c r="X58" s="23">
        <f t="shared" si="1"/>
        <v>0</v>
      </c>
      <c r="Y58" s="23">
        <f t="shared" si="4"/>
        <v>0</v>
      </c>
      <c r="Z58" s="23">
        <f t="shared" si="2"/>
        <v>0</v>
      </c>
      <c r="AA58" s="23">
        <f t="shared" si="3"/>
        <v>0</v>
      </c>
    </row>
    <row r="59" spans="23:27" x14ac:dyDescent="0.25">
      <c r="W59" s="23">
        <f t="shared" si="0"/>
        <v>0</v>
      </c>
      <c r="X59" s="23">
        <f t="shared" si="1"/>
        <v>0</v>
      </c>
      <c r="Y59" s="23">
        <f t="shared" si="4"/>
        <v>0</v>
      </c>
      <c r="Z59" s="23">
        <f t="shared" si="2"/>
        <v>0</v>
      </c>
      <c r="AA59" s="23">
        <f t="shared" si="3"/>
        <v>0</v>
      </c>
    </row>
    <row r="60" spans="23:27" x14ac:dyDescent="0.25">
      <c r="W60" s="23">
        <f t="shared" si="0"/>
        <v>0</v>
      </c>
      <c r="X60" s="23">
        <f t="shared" si="1"/>
        <v>0</v>
      </c>
      <c r="Y60" s="23">
        <f t="shared" si="4"/>
        <v>0</v>
      </c>
      <c r="Z60" s="23">
        <f t="shared" si="2"/>
        <v>0</v>
      </c>
      <c r="AA60" s="23">
        <f t="shared" si="3"/>
        <v>0</v>
      </c>
    </row>
    <row r="61" spans="23:27" x14ac:dyDescent="0.25">
      <c r="W61" s="23">
        <f t="shared" si="0"/>
        <v>0</v>
      </c>
      <c r="X61" s="23">
        <f t="shared" si="1"/>
        <v>0</v>
      </c>
      <c r="Y61" s="23">
        <f t="shared" si="4"/>
        <v>0</v>
      </c>
      <c r="Z61" s="23">
        <f t="shared" si="2"/>
        <v>0</v>
      </c>
      <c r="AA61" s="23">
        <f t="shared" si="3"/>
        <v>0</v>
      </c>
    </row>
    <row r="62" spans="23:27" x14ac:dyDescent="0.25">
      <c r="W62" s="23">
        <f t="shared" si="0"/>
        <v>0</v>
      </c>
      <c r="X62" s="23">
        <f t="shared" si="1"/>
        <v>0</v>
      </c>
      <c r="Y62" s="23">
        <f t="shared" si="4"/>
        <v>0</v>
      </c>
      <c r="Z62" s="23">
        <f t="shared" si="2"/>
        <v>0</v>
      </c>
      <c r="AA62" s="23">
        <f t="shared" si="3"/>
        <v>0</v>
      </c>
    </row>
    <row r="63" spans="23:27" x14ac:dyDescent="0.25">
      <c r="W63" s="23">
        <f t="shared" si="0"/>
        <v>0</v>
      </c>
      <c r="X63" s="23">
        <f t="shared" si="1"/>
        <v>0</v>
      </c>
      <c r="Y63" s="23">
        <f t="shared" si="4"/>
        <v>0</v>
      </c>
      <c r="Z63" s="23">
        <f t="shared" si="2"/>
        <v>0</v>
      </c>
      <c r="AA63" s="23">
        <f t="shared" si="3"/>
        <v>0</v>
      </c>
    </row>
    <row r="64" spans="23:27" x14ac:dyDescent="0.25">
      <c r="W64" s="23">
        <f t="shared" si="0"/>
        <v>0</v>
      </c>
      <c r="X64" s="23">
        <f t="shared" si="1"/>
        <v>0</v>
      </c>
      <c r="Y64" s="23">
        <f t="shared" si="4"/>
        <v>0</v>
      </c>
      <c r="Z64" s="23">
        <f t="shared" si="2"/>
        <v>0</v>
      </c>
      <c r="AA64" s="23">
        <f t="shared" si="3"/>
        <v>0</v>
      </c>
    </row>
    <row r="65" spans="23:27" x14ac:dyDescent="0.25">
      <c r="W65" s="23">
        <f t="shared" si="0"/>
        <v>0</v>
      </c>
      <c r="X65" s="23">
        <f t="shared" si="1"/>
        <v>0</v>
      </c>
      <c r="Y65" s="23">
        <f t="shared" si="4"/>
        <v>0</v>
      </c>
      <c r="Z65" s="23">
        <f t="shared" si="2"/>
        <v>0</v>
      </c>
      <c r="AA65" s="23">
        <f t="shared" si="3"/>
        <v>0</v>
      </c>
    </row>
    <row r="66" spans="23:27" x14ac:dyDescent="0.25">
      <c r="W66" s="23">
        <f t="shared" si="0"/>
        <v>0</v>
      </c>
      <c r="X66" s="23">
        <f t="shared" si="1"/>
        <v>0</v>
      </c>
      <c r="Y66" s="23">
        <f t="shared" si="4"/>
        <v>0</v>
      </c>
      <c r="Z66" s="23">
        <f t="shared" si="2"/>
        <v>0</v>
      </c>
      <c r="AA66" s="23">
        <f t="shared" si="3"/>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872FA-B119-41CB-AFF5-FFFAD31C9509}">
  <sheetPr>
    <tabColor theme="9" tint="0.59999389629810485"/>
  </sheetPr>
  <dimension ref="A3:CJ66"/>
  <sheetViews>
    <sheetView showGridLines="0" zoomScale="84" workbookViewId="0">
      <selection activeCell="AI8" sqref="AI8"/>
    </sheetView>
  </sheetViews>
  <sheetFormatPr defaultRowHeight="15" x14ac:dyDescent="0.25"/>
  <cols>
    <col min="2" max="2" width="12.28515625" bestFit="1" customWidth="1"/>
    <col min="3" max="3" width="12.5703125" bestFit="1" customWidth="1"/>
    <col min="4" max="4" width="9.5703125" bestFit="1" customWidth="1"/>
    <col min="8" max="8" width="13.42578125" bestFit="1" customWidth="1"/>
    <col min="9" max="9" width="14.85546875" bestFit="1" customWidth="1"/>
    <col min="10" max="10" width="9.7109375" bestFit="1" customWidth="1"/>
    <col min="13" max="13" width="18.42578125" bestFit="1" customWidth="1"/>
    <col min="14" max="14" width="23.42578125" bestFit="1" customWidth="1"/>
    <col min="15" max="15" width="20.7109375" bestFit="1" customWidth="1"/>
    <col min="18" max="18" width="8.7109375" bestFit="1" customWidth="1"/>
    <col min="19" max="19" width="8.28515625" bestFit="1" customWidth="1"/>
    <col min="20" max="20" width="12.7109375" bestFit="1" customWidth="1"/>
    <col min="21" max="21" width="8.5703125" bestFit="1" customWidth="1"/>
    <col min="27" max="27" width="16" bestFit="1" customWidth="1"/>
    <col min="28" max="28" width="18.28515625" bestFit="1" customWidth="1"/>
    <col min="29" max="29" width="12" bestFit="1" customWidth="1"/>
    <col min="30" max="30" width="14.7109375" bestFit="1" customWidth="1"/>
    <col min="31" max="31" width="10.85546875" bestFit="1" customWidth="1"/>
    <col min="33" max="33" width="13.42578125" bestFit="1" customWidth="1"/>
    <col min="34" max="34" width="11.85546875" bestFit="1" customWidth="1"/>
    <col min="35" max="35" width="21.7109375" bestFit="1" customWidth="1"/>
    <col min="36" max="36" width="19.42578125" bestFit="1" customWidth="1"/>
    <col min="37" max="37" width="10.7109375" bestFit="1" customWidth="1"/>
    <col min="38" max="38" width="13.42578125" bestFit="1" customWidth="1"/>
    <col min="39" max="39" width="17" bestFit="1" customWidth="1"/>
    <col min="40" max="40" width="12.5703125" bestFit="1" customWidth="1"/>
    <col min="41" max="41" width="20.85546875" bestFit="1" customWidth="1"/>
    <col min="42" max="42" width="18.140625" bestFit="1" customWidth="1"/>
    <col min="43" max="43" width="16" bestFit="1" customWidth="1"/>
    <col min="44" max="44" width="23.7109375" bestFit="1" customWidth="1"/>
    <col min="45" max="46" width="22.28515625" bestFit="1" customWidth="1"/>
    <col min="48" max="48" width="13.42578125" bestFit="1" customWidth="1"/>
    <col min="49" max="49" width="14.85546875" bestFit="1" customWidth="1"/>
    <col min="52" max="52" width="17.42578125" bestFit="1" customWidth="1"/>
    <col min="53" max="53" width="13.7109375" bestFit="1" customWidth="1"/>
    <col min="55" max="55" width="13.42578125" bestFit="1" customWidth="1"/>
    <col min="56" max="56" width="15.42578125" bestFit="1" customWidth="1"/>
    <col min="57" max="57" width="13.7109375" bestFit="1" customWidth="1"/>
    <col min="58" max="58" width="8.42578125" bestFit="1" customWidth="1"/>
    <col min="59" max="59" width="3.85546875" bestFit="1" customWidth="1"/>
    <col min="60" max="60" width="4.28515625" bestFit="1" customWidth="1"/>
    <col min="61" max="61" width="5" bestFit="1" customWidth="1"/>
    <col min="62" max="62" width="12.85546875" bestFit="1" customWidth="1"/>
    <col min="63" max="63" width="13.42578125" bestFit="1" customWidth="1"/>
    <col min="64" max="64" width="11.85546875" bestFit="1" customWidth="1"/>
    <col min="65" max="65" width="21.7109375" bestFit="1" customWidth="1"/>
    <col min="66" max="66" width="20.140625" customWidth="1"/>
    <col min="67" max="67" width="6.85546875" customWidth="1"/>
    <col min="68" max="68" width="5.7109375" customWidth="1"/>
    <col min="69" max="70" width="5.85546875" customWidth="1"/>
    <col min="71" max="71" width="7.7109375" bestFit="1" customWidth="1"/>
    <col min="72" max="72" width="12.7109375" bestFit="1" customWidth="1"/>
    <col min="73" max="74" width="4.140625" bestFit="1" customWidth="1"/>
    <col min="75" max="75" width="13.42578125" bestFit="1" customWidth="1"/>
    <col min="76" max="76" width="25.7109375" bestFit="1" customWidth="1"/>
    <col min="77" max="77" width="35" bestFit="1" customWidth="1"/>
    <col min="78" max="78" width="16.85546875" bestFit="1" customWidth="1"/>
    <col min="79" max="79" width="19.140625" bestFit="1" customWidth="1"/>
    <col min="80" max="80" width="19.7109375" bestFit="1" customWidth="1"/>
    <col min="81" max="81" width="4" bestFit="1" customWidth="1"/>
    <col min="82" max="83" width="4.28515625" bestFit="1" customWidth="1"/>
    <col min="84" max="84" width="18.85546875" bestFit="1" customWidth="1"/>
    <col min="85" max="85" width="15.85546875" bestFit="1" customWidth="1"/>
    <col min="86" max="86" width="20.140625" bestFit="1" customWidth="1"/>
    <col min="90" max="90" width="14.7109375" bestFit="1" customWidth="1"/>
    <col min="91" max="91" width="18.7109375" bestFit="1" customWidth="1"/>
    <col min="92" max="92" width="3" bestFit="1" customWidth="1"/>
    <col min="93" max="93" width="2" bestFit="1" customWidth="1"/>
  </cols>
  <sheetData>
    <row r="3" spans="1:88" ht="16.5" thickBot="1" x14ac:dyDescent="0.3">
      <c r="B3" s="46" t="s">
        <v>226</v>
      </c>
      <c r="C3" s="46"/>
      <c r="D3" s="46"/>
      <c r="F3" s="10"/>
      <c r="H3" s="46" t="s">
        <v>238</v>
      </c>
      <c r="I3" s="46"/>
      <c r="J3" s="46"/>
      <c r="K3" s="10"/>
      <c r="M3" s="46" t="s">
        <v>4</v>
      </c>
      <c r="N3" s="46"/>
      <c r="O3" s="46"/>
      <c r="P3" s="10"/>
      <c r="S3" s="46" t="s">
        <v>243</v>
      </c>
      <c r="T3" s="46"/>
      <c r="U3" s="46"/>
      <c r="Y3" s="10"/>
      <c r="AB3" s="46" t="s">
        <v>230</v>
      </c>
      <c r="AC3" s="46"/>
      <c r="AD3" s="46"/>
      <c r="AE3" s="10"/>
      <c r="AG3" s="46" t="s">
        <v>253</v>
      </c>
      <c r="AH3" s="46"/>
      <c r="AI3" s="46"/>
      <c r="AJ3" s="10"/>
      <c r="AM3" s="46" t="s">
        <v>260</v>
      </c>
      <c r="AN3" s="46"/>
      <c r="AO3" s="46"/>
      <c r="AP3" s="29">
        <f>SUM(AO11:AR11)</f>
        <v>1704</v>
      </c>
      <c r="AQ3" s="39" t="s">
        <v>285</v>
      </c>
      <c r="CE3" s="37"/>
    </row>
    <row r="4" spans="1:88" ht="16.5" thickTop="1" thickBot="1" x14ac:dyDescent="0.3">
      <c r="F4" s="10"/>
      <c r="K4" s="10"/>
      <c r="P4" s="10"/>
      <c r="Y4" s="10"/>
      <c r="AE4" s="10"/>
      <c r="AJ4" s="10"/>
      <c r="AS4" s="37"/>
      <c r="AU4" s="45" t="s">
        <v>262</v>
      </c>
      <c r="AV4" s="45"/>
      <c r="AW4" s="45"/>
      <c r="AX4" s="37"/>
      <c r="AY4" s="44" t="s">
        <v>284</v>
      </c>
      <c r="AZ4" s="44"/>
      <c r="BA4" s="44"/>
      <c r="BC4" s="39"/>
      <c r="BG4" s="37"/>
      <c r="CE4" s="37"/>
    </row>
    <row r="5" spans="1:88" ht="16.149999999999999" customHeight="1" thickTop="1" thickBot="1" x14ac:dyDescent="0.3">
      <c r="B5" s="26" t="s">
        <v>218</v>
      </c>
      <c r="C5" s="26" t="s">
        <v>227</v>
      </c>
      <c r="D5" s="26" t="s">
        <v>228</v>
      </c>
      <c r="F5" s="10"/>
      <c r="H5" s="26" t="s">
        <v>239</v>
      </c>
      <c r="K5" s="10"/>
      <c r="M5" s="26" t="s">
        <v>240</v>
      </c>
      <c r="O5" s="26" t="s">
        <v>241</v>
      </c>
      <c r="P5" s="10"/>
      <c r="R5" s="26" t="s">
        <v>219</v>
      </c>
      <c r="S5" s="26" t="s">
        <v>220</v>
      </c>
      <c r="T5" s="34" t="s">
        <v>221</v>
      </c>
      <c r="U5" s="26" t="s">
        <v>222</v>
      </c>
      <c r="Y5" s="10"/>
      <c r="AA5" s="26" t="s">
        <v>41</v>
      </c>
      <c r="AB5" s="26" t="s">
        <v>223</v>
      </c>
      <c r="AC5" s="26" t="s">
        <v>225</v>
      </c>
      <c r="AD5" s="34" t="s">
        <v>252</v>
      </c>
      <c r="AE5" s="10"/>
      <c r="AJ5" s="10"/>
      <c r="AM5" s="34" t="s">
        <v>43</v>
      </c>
      <c r="AN5" s="34" t="s">
        <v>44</v>
      </c>
      <c r="AO5" s="34" t="s">
        <v>46</v>
      </c>
      <c r="AP5" s="34" t="s">
        <v>48</v>
      </c>
      <c r="AQ5" s="34" t="s">
        <v>50</v>
      </c>
      <c r="AR5" s="34" t="s">
        <v>261</v>
      </c>
      <c r="AS5" s="37"/>
      <c r="AX5" s="37"/>
      <c r="BA5" s="37"/>
      <c r="BC5" s="45" t="s">
        <v>2</v>
      </c>
      <c r="BD5" s="45"/>
      <c r="BE5" s="45"/>
      <c r="BG5" s="37"/>
      <c r="BL5" s="45" t="s">
        <v>273</v>
      </c>
      <c r="BM5" s="45"/>
      <c r="BN5" s="45"/>
      <c r="BT5" s="37"/>
      <c r="BY5" s="45" t="s">
        <v>232</v>
      </c>
      <c r="BZ5" s="45"/>
      <c r="CA5" s="45"/>
      <c r="CE5" s="37"/>
      <c r="CH5" s="45" t="s">
        <v>5</v>
      </c>
      <c r="CI5" s="45"/>
      <c r="CJ5" s="45"/>
    </row>
    <row r="6" spans="1:88" ht="28.15" customHeight="1" thickTop="1" x14ac:dyDescent="0.25">
      <c r="A6" s="25"/>
      <c r="B6" s="29">
        <f>GETPIVOTDATA("Sum of Rate",$B$9)</f>
        <v>359038</v>
      </c>
      <c r="C6" s="29">
        <f>GETPIVOTDATA("Sum of Total Expenses",$B$9)</f>
        <v>93323</v>
      </c>
      <c r="D6" s="30">
        <f>GETPIVOTDATA("Sum of Balance",$B$9)</f>
        <v>265715</v>
      </c>
      <c r="F6" s="10"/>
      <c r="H6" s="29">
        <f>GETPIVOTDATA("Balance",$H$9)</f>
        <v>265715</v>
      </c>
      <c r="K6" s="10"/>
      <c r="M6" s="33">
        <f>IFERROR(GETPIVOTDATA("Customer Type",$M$9,"Customer Type","New Customer"),0)</f>
        <v>11</v>
      </c>
      <c r="N6" s="16"/>
      <c r="O6" s="33">
        <f>IFERROR(GETPIVOTDATA("Customer Type",$M$9,"Customer Type","Retaining Customer"),0)</f>
        <v>50</v>
      </c>
      <c r="P6" s="10"/>
      <c r="R6" s="29">
        <f>GETPIVOTDATA("Sum of Insurance",$R$9)</f>
        <v>7920</v>
      </c>
      <c r="S6" s="29">
        <f>GETPIVOTDATA("Sum of Fuel",$R$9)</f>
        <v>23720</v>
      </c>
      <c r="T6" s="29">
        <f>GETPIVOTDATA("Sum of Diesel Exhaust Fluid",$R$9)</f>
        <v>3164</v>
      </c>
      <c r="U6" s="29">
        <f>GETPIVOTDATA("Sum of Advance",$R$9)</f>
        <v>15250</v>
      </c>
      <c r="W6" s="23"/>
      <c r="X6" s="23"/>
      <c r="Y6" s="10"/>
      <c r="AA6" s="29">
        <f>GETPIVOTDATA("Sum of Fundings",$AA$9)</f>
        <v>1196</v>
      </c>
      <c r="AB6" s="29">
        <f>GETPIVOTDATA("Sum of Warehouse",$AA$9)</f>
        <v>7785</v>
      </c>
      <c r="AC6" s="29">
        <f>GETPIVOTDATA("Sum of Tolls",$AA$9)</f>
        <v>7372</v>
      </c>
      <c r="AD6" s="29">
        <f>GETPIVOTDATA("Sum of Repairs",$AA$9)</f>
        <v>2215</v>
      </c>
      <c r="AE6" s="10"/>
      <c r="AJ6" s="10"/>
      <c r="AM6" s="33">
        <f>GETPIVOTDATA("Sum of Odometer",$AL$9)</f>
        <v>18147</v>
      </c>
      <c r="AN6" s="33">
        <f>GETPIVOTDATA("Sum of Miles",$AL$9)</f>
        <v>21353</v>
      </c>
      <c r="AO6" s="29">
        <f>GETPIVOTDATA("Sum of Rate Per Miles",$AL$9)</f>
        <v>14944</v>
      </c>
      <c r="AP6" s="29">
        <f>GETPIVOTDATA("Sum of Extra Stops",$AL$9)</f>
        <v>6100</v>
      </c>
      <c r="AQ6" s="29">
        <f>GETPIVOTDATA("Sum of Extra Pay",$AL$9)</f>
        <v>1546</v>
      </c>
      <c r="AR6" s="29">
        <f>GETPIVOTDATA("Sum of Costs Driver Paid",$AL$9)</f>
        <v>3498</v>
      </c>
      <c r="AS6" s="37"/>
      <c r="AX6" s="37"/>
      <c r="BA6" s="37"/>
      <c r="BC6" s="41" t="s">
        <v>16</v>
      </c>
      <c r="BD6" s="41" t="s">
        <v>12</v>
      </c>
      <c r="BE6" s="41" t="s">
        <v>7</v>
      </c>
      <c r="BF6" s="41" t="s">
        <v>265</v>
      </c>
      <c r="BG6" s="37"/>
      <c r="BT6" s="37"/>
      <c r="CE6" s="37"/>
    </row>
    <row r="7" spans="1:88" ht="15.75" x14ac:dyDescent="0.25">
      <c r="B7" s="28">
        <f>B6/SUM(B6:C6)</f>
        <v>0.79369795362553364</v>
      </c>
      <c r="C7" s="28">
        <f>C6/SUM(B6:C6)</f>
        <v>0.20630204637446642</v>
      </c>
      <c r="F7" s="10"/>
      <c r="K7" s="10"/>
      <c r="P7" s="10"/>
      <c r="W7" s="23"/>
      <c r="X7" s="23"/>
      <c r="Y7" s="10"/>
      <c r="AE7" s="10"/>
      <c r="AJ7" s="10"/>
      <c r="AS7" s="37"/>
      <c r="AX7" s="37"/>
      <c r="BA7" s="37"/>
      <c r="BB7" t="s">
        <v>267</v>
      </c>
      <c r="BC7" s="40">
        <f>IFERROR(GETPIVOTDATA("Tonnage",$BC$9,"Load","Iron"),0)</f>
        <v>235.8</v>
      </c>
      <c r="BD7" s="40">
        <f>IFERROR(GETPIVOTDATA("Sum of Tonnage",$BC$9,"Load","Sand"),0)</f>
        <v>283.89999999999998</v>
      </c>
      <c r="BE7" s="40">
        <f>IFERROR(GETPIVOTDATA("Sum of Tonnage",$BC$9,"Load","Wood"),0)</f>
        <v>528.09999999999991</v>
      </c>
      <c r="BF7" s="40">
        <f>SUM(BC7:BE7)</f>
        <v>1047.8</v>
      </c>
      <c r="BG7" s="37"/>
      <c r="BT7" s="37"/>
      <c r="CE7" s="37"/>
    </row>
    <row r="8" spans="1:88" ht="15.75" x14ac:dyDescent="0.25">
      <c r="F8" s="10"/>
      <c r="K8" s="10"/>
      <c r="P8" s="10"/>
      <c r="W8" s="23"/>
      <c r="X8" s="23"/>
      <c r="Y8" s="10"/>
      <c r="AE8" s="10"/>
      <c r="AJ8" s="10"/>
      <c r="AS8" s="37"/>
      <c r="AX8" s="37"/>
      <c r="BA8" s="37"/>
      <c r="BB8" t="s">
        <v>266</v>
      </c>
      <c r="BC8" s="27">
        <f>IFERROR(GETPIVOTDATA("Count of Load",$BC$9,"Load","Iron"),0)</f>
        <v>13</v>
      </c>
      <c r="BD8" s="27">
        <f>IFERROR(GETPIVOTDATA("Count of Load",$BC$9,"Load","Sand"),0)</f>
        <v>17</v>
      </c>
      <c r="BE8" s="27">
        <f>IFERROR(GETPIVOTDATA("Count of Load",$BC$9,"Load","Wood"),0)</f>
        <v>31</v>
      </c>
      <c r="BF8" s="27">
        <f>SUM(BC8:BE8)</f>
        <v>61</v>
      </c>
      <c r="BG8" s="37"/>
      <c r="BT8" s="37"/>
      <c r="CE8" s="37"/>
    </row>
    <row r="9" spans="1:88" ht="60" x14ac:dyDescent="0.25">
      <c r="B9" s="24" t="s">
        <v>233</v>
      </c>
      <c r="C9" s="24" t="s">
        <v>234</v>
      </c>
      <c r="D9" s="24" t="s">
        <v>235</v>
      </c>
      <c r="F9" s="10"/>
      <c r="H9" s="31" t="s">
        <v>236</v>
      </c>
      <c r="I9" t="s">
        <v>235</v>
      </c>
      <c r="K9" s="10"/>
      <c r="M9" s="31" t="s">
        <v>236</v>
      </c>
      <c r="N9" t="s">
        <v>242</v>
      </c>
      <c r="P9" s="10"/>
      <c r="R9" s="36" t="s">
        <v>247</v>
      </c>
      <c r="S9" s="35" t="s">
        <v>244</v>
      </c>
      <c r="T9" s="36" t="s">
        <v>245</v>
      </c>
      <c r="U9" s="35" t="s">
        <v>246</v>
      </c>
      <c r="W9" s="23"/>
      <c r="X9" s="23"/>
      <c r="Y9" s="10"/>
      <c r="AA9" t="s">
        <v>250</v>
      </c>
      <c r="AB9" t="s">
        <v>248</v>
      </c>
      <c r="AC9" t="s">
        <v>251</v>
      </c>
      <c r="AD9" t="s">
        <v>249</v>
      </c>
      <c r="AE9" s="10"/>
      <c r="AG9" s="31" t="s">
        <v>236</v>
      </c>
      <c r="AH9" t="s">
        <v>233</v>
      </c>
      <c r="AI9" t="s">
        <v>234</v>
      </c>
      <c r="AJ9" s="10"/>
      <c r="AL9" s="31" t="s">
        <v>236</v>
      </c>
      <c r="AM9" t="s">
        <v>254</v>
      </c>
      <c r="AN9" t="s">
        <v>255</v>
      </c>
      <c r="AO9" t="s">
        <v>256</v>
      </c>
      <c r="AP9" t="s">
        <v>257</v>
      </c>
      <c r="AQ9" t="s">
        <v>258</v>
      </c>
      <c r="AR9" t="s">
        <v>259</v>
      </c>
      <c r="AS9" s="37"/>
      <c r="AV9" s="31" t="s">
        <v>236</v>
      </c>
      <c r="AW9" t="s">
        <v>235</v>
      </c>
      <c r="AX9" s="37"/>
      <c r="AZ9" s="31" t="s">
        <v>236</v>
      </c>
      <c r="BA9" s="37"/>
      <c r="BC9" s="31" t="s">
        <v>236</v>
      </c>
      <c r="BD9" t="s">
        <v>264</v>
      </c>
      <c r="BE9" t="s">
        <v>263</v>
      </c>
      <c r="BG9" s="37"/>
      <c r="BK9" s="31" t="s">
        <v>236</v>
      </c>
      <c r="BL9" t="s">
        <v>233</v>
      </c>
      <c r="BM9" t="s">
        <v>234</v>
      </c>
      <c r="BP9" t="s">
        <v>269</v>
      </c>
      <c r="BQ9" t="s">
        <v>270</v>
      </c>
      <c r="BR9" t="s">
        <v>272</v>
      </c>
      <c r="BS9" t="s">
        <v>271</v>
      </c>
      <c r="BT9" s="37" t="s">
        <v>227</v>
      </c>
      <c r="BW9" s="31" t="s">
        <v>236</v>
      </c>
      <c r="BX9" t="s">
        <v>274</v>
      </c>
      <c r="BY9" t="s">
        <v>275</v>
      </c>
      <c r="BZ9" t="s">
        <v>276</v>
      </c>
      <c r="CA9" t="s">
        <v>277</v>
      </c>
      <c r="CB9" t="s">
        <v>278</v>
      </c>
      <c r="CE9" s="37"/>
      <c r="CG9" s="31" t="s">
        <v>236</v>
      </c>
      <c r="CH9" t="s">
        <v>282</v>
      </c>
      <c r="CJ9" t="s">
        <v>283</v>
      </c>
    </row>
    <row r="10" spans="1:88" ht="15.75" x14ac:dyDescent="0.25">
      <c r="B10" s="47">
        <v>359038</v>
      </c>
      <c r="C10" s="47">
        <v>93323</v>
      </c>
      <c r="D10" s="47">
        <v>265715</v>
      </c>
      <c r="F10" s="10"/>
      <c r="H10" s="32" t="s">
        <v>6</v>
      </c>
      <c r="I10" s="47">
        <v>13468</v>
      </c>
      <c r="K10" s="10"/>
      <c r="M10" s="32" t="s">
        <v>17</v>
      </c>
      <c r="N10" s="47">
        <v>11</v>
      </c>
      <c r="P10" s="10"/>
      <c r="R10" s="47">
        <v>7920</v>
      </c>
      <c r="S10" s="47">
        <v>23720</v>
      </c>
      <c r="T10" s="47">
        <v>3164</v>
      </c>
      <c r="U10" s="47">
        <v>15250</v>
      </c>
      <c r="W10" s="23"/>
      <c r="X10" s="23"/>
      <c r="Y10" s="10"/>
      <c r="AA10" s="47">
        <v>1196</v>
      </c>
      <c r="AB10" s="47">
        <v>7785</v>
      </c>
      <c r="AC10" s="47">
        <v>7372</v>
      </c>
      <c r="AD10" s="47">
        <v>2215</v>
      </c>
      <c r="AE10" s="10"/>
      <c r="AG10" s="32" t="s">
        <v>6</v>
      </c>
      <c r="AH10" s="47">
        <v>16668</v>
      </c>
      <c r="AI10" s="47">
        <v>3200</v>
      </c>
      <c r="AJ10" s="10"/>
      <c r="AL10" s="32" t="s">
        <v>6</v>
      </c>
      <c r="AM10" s="47">
        <v>885</v>
      </c>
      <c r="AN10" s="47">
        <v>1029</v>
      </c>
      <c r="AO10" s="47">
        <v>720</v>
      </c>
      <c r="AP10" s="47">
        <v>300</v>
      </c>
      <c r="AQ10" s="47">
        <v>66</v>
      </c>
      <c r="AR10" s="47">
        <v>162</v>
      </c>
      <c r="AS10" s="37"/>
      <c r="AV10" s="32" t="s">
        <v>6</v>
      </c>
      <c r="AW10" s="47">
        <v>13468</v>
      </c>
      <c r="AX10" s="37"/>
      <c r="AZ10" s="32" t="s">
        <v>75</v>
      </c>
      <c r="BA10" s="37"/>
      <c r="BC10" s="32" t="s">
        <v>16</v>
      </c>
      <c r="BD10" s="48">
        <v>235.8</v>
      </c>
      <c r="BE10" s="48">
        <v>13</v>
      </c>
      <c r="BG10" s="37"/>
      <c r="BK10" s="32" t="s">
        <v>6</v>
      </c>
      <c r="BL10" s="47">
        <v>16668</v>
      </c>
      <c r="BM10" s="47">
        <v>3200</v>
      </c>
      <c r="BN10" s="27"/>
      <c r="BO10" s="32" t="s">
        <v>6</v>
      </c>
      <c r="BP10" s="32">
        <v>1</v>
      </c>
      <c r="BQ10" s="32">
        <v>1</v>
      </c>
      <c r="BR10" s="32">
        <v>0.3</v>
      </c>
      <c r="BS10" s="27">
        <f>GETPIVOTDATA("Sum of Rate",$BK$9,"Month","Jan")</f>
        <v>16668</v>
      </c>
      <c r="BT10" s="42">
        <f>GETPIVOTDATA("Sum of Total Expenses",$BK$9,"Month","Jan")</f>
        <v>3200</v>
      </c>
      <c r="BW10" s="32" t="s">
        <v>6</v>
      </c>
      <c r="BX10" s="47">
        <v>2166</v>
      </c>
      <c r="BY10" s="47">
        <v>3333</v>
      </c>
      <c r="BZ10" s="47">
        <v>2835</v>
      </c>
      <c r="CA10" s="47">
        <v>4167</v>
      </c>
      <c r="CB10" s="47">
        <v>5001</v>
      </c>
      <c r="CE10" s="37"/>
      <c r="CG10" s="32" t="s">
        <v>18</v>
      </c>
      <c r="CH10" s="48">
        <v>4</v>
      </c>
      <c r="CJ10" s="43">
        <f>GETPIVOTDATA("Destination",$CG$9)</f>
        <v>61</v>
      </c>
    </row>
    <row r="11" spans="1:88" ht="15.75" x14ac:dyDescent="0.25">
      <c r="F11" s="10"/>
      <c r="H11" s="32" t="s">
        <v>11</v>
      </c>
      <c r="I11" s="47">
        <v>12138</v>
      </c>
      <c r="K11" s="10"/>
      <c r="M11" s="32" t="s">
        <v>8</v>
      </c>
      <c r="N11" s="47">
        <v>50</v>
      </c>
      <c r="P11" s="10"/>
      <c r="W11" s="23"/>
      <c r="X11" s="23"/>
      <c r="Y11" s="10"/>
      <c r="AE11" s="10"/>
      <c r="AG11" s="32" t="s">
        <v>11</v>
      </c>
      <c r="AH11" s="47">
        <v>18268</v>
      </c>
      <c r="AI11" s="47">
        <v>6130</v>
      </c>
      <c r="AJ11" s="10"/>
      <c r="AL11" s="32" t="s">
        <v>11</v>
      </c>
      <c r="AM11" s="47">
        <v>1180</v>
      </c>
      <c r="AN11" s="47">
        <v>1416</v>
      </c>
      <c r="AO11" s="47">
        <v>992</v>
      </c>
      <c r="AP11" s="47">
        <v>400</v>
      </c>
      <c r="AQ11" s="47">
        <v>92</v>
      </c>
      <c r="AR11" s="47">
        <v>220</v>
      </c>
      <c r="AS11" s="37"/>
      <c r="AV11" s="32" t="s">
        <v>11</v>
      </c>
      <c r="AW11" s="47">
        <v>12138</v>
      </c>
      <c r="AX11" s="37"/>
      <c r="AZ11" s="32" t="s">
        <v>85</v>
      </c>
      <c r="BA11" s="37"/>
      <c r="BC11" s="32" t="s">
        <v>12</v>
      </c>
      <c r="BD11" s="48">
        <v>283.89999999999998</v>
      </c>
      <c r="BE11" s="48">
        <v>17</v>
      </c>
      <c r="BG11" s="37"/>
      <c r="BK11" s="32" t="s">
        <v>11</v>
      </c>
      <c r="BL11" s="47">
        <v>18268</v>
      </c>
      <c r="BM11" s="47">
        <v>6130</v>
      </c>
      <c r="BN11" s="27"/>
      <c r="BO11" s="32" t="s">
        <v>11</v>
      </c>
      <c r="BP11" s="32">
        <v>2</v>
      </c>
      <c r="BQ11" s="32">
        <v>1.2</v>
      </c>
      <c r="BR11" s="32">
        <v>0.5</v>
      </c>
      <c r="BS11" s="27">
        <f>GETPIVOTDATA("Sum of Rate",$BK$9,"Month","Feb")</f>
        <v>18268</v>
      </c>
      <c r="BT11" s="42">
        <f>GETPIVOTDATA("Sum of Total Expenses",$BK$9,"Month","Feb")</f>
        <v>6130</v>
      </c>
      <c r="BW11" s="32" t="s">
        <v>11</v>
      </c>
      <c r="BX11" s="47">
        <v>2376</v>
      </c>
      <c r="BY11" s="47">
        <v>3652</v>
      </c>
      <c r="BZ11" s="47">
        <v>3104</v>
      </c>
      <c r="CA11" s="47">
        <v>4568</v>
      </c>
      <c r="CB11" s="47">
        <v>5480</v>
      </c>
      <c r="CE11" s="37"/>
      <c r="CG11" s="32" t="s">
        <v>9</v>
      </c>
      <c r="CH11" s="48">
        <v>6</v>
      </c>
    </row>
    <row r="12" spans="1:88" ht="15.75" x14ac:dyDescent="0.25">
      <c r="F12" s="10"/>
      <c r="H12" s="32" t="s">
        <v>15</v>
      </c>
      <c r="I12" s="47">
        <v>9472</v>
      </c>
      <c r="K12" s="10"/>
      <c r="M12" s="32" t="s">
        <v>237</v>
      </c>
      <c r="N12" s="47">
        <v>61</v>
      </c>
      <c r="P12" s="10"/>
      <c r="W12" s="23"/>
      <c r="X12" s="23"/>
      <c r="Y12" s="10"/>
      <c r="AE12" s="10"/>
      <c r="AG12" s="32" t="s">
        <v>15</v>
      </c>
      <c r="AH12" s="47">
        <v>17290</v>
      </c>
      <c r="AI12" s="47">
        <v>7818</v>
      </c>
      <c r="AJ12" s="10"/>
      <c r="AL12" s="32" t="s">
        <v>15</v>
      </c>
      <c r="AM12" s="47">
        <v>1475</v>
      </c>
      <c r="AN12" s="47">
        <v>1665</v>
      </c>
      <c r="AO12" s="47">
        <v>1165</v>
      </c>
      <c r="AP12" s="47">
        <v>500</v>
      </c>
      <c r="AQ12" s="47">
        <v>120</v>
      </c>
      <c r="AR12" s="47">
        <v>280</v>
      </c>
      <c r="AS12" s="37"/>
      <c r="AV12" s="32" t="s">
        <v>15</v>
      </c>
      <c r="AW12" s="47">
        <v>9472</v>
      </c>
      <c r="AX12" s="37"/>
      <c r="AZ12" s="32" t="s">
        <v>104</v>
      </c>
      <c r="BA12" s="37"/>
      <c r="BC12" s="32" t="s">
        <v>7</v>
      </c>
      <c r="BD12" s="48">
        <v>528.09999999999991</v>
      </c>
      <c r="BE12" s="48">
        <v>31</v>
      </c>
      <c r="BG12" s="37"/>
      <c r="BK12" s="32" t="s">
        <v>15</v>
      </c>
      <c r="BL12" s="47">
        <v>17290</v>
      </c>
      <c r="BM12" s="47">
        <v>7818</v>
      </c>
      <c r="BN12" s="27"/>
      <c r="BO12" s="32" t="s">
        <v>15</v>
      </c>
      <c r="BP12" s="32">
        <v>3</v>
      </c>
      <c r="BQ12" s="32">
        <v>1.4</v>
      </c>
      <c r="BR12" s="32">
        <v>0.7</v>
      </c>
      <c r="BS12" s="27">
        <f>GETPIVOTDATA("Sum of Rate",$BK$9,"Month","Mar")</f>
        <v>17290</v>
      </c>
      <c r="BT12" s="42">
        <f>GETPIVOTDATA("Sum of Total Expenses",$BK$9,"Month","Mar")</f>
        <v>7818</v>
      </c>
      <c r="BW12" s="32" t="s">
        <v>15</v>
      </c>
      <c r="BX12" s="47">
        <v>2250</v>
      </c>
      <c r="BY12" s="47">
        <v>3460</v>
      </c>
      <c r="BZ12" s="47">
        <v>2940</v>
      </c>
      <c r="CA12" s="47">
        <v>4325</v>
      </c>
      <c r="CB12" s="47">
        <v>5185</v>
      </c>
      <c r="CE12" s="37"/>
      <c r="CG12" s="32" t="s">
        <v>10</v>
      </c>
      <c r="CH12" s="48">
        <v>10</v>
      </c>
    </row>
    <row r="13" spans="1:88" ht="15.75" x14ac:dyDescent="0.25">
      <c r="F13" s="10"/>
      <c r="H13" s="32" t="s">
        <v>19</v>
      </c>
      <c r="I13" s="47">
        <v>14519</v>
      </c>
      <c r="K13" s="10"/>
      <c r="P13" s="10"/>
      <c r="W13" s="23"/>
      <c r="X13" s="23"/>
      <c r="Y13" s="10"/>
      <c r="AE13" s="10"/>
      <c r="AG13" s="32" t="s">
        <v>19</v>
      </c>
      <c r="AH13" s="47">
        <v>19299</v>
      </c>
      <c r="AI13" s="47">
        <v>4780</v>
      </c>
      <c r="AJ13" s="10"/>
      <c r="AL13" s="32" t="s">
        <v>19</v>
      </c>
      <c r="AM13" s="47">
        <v>885</v>
      </c>
      <c r="AN13" s="47">
        <v>1029</v>
      </c>
      <c r="AO13" s="47">
        <v>720</v>
      </c>
      <c r="AP13" s="47">
        <v>300</v>
      </c>
      <c r="AQ13" s="47">
        <v>75</v>
      </c>
      <c r="AR13" s="47">
        <v>171</v>
      </c>
      <c r="AS13" s="37"/>
      <c r="AV13" s="32" t="s">
        <v>19</v>
      </c>
      <c r="AW13" s="47">
        <v>14519</v>
      </c>
      <c r="AX13" s="37"/>
      <c r="AZ13" s="32" t="s">
        <v>87</v>
      </c>
      <c r="BA13" s="37"/>
      <c r="BC13" s="32" t="s">
        <v>237</v>
      </c>
      <c r="BD13" s="48">
        <v>1047.7999999999997</v>
      </c>
      <c r="BE13" s="48">
        <v>61</v>
      </c>
      <c r="BG13" s="37"/>
      <c r="BK13" s="32" t="s">
        <v>19</v>
      </c>
      <c r="BL13" s="47">
        <v>19299</v>
      </c>
      <c r="BM13" s="47">
        <v>4780</v>
      </c>
      <c r="BN13" s="27"/>
      <c r="BO13" s="32" t="s">
        <v>19</v>
      </c>
      <c r="BP13" s="32">
        <v>4</v>
      </c>
      <c r="BQ13" s="32">
        <v>1.6</v>
      </c>
      <c r="BR13" s="32">
        <v>0.9</v>
      </c>
      <c r="BS13" s="27">
        <f>GETPIVOTDATA("Sum of Rate",$BK$9,"Month","Apr")</f>
        <v>19299</v>
      </c>
      <c r="BT13" s="42">
        <f>GETPIVOTDATA("Sum of Total Expenses",$BK$9,"Month","Apr")</f>
        <v>4780</v>
      </c>
      <c r="BW13" s="32" t="s">
        <v>19</v>
      </c>
      <c r="BX13" s="47">
        <v>2508</v>
      </c>
      <c r="BY13" s="47">
        <v>3861</v>
      </c>
      <c r="BZ13" s="47">
        <v>3282</v>
      </c>
      <c r="CA13" s="47">
        <v>4824</v>
      </c>
      <c r="CB13" s="47">
        <v>5790</v>
      </c>
      <c r="CE13" s="37"/>
      <c r="CG13" s="32" t="s">
        <v>13</v>
      </c>
      <c r="CH13" s="48">
        <v>7</v>
      </c>
    </row>
    <row r="14" spans="1:88" ht="15.75" x14ac:dyDescent="0.25">
      <c r="F14" s="10"/>
      <c r="H14" s="32" t="s">
        <v>22</v>
      </c>
      <c r="I14" s="47">
        <v>28744</v>
      </c>
      <c r="K14" s="10"/>
      <c r="P14" s="10"/>
      <c r="W14" s="23"/>
      <c r="X14" s="23"/>
      <c r="Y14" s="10"/>
      <c r="AE14" s="10"/>
      <c r="AG14" s="32" t="s">
        <v>22</v>
      </c>
      <c r="AH14" s="47">
        <v>35060</v>
      </c>
      <c r="AI14" s="47">
        <v>6316</v>
      </c>
      <c r="AJ14" s="10"/>
      <c r="AL14" s="32" t="s">
        <v>22</v>
      </c>
      <c r="AM14" s="47">
        <v>1332</v>
      </c>
      <c r="AN14" s="47">
        <v>1372</v>
      </c>
      <c r="AO14" s="47">
        <v>960</v>
      </c>
      <c r="AP14" s="47">
        <v>400</v>
      </c>
      <c r="AQ14" s="47">
        <v>104</v>
      </c>
      <c r="AR14" s="47">
        <v>232</v>
      </c>
      <c r="AS14" s="37"/>
      <c r="AV14" s="32" t="s">
        <v>22</v>
      </c>
      <c r="AW14" s="47">
        <v>28744</v>
      </c>
      <c r="AX14" s="37"/>
      <c r="AZ14" s="32" t="s">
        <v>237</v>
      </c>
      <c r="BA14" s="37"/>
      <c r="BG14" s="37"/>
      <c r="BK14" s="32" t="s">
        <v>22</v>
      </c>
      <c r="BL14" s="47">
        <v>35060</v>
      </c>
      <c r="BM14" s="47">
        <v>6316</v>
      </c>
      <c r="BN14" s="27"/>
      <c r="BO14" s="32" t="s">
        <v>22</v>
      </c>
      <c r="BP14" s="32">
        <v>5</v>
      </c>
      <c r="BQ14" s="32">
        <v>2.8</v>
      </c>
      <c r="BR14" s="32">
        <v>2</v>
      </c>
      <c r="BS14" s="27">
        <f>GETPIVOTDATA("Sum of Rate",$BK$9,"Month","May")</f>
        <v>35060</v>
      </c>
      <c r="BT14" s="42">
        <f>GETPIVOTDATA("Sum of Total Expenses",$BK$9,"Month","May")</f>
        <v>6316</v>
      </c>
      <c r="BW14" s="32" t="s">
        <v>22</v>
      </c>
      <c r="BX14" s="47">
        <v>4556</v>
      </c>
      <c r="BY14" s="47">
        <v>7012</v>
      </c>
      <c r="BZ14" s="47">
        <v>5960</v>
      </c>
      <c r="CA14" s="47">
        <v>8764</v>
      </c>
      <c r="CB14" s="47">
        <v>10520</v>
      </c>
      <c r="CE14" s="37"/>
      <c r="CG14" s="32" t="s">
        <v>21</v>
      </c>
      <c r="CH14" s="48">
        <v>5</v>
      </c>
    </row>
    <row r="15" spans="1:88" ht="15.75" x14ac:dyDescent="0.25">
      <c r="F15" s="10"/>
      <c r="H15" s="32" t="s">
        <v>23</v>
      </c>
      <c r="I15" s="47">
        <v>16092</v>
      </c>
      <c r="K15" s="10"/>
      <c r="P15" s="10"/>
      <c r="W15" s="23"/>
      <c r="X15" s="23"/>
      <c r="Y15" s="10"/>
      <c r="AE15" s="10"/>
      <c r="AG15" s="32" t="s">
        <v>23</v>
      </c>
      <c r="AH15" s="47">
        <v>21728</v>
      </c>
      <c r="AI15" s="47">
        <v>5636</v>
      </c>
      <c r="AJ15" s="10"/>
      <c r="AL15" s="32" t="s">
        <v>23</v>
      </c>
      <c r="AM15" s="47">
        <v>1180</v>
      </c>
      <c r="AN15" s="47">
        <v>1372</v>
      </c>
      <c r="AO15" s="47">
        <v>960</v>
      </c>
      <c r="AP15" s="47">
        <v>400</v>
      </c>
      <c r="AQ15" s="47">
        <v>108</v>
      </c>
      <c r="AR15" s="47">
        <v>236</v>
      </c>
      <c r="AS15" s="37"/>
      <c r="AV15" s="32" t="s">
        <v>23</v>
      </c>
      <c r="AW15" s="47">
        <v>16092</v>
      </c>
      <c r="AX15" s="37"/>
      <c r="BA15" s="37"/>
      <c r="BG15" s="37"/>
      <c r="BK15" s="32" t="s">
        <v>23</v>
      </c>
      <c r="BL15" s="47">
        <v>21728</v>
      </c>
      <c r="BM15" s="47">
        <v>5636</v>
      </c>
      <c r="BN15" s="27"/>
      <c r="BO15" s="32" t="s">
        <v>23</v>
      </c>
      <c r="BP15" s="32">
        <v>6</v>
      </c>
      <c r="BQ15" s="32">
        <v>2.1</v>
      </c>
      <c r="BR15" s="32">
        <v>1.4</v>
      </c>
      <c r="BS15" s="27">
        <f>GETPIVOTDATA("Sum of Rate",$BK$9,"Month","Jun")</f>
        <v>21728</v>
      </c>
      <c r="BT15" s="42">
        <f>GETPIVOTDATA("Sum of Total Expenses",$BK$9,"Month","Jun")</f>
        <v>5636</v>
      </c>
      <c r="BW15" s="32" t="s">
        <v>23</v>
      </c>
      <c r="BX15" s="47">
        <v>2824</v>
      </c>
      <c r="BY15" s="47">
        <v>4344</v>
      </c>
      <c r="BZ15" s="47">
        <v>3692</v>
      </c>
      <c r="CA15" s="47">
        <v>5432</v>
      </c>
      <c r="CB15" s="47">
        <v>6520</v>
      </c>
      <c r="CE15" s="37"/>
      <c r="CG15" s="32" t="s">
        <v>14</v>
      </c>
      <c r="CH15" s="48">
        <v>28</v>
      </c>
    </row>
    <row r="16" spans="1:88" ht="15.75" x14ac:dyDescent="0.25">
      <c r="F16" s="10"/>
      <c r="H16" s="32" t="s">
        <v>24</v>
      </c>
      <c r="I16" s="47">
        <v>61990</v>
      </c>
      <c r="K16" s="10"/>
      <c r="P16" s="10"/>
      <c r="W16" s="23"/>
      <c r="X16" s="23"/>
      <c r="Y16" s="10"/>
      <c r="AE16" s="10"/>
      <c r="AG16" s="32" t="s">
        <v>24</v>
      </c>
      <c r="AH16" s="47">
        <v>81336</v>
      </c>
      <c r="AI16" s="47">
        <v>19346</v>
      </c>
      <c r="AJ16" s="10"/>
      <c r="AL16" s="32" t="s">
        <v>24</v>
      </c>
      <c r="AM16" s="47">
        <v>3540</v>
      </c>
      <c r="AN16" s="47">
        <v>4524</v>
      </c>
      <c r="AO16" s="47">
        <v>3168</v>
      </c>
      <c r="AP16" s="47">
        <v>1200</v>
      </c>
      <c r="AQ16" s="47">
        <v>336</v>
      </c>
      <c r="AR16" s="47">
        <v>720</v>
      </c>
      <c r="AS16" s="37"/>
      <c r="AV16" s="32" t="s">
        <v>24</v>
      </c>
      <c r="AW16" s="47">
        <v>61990</v>
      </c>
      <c r="AX16" s="37"/>
      <c r="BA16" s="37"/>
      <c r="BG16" s="37"/>
      <c r="BK16" s="32" t="s">
        <v>24</v>
      </c>
      <c r="BL16" s="47">
        <v>81336</v>
      </c>
      <c r="BM16" s="47">
        <v>19346</v>
      </c>
      <c r="BN16" s="27"/>
      <c r="BO16" s="32" t="s">
        <v>24</v>
      </c>
      <c r="BP16" s="32">
        <v>7</v>
      </c>
      <c r="BQ16" s="32">
        <v>4</v>
      </c>
      <c r="BR16" s="32">
        <v>2.8</v>
      </c>
      <c r="BS16" s="27">
        <f>GETPIVOTDATA("Sum of Rate",$BK$9,"Month","Jul")</f>
        <v>81336</v>
      </c>
      <c r="BT16" s="42">
        <f>GETPIVOTDATA("Sum of Total Expenses",$BK$9,"Month","Jul")</f>
        <v>19346</v>
      </c>
      <c r="BW16" s="32" t="s">
        <v>24</v>
      </c>
      <c r="BX16" s="47">
        <v>10572</v>
      </c>
      <c r="BY16" s="47">
        <v>16272</v>
      </c>
      <c r="BZ16" s="47">
        <v>13824</v>
      </c>
      <c r="CA16" s="47">
        <v>20340</v>
      </c>
      <c r="CB16" s="47">
        <v>24396</v>
      </c>
      <c r="CE16" s="37"/>
      <c r="CG16" s="32" t="s">
        <v>20</v>
      </c>
      <c r="CH16" s="48">
        <v>1</v>
      </c>
    </row>
    <row r="17" spans="6:86" ht="15.75" x14ac:dyDescent="0.25">
      <c r="F17" s="10"/>
      <c r="H17" s="32" t="s">
        <v>25</v>
      </c>
      <c r="I17" s="47">
        <v>20038</v>
      </c>
      <c r="K17" s="10"/>
      <c r="P17" s="10"/>
      <c r="W17" s="23"/>
      <c r="X17" s="23"/>
      <c r="Y17" s="10"/>
      <c r="AE17" s="10"/>
      <c r="AG17" s="32" t="s">
        <v>25</v>
      </c>
      <c r="AH17" s="47">
        <v>26172</v>
      </c>
      <c r="AI17" s="47">
        <v>6134</v>
      </c>
      <c r="AJ17" s="10"/>
      <c r="AL17" s="32" t="s">
        <v>25</v>
      </c>
      <c r="AM17" s="47">
        <v>1180</v>
      </c>
      <c r="AN17" s="47">
        <v>1556</v>
      </c>
      <c r="AO17" s="47">
        <v>1088</v>
      </c>
      <c r="AP17" s="47">
        <v>400</v>
      </c>
      <c r="AQ17" s="47">
        <v>116</v>
      </c>
      <c r="AR17" s="47">
        <v>244</v>
      </c>
      <c r="AS17" s="37"/>
      <c r="AV17" s="32" t="s">
        <v>25</v>
      </c>
      <c r="AW17" s="47">
        <v>20038</v>
      </c>
      <c r="AX17" s="37"/>
      <c r="BA17" s="37"/>
      <c r="BG17" s="37"/>
      <c r="BK17" s="32" t="s">
        <v>25</v>
      </c>
      <c r="BL17" s="47">
        <v>26172</v>
      </c>
      <c r="BM17" s="47">
        <v>6134</v>
      </c>
      <c r="BN17" s="27"/>
      <c r="BO17" s="32" t="s">
        <v>25</v>
      </c>
      <c r="BP17" s="32">
        <v>8</v>
      </c>
      <c r="BQ17" s="32">
        <v>2.4</v>
      </c>
      <c r="BR17" s="32">
        <v>1.6</v>
      </c>
      <c r="BS17" s="27">
        <f>GETPIVOTDATA("Sum of Rate",$BK$9,"Month","Aug")</f>
        <v>26172</v>
      </c>
      <c r="BT17" s="42">
        <f>GETPIVOTDATA("Sum of Total Expenses",$BK$9,"Month","Aug")</f>
        <v>6134</v>
      </c>
      <c r="BW17" s="32" t="s">
        <v>25</v>
      </c>
      <c r="BX17" s="47">
        <v>3404</v>
      </c>
      <c r="BY17" s="47">
        <v>5236</v>
      </c>
      <c r="BZ17" s="47">
        <v>4448</v>
      </c>
      <c r="CA17" s="47">
        <v>6544</v>
      </c>
      <c r="CB17" s="47">
        <v>7852</v>
      </c>
      <c r="CE17" s="37"/>
      <c r="CG17" s="32" t="s">
        <v>237</v>
      </c>
      <c r="CH17" s="48">
        <v>61</v>
      </c>
    </row>
    <row r="18" spans="6:86" ht="15.75" x14ac:dyDescent="0.25">
      <c r="F18" s="10"/>
      <c r="H18" s="32" t="s">
        <v>26</v>
      </c>
      <c r="I18" s="47">
        <v>28740</v>
      </c>
      <c r="K18" s="10"/>
      <c r="P18" s="10"/>
      <c r="W18" s="23"/>
      <c r="X18" s="23"/>
      <c r="Y18" s="10"/>
      <c r="AE18" s="10"/>
      <c r="AG18" s="32" t="s">
        <v>26</v>
      </c>
      <c r="AH18" s="47">
        <v>34532</v>
      </c>
      <c r="AI18" s="47">
        <v>5792</v>
      </c>
      <c r="AJ18" s="10"/>
      <c r="AL18" s="32" t="s">
        <v>26</v>
      </c>
      <c r="AM18" s="47">
        <v>1180</v>
      </c>
      <c r="AN18" s="47">
        <v>936</v>
      </c>
      <c r="AO18" s="47">
        <v>656</v>
      </c>
      <c r="AP18" s="47">
        <v>400</v>
      </c>
      <c r="AQ18" s="47">
        <v>92</v>
      </c>
      <c r="AR18" s="47">
        <v>220</v>
      </c>
      <c r="AS18" s="37"/>
      <c r="AV18" s="32" t="s">
        <v>26</v>
      </c>
      <c r="AW18" s="47">
        <v>28740</v>
      </c>
      <c r="AX18" s="37"/>
      <c r="BA18" s="37"/>
      <c r="BG18" s="37"/>
      <c r="BK18" s="32" t="s">
        <v>26</v>
      </c>
      <c r="BL18" s="47">
        <v>34532</v>
      </c>
      <c r="BM18" s="47">
        <v>5792</v>
      </c>
      <c r="BN18" s="27"/>
      <c r="BO18" s="32" t="s">
        <v>26</v>
      </c>
      <c r="BP18" s="32">
        <v>9</v>
      </c>
      <c r="BQ18" s="32">
        <v>2.6</v>
      </c>
      <c r="BR18" s="32">
        <v>1.8</v>
      </c>
      <c r="BS18" s="27">
        <f>GETPIVOTDATA("Sum of Rate",$BK$9,"Month","Sep")</f>
        <v>34532</v>
      </c>
      <c r="BT18" s="42">
        <f>GETPIVOTDATA("Sum of Total Expenses",$BK$9,"Month","Sep")</f>
        <v>5792</v>
      </c>
      <c r="BW18" s="32" t="s">
        <v>26</v>
      </c>
      <c r="BX18" s="47">
        <v>4488</v>
      </c>
      <c r="BY18" s="47">
        <v>6908</v>
      </c>
      <c r="BZ18" s="47">
        <v>5872</v>
      </c>
      <c r="CA18" s="47">
        <v>8632</v>
      </c>
      <c r="CB18" s="47">
        <v>10360</v>
      </c>
      <c r="CE18" s="37"/>
    </row>
    <row r="19" spans="6:86" ht="15.75" x14ac:dyDescent="0.25">
      <c r="F19" s="10"/>
      <c r="H19" s="32" t="s">
        <v>27</v>
      </c>
      <c r="I19" s="47">
        <v>33423</v>
      </c>
      <c r="K19" s="10"/>
      <c r="P19" s="10"/>
      <c r="W19" s="23"/>
      <c r="X19" s="23"/>
      <c r="Y19" s="10"/>
      <c r="AE19" s="10"/>
      <c r="AG19" s="32" t="s">
        <v>27</v>
      </c>
      <c r="AH19" s="47">
        <v>48914</v>
      </c>
      <c r="AI19" s="47">
        <v>15491</v>
      </c>
      <c r="AJ19" s="10"/>
      <c r="AL19" s="32" t="s">
        <v>27</v>
      </c>
      <c r="AM19" s="47">
        <v>2950</v>
      </c>
      <c r="AN19" s="47">
        <v>3430</v>
      </c>
      <c r="AO19" s="47">
        <v>2400</v>
      </c>
      <c r="AP19" s="47">
        <v>1000</v>
      </c>
      <c r="AQ19" s="47">
        <v>234</v>
      </c>
      <c r="AR19" s="47">
        <v>554</v>
      </c>
      <c r="AS19" s="37"/>
      <c r="AV19" s="32" t="s">
        <v>27</v>
      </c>
      <c r="AW19" s="47">
        <v>33423</v>
      </c>
      <c r="AX19" s="37"/>
      <c r="BA19" s="37"/>
      <c r="BG19" s="37"/>
      <c r="BK19" s="32" t="s">
        <v>27</v>
      </c>
      <c r="BL19" s="47">
        <v>48914</v>
      </c>
      <c r="BM19" s="47">
        <v>15491</v>
      </c>
      <c r="BN19" s="27"/>
      <c r="BO19" s="32" t="s">
        <v>27</v>
      </c>
      <c r="BP19" s="32">
        <v>10</v>
      </c>
      <c r="BQ19" s="32">
        <v>3</v>
      </c>
      <c r="BR19" s="32">
        <v>2</v>
      </c>
      <c r="BS19" s="27">
        <f>GETPIVOTDATA("Sum of Rate",$BK$9,"Month","Oct")</f>
        <v>48914</v>
      </c>
      <c r="BT19" s="42">
        <f>GETPIVOTDATA("Sum of Total Expenses",$BK$9,"Month","Oct")</f>
        <v>15491</v>
      </c>
      <c r="BW19" s="32" t="s">
        <v>27</v>
      </c>
      <c r="BX19" s="47">
        <v>6356</v>
      </c>
      <c r="BY19" s="47">
        <v>9782</v>
      </c>
      <c r="BZ19" s="47">
        <v>8320</v>
      </c>
      <c r="CA19" s="47">
        <v>12228</v>
      </c>
      <c r="CB19" s="47">
        <v>14676</v>
      </c>
      <c r="CE19" s="37"/>
    </row>
    <row r="20" spans="6:86" ht="15.75" x14ac:dyDescent="0.25">
      <c r="F20" s="10"/>
      <c r="H20" s="32" t="s">
        <v>28</v>
      </c>
      <c r="I20" s="47">
        <v>15820</v>
      </c>
      <c r="K20" s="10"/>
      <c r="P20" s="10"/>
      <c r="W20" s="23"/>
      <c r="X20" s="23"/>
      <c r="Y20" s="10"/>
      <c r="AE20" s="10"/>
      <c r="AG20" s="32" t="s">
        <v>28</v>
      </c>
      <c r="AH20" s="47">
        <v>23910</v>
      </c>
      <c r="AI20" s="47">
        <v>8090</v>
      </c>
      <c r="AJ20" s="10"/>
      <c r="AL20" s="32" t="s">
        <v>28</v>
      </c>
      <c r="AM20" s="47">
        <v>1475</v>
      </c>
      <c r="AN20" s="47">
        <v>1995</v>
      </c>
      <c r="AO20" s="47">
        <v>1395</v>
      </c>
      <c r="AP20" s="47">
        <v>500</v>
      </c>
      <c r="AQ20" s="47">
        <v>125</v>
      </c>
      <c r="AR20" s="47">
        <v>285</v>
      </c>
      <c r="AS20" s="37"/>
      <c r="AV20" s="32" t="s">
        <v>28</v>
      </c>
      <c r="AW20" s="47">
        <v>15820</v>
      </c>
      <c r="AX20" s="37"/>
      <c r="BA20" s="37"/>
      <c r="BG20" s="37"/>
      <c r="BK20" s="32" t="s">
        <v>28</v>
      </c>
      <c r="BL20" s="47">
        <v>23910</v>
      </c>
      <c r="BM20" s="47">
        <v>8090</v>
      </c>
      <c r="BN20" s="27"/>
      <c r="BO20" s="32" t="s">
        <v>28</v>
      </c>
      <c r="BP20" s="32">
        <v>11</v>
      </c>
      <c r="BQ20" s="32">
        <v>2.2000000000000002</v>
      </c>
      <c r="BR20" s="32">
        <v>1.4</v>
      </c>
      <c r="BS20" s="27">
        <f>GETPIVOTDATA("Sum of Rate",$BK$9,"Month","Nov")</f>
        <v>23910</v>
      </c>
      <c r="BT20" s="42">
        <f>GETPIVOTDATA("Sum of Total Expenses",$BK$9,"Month","Nov")</f>
        <v>8090</v>
      </c>
      <c r="BW20" s="32" t="s">
        <v>28</v>
      </c>
      <c r="BX20" s="47">
        <v>3110</v>
      </c>
      <c r="BY20" s="47">
        <v>4780</v>
      </c>
      <c r="BZ20" s="47">
        <v>4065</v>
      </c>
      <c r="CA20" s="47">
        <v>5980</v>
      </c>
      <c r="CB20" s="47">
        <v>7175</v>
      </c>
      <c r="CE20" s="37"/>
    </row>
    <row r="21" spans="6:86" ht="15.75" x14ac:dyDescent="0.25">
      <c r="F21" s="10"/>
      <c r="H21" s="32" t="s">
        <v>29</v>
      </c>
      <c r="I21" s="47">
        <v>11271</v>
      </c>
      <c r="K21" s="10"/>
      <c r="P21" s="10"/>
      <c r="W21" s="23"/>
      <c r="X21" s="23"/>
      <c r="Y21" s="10"/>
      <c r="AE21" s="10"/>
      <c r="AG21" s="32" t="s">
        <v>29</v>
      </c>
      <c r="AH21" s="47">
        <v>15861</v>
      </c>
      <c r="AI21" s="47">
        <v>4590</v>
      </c>
      <c r="AJ21" s="10"/>
      <c r="AL21" s="32" t="s">
        <v>29</v>
      </c>
      <c r="AM21" s="47">
        <v>885</v>
      </c>
      <c r="AN21" s="47">
        <v>1029</v>
      </c>
      <c r="AO21" s="47">
        <v>720</v>
      </c>
      <c r="AP21" s="47">
        <v>300</v>
      </c>
      <c r="AQ21" s="47">
        <v>78</v>
      </c>
      <c r="AR21" s="47">
        <v>174</v>
      </c>
      <c r="AS21" s="37"/>
      <c r="AV21" s="32" t="s">
        <v>29</v>
      </c>
      <c r="AW21" s="47">
        <v>11271</v>
      </c>
      <c r="AX21" s="37"/>
      <c r="BA21" s="37"/>
      <c r="BG21" s="37"/>
      <c r="BK21" s="32" t="s">
        <v>29</v>
      </c>
      <c r="BL21" s="47">
        <v>15861</v>
      </c>
      <c r="BM21" s="47">
        <v>4590</v>
      </c>
      <c r="BN21" s="27"/>
      <c r="BO21" s="32" t="s">
        <v>29</v>
      </c>
      <c r="BP21" s="32">
        <v>12</v>
      </c>
      <c r="BQ21" s="32">
        <v>1.8</v>
      </c>
      <c r="BR21" s="32">
        <v>1.2</v>
      </c>
      <c r="BS21" s="27">
        <f>GETPIVOTDATA("Sum of Rate",$BK$9,"Month","Dec")</f>
        <v>15861</v>
      </c>
      <c r="BT21" s="42">
        <f>GETPIVOTDATA("Sum of Total Expenses",$BK$9,"Month","Dec")</f>
        <v>4590</v>
      </c>
      <c r="BW21" s="32" t="s">
        <v>29</v>
      </c>
      <c r="BX21" s="47">
        <v>2061</v>
      </c>
      <c r="BY21" s="47">
        <v>3171</v>
      </c>
      <c r="BZ21" s="47">
        <v>2697</v>
      </c>
      <c r="CA21" s="47">
        <v>3966</v>
      </c>
      <c r="CB21" s="47">
        <v>4758</v>
      </c>
      <c r="CE21" s="37"/>
    </row>
    <row r="22" spans="6:86" ht="15.75" x14ac:dyDescent="0.25">
      <c r="F22" s="10"/>
      <c r="H22" s="32" t="s">
        <v>237</v>
      </c>
      <c r="I22" s="47">
        <v>265715</v>
      </c>
      <c r="K22" s="10"/>
      <c r="P22" s="10"/>
      <c r="W22" s="23"/>
      <c r="X22" s="23"/>
      <c r="Y22" s="10"/>
      <c r="AE22" s="10"/>
      <c r="AG22" s="32" t="s">
        <v>237</v>
      </c>
      <c r="AH22" s="47">
        <v>359038</v>
      </c>
      <c r="AI22" s="47">
        <v>93323</v>
      </c>
      <c r="AJ22" s="10"/>
      <c r="AL22" s="32" t="s">
        <v>237</v>
      </c>
      <c r="AM22" s="47">
        <v>18147</v>
      </c>
      <c r="AN22" s="47">
        <v>21353</v>
      </c>
      <c r="AO22" s="47">
        <v>14944</v>
      </c>
      <c r="AP22" s="47">
        <v>6100</v>
      </c>
      <c r="AQ22" s="47">
        <v>1546</v>
      </c>
      <c r="AR22" s="47">
        <v>3498</v>
      </c>
      <c r="AS22" s="37"/>
      <c r="AV22" s="32" t="s">
        <v>237</v>
      </c>
      <c r="AW22" s="47">
        <v>265715</v>
      </c>
      <c r="AX22" s="37"/>
      <c r="BA22" s="37"/>
      <c r="BK22" s="32" t="s">
        <v>237</v>
      </c>
      <c r="BL22" s="47">
        <v>359038</v>
      </c>
      <c r="BM22" s="47">
        <v>93323</v>
      </c>
      <c r="BN22" s="27"/>
      <c r="BT22" s="37"/>
      <c r="BW22" s="32" t="s">
        <v>237</v>
      </c>
      <c r="BX22" s="47">
        <v>46671</v>
      </c>
      <c r="BY22" s="47">
        <v>71811</v>
      </c>
      <c r="BZ22" s="47">
        <v>61039</v>
      </c>
      <c r="CA22" s="47">
        <v>89770</v>
      </c>
      <c r="CB22" s="47">
        <v>107713</v>
      </c>
      <c r="CE22" s="37"/>
    </row>
    <row r="23" spans="6:86" x14ac:dyDescent="0.25">
      <c r="F23" s="10"/>
      <c r="K23" s="10"/>
      <c r="P23" s="10"/>
      <c r="W23" s="23"/>
      <c r="X23" s="23"/>
      <c r="Y23" s="10"/>
      <c r="AE23" s="10"/>
      <c r="AJ23" s="10"/>
      <c r="AS23" s="37"/>
      <c r="AX23" s="37"/>
      <c r="BA23" s="37"/>
      <c r="BT23" s="37"/>
      <c r="CE23" s="37"/>
    </row>
    <row r="24" spans="6:86" x14ac:dyDescent="0.25">
      <c r="F24" s="10"/>
      <c r="K24" s="10"/>
      <c r="P24" s="10"/>
      <c r="W24" s="23"/>
      <c r="X24" s="23"/>
      <c r="Y24" s="10"/>
      <c r="AE24" s="10"/>
      <c r="AJ24" s="10"/>
      <c r="AS24" s="37"/>
      <c r="AX24" s="37"/>
      <c r="BA24" s="37"/>
      <c r="BT24" s="37"/>
      <c r="CE24" s="37"/>
    </row>
    <row r="25" spans="6:86" x14ac:dyDescent="0.25">
      <c r="F25" s="10"/>
      <c r="K25" s="10"/>
      <c r="P25" s="10"/>
      <c r="W25" s="23"/>
      <c r="X25" s="23"/>
      <c r="Y25" s="10"/>
      <c r="AE25" s="10"/>
      <c r="AJ25" s="10"/>
      <c r="AS25" s="37"/>
      <c r="AX25" s="37"/>
      <c r="BA25" s="37"/>
      <c r="BT25" s="37"/>
      <c r="CE25" s="37"/>
    </row>
    <row r="26" spans="6:86" x14ac:dyDescent="0.25">
      <c r="F26" s="10"/>
      <c r="W26" s="23"/>
      <c r="X26" s="23"/>
      <c r="AS26" s="37"/>
      <c r="AX26" s="37"/>
      <c r="BA26" s="37"/>
      <c r="BT26" s="37"/>
      <c r="BX26" t="s">
        <v>56</v>
      </c>
      <c r="BY26" t="s">
        <v>279</v>
      </c>
      <c r="BZ26" t="s">
        <v>280</v>
      </c>
      <c r="CA26" t="s">
        <v>62</v>
      </c>
      <c r="CB26" t="s">
        <v>281</v>
      </c>
      <c r="CE26" s="37"/>
    </row>
    <row r="27" spans="6:86" x14ac:dyDescent="0.25">
      <c r="W27" s="23"/>
      <c r="X27" s="23"/>
      <c r="AS27" s="37"/>
      <c r="AX27" s="37"/>
      <c r="BA27" s="37"/>
      <c r="BT27" s="37"/>
      <c r="BX27" s="38">
        <f>GETPIVOTDATA("Sum of First condition type",$BW$9)</f>
        <v>46671</v>
      </c>
      <c r="BY27" s="38">
        <f>GETPIVOTDATA("Sum of Shipment cost          sub-items",$BW$9)</f>
        <v>71811</v>
      </c>
      <c r="BZ27" s="38">
        <f>GETPIVOTDATA("Sum of ERE Stage",$BW$9)</f>
        <v>61039</v>
      </c>
      <c r="CA27" s="38">
        <f>GETPIVOTDATA("Sum of Basic freight",$BW$9)</f>
        <v>89770</v>
      </c>
      <c r="CB27" s="38">
        <f>GETPIVOTDATA("Sum of Final Amount",$BW$9)</f>
        <v>107713</v>
      </c>
      <c r="CE27" s="37"/>
    </row>
    <row r="28" spans="6:86" x14ac:dyDescent="0.25">
      <c r="W28" s="23"/>
      <c r="X28" s="23"/>
      <c r="AS28" s="37"/>
      <c r="AX28" s="37"/>
      <c r="BA28" s="37"/>
      <c r="BT28" s="37"/>
      <c r="CE28" s="37"/>
    </row>
    <row r="29" spans="6:86" x14ac:dyDescent="0.25">
      <c r="W29" s="23"/>
      <c r="X29" s="23"/>
      <c r="AS29" s="37"/>
      <c r="AX29" s="37"/>
      <c r="BA29" s="37"/>
      <c r="BT29" s="37"/>
      <c r="CE29" s="37"/>
    </row>
    <row r="30" spans="6:86" x14ac:dyDescent="0.25">
      <c r="W30" s="23"/>
      <c r="X30" s="23"/>
      <c r="AS30" s="37"/>
      <c r="BA30" s="37"/>
      <c r="CE30" s="37"/>
    </row>
    <row r="31" spans="6:86" x14ac:dyDescent="0.25">
      <c r="W31" s="23"/>
      <c r="X31" s="23"/>
      <c r="AA31" t="s">
        <v>268</v>
      </c>
    </row>
    <row r="32" spans="6:86" x14ac:dyDescent="0.25">
      <c r="W32" s="23"/>
      <c r="X32" s="23"/>
    </row>
    <row r="33" spans="23:24" x14ac:dyDescent="0.25">
      <c r="W33" s="23"/>
      <c r="X33" s="23"/>
    </row>
    <row r="34" spans="23:24" x14ac:dyDescent="0.25">
      <c r="W34" s="23"/>
      <c r="X34" s="23"/>
    </row>
    <row r="35" spans="23:24" x14ac:dyDescent="0.25">
      <c r="W35" s="23"/>
      <c r="X35" s="23"/>
    </row>
    <row r="36" spans="23:24" x14ac:dyDescent="0.25">
      <c r="W36" s="23"/>
      <c r="X36" s="23"/>
    </row>
    <row r="37" spans="23:24" x14ac:dyDescent="0.25">
      <c r="W37" s="23"/>
      <c r="X37" s="23"/>
    </row>
    <row r="38" spans="23:24" x14ac:dyDescent="0.25">
      <c r="W38" s="23"/>
      <c r="X38" s="23"/>
    </row>
    <row r="39" spans="23:24" x14ac:dyDescent="0.25">
      <c r="W39" s="23"/>
      <c r="X39" s="23"/>
    </row>
    <row r="40" spans="23:24" x14ac:dyDescent="0.25">
      <c r="W40" s="23"/>
      <c r="X40" s="23"/>
    </row>
    <row r="41" spans="23:24" x14ac:dyDescent="0.25">
      <c r="W41" s="23"/>
      <c r="X41" s="23"/>
    </row>
    <row r="42" spans="23:24" x14ac:dyDescent="0.25">
      <c r="W42" s="23"/>
      <c r="X42" s="23"/>
    </row>
    <row r="43" spans="23:24" x14ac:dyDescent="0.25">
      <c r="W43" s="23"/>
      <c r="X43" s="23"/>
    </row>
    <row r="44" spans="23:24" x14ac:dyDescent="0.25">
      <c r="W44" s="23"/>
      <c r="X44" s="23"/>
    </row>
    <row r="45" spans="23:24" x14ac:dyDescent="0.25">
      <c r="W45" s="23"/>
      <c r="X45" s="23"/>
    </row>
    <row r="46" spans="23:24" x14ac:dyDescent="0.25">
      <c r="W46" s="23"/>
      <c r="X46" s="23"/>
    </row>
    <row r="47" spans="23:24" x14ac:dyDescent="0.25">
      <c r="W47" s="23"/>
      <c r="X47" s="23"/>
    </row>
    <row r="48" spans="23:24" x14ac:dyDescent="0.25">
      <c r="W48" s="23"/>
      <c r="X48" s="23"/>
    </row>
    <row r="49" spans="23:24" x14ac:dyDescent="0.25">
      <c r="W49" s="23"/>
      <c r="X49" s="23"/>
    </row>
    <row r="50" spans="23:24" x14ac:dyDescent="0.25">
      <c r="W50" s="23"/>
      <c r="X50" s="23"/>
    </row>
    <row r="51" spans="23:24" x14ac:dyDescent="0.25">
      <c r="W51" s="23"/>
      <c r="X51" s="23"/>
    </row>
    <row r="52" spans="23:24" x14ac:dyDescent="0.25">
      <c r="W52" s="23"/>
      <c r="X52" s="23"/>
    </row>
    <row r="53" spans="23:24" x14ac:dyDescent="0.25">
      <c r="W53" s="23"/>
      <c r="X53" s="23"/>
    </row>
    <row r="54" spans="23:24" x14ac:dyDescent="0.25">
      <c r="W54" s="23"/>
      <c r="X54" s="23"/>
    </row>
    <row r="55" spans="23:24" x14ac:dyDescent="0.25">
      <c r="W55" s="23"/>
      <c r="X55" s="23"/>
    </row>
    <row r="56" spans="23:24" x14ac:dyDescent="0.25">
      <c r="W56" s="23"/>
      <c r="X56" s="23"/>
    </row>
    <row r="57" spans="23:24" x14ac:dyDescent="0.25">
      <c r="W57" s="23"/>
      <c r="X57" s="23"/>
    </row>
    <row r="58" spans="23:24" x14ac:dyDescent="0.25">
      <c r="W58" s="23"/>
      <c r="X58" s="23"/>
    </row>
    <row r="59" spans="23:24" x14ac:dyDescent="0.25">
      <c r="W59" s="23"/>
      <c r="X59" s="23"/>
    </row>
    <row r="60" spans="23:24" x14ac:dyDescent="0.25">
      <c r="W60" s="23"/>
      <c r="X60" s="23"/>
    </row>
    <row r="61" spans="23:24" x14ac:dyDescent="0.25">
      <c r="W61" s="23"/>
      <c r="X61" s="23"/>
    </row>
    <row r="62" spans="23:24" x14ac:dyDescent="0.25">
      <c r="W62" s="23"/>
      <c r="X62" s="23"/>
    </row>
    <row r="63" spans="23:24" x14ac:dyDescent="0.25">
      <c r="W63" s="23"/>
      <c r="X63" s="23"/>
    </row>
    <row r="64" spans="23:24" x14ac:dyDescent="0.25">
      <c r="W64" s="23"/>
      <c r="X64" s="23"/>
    </row>
    <row r="65" spans="23:24" x14ac:dyDescent="0.25">
      <c r="W65" s="23"/>
      <c r="X65" s="23"/>
    </row>
    <row r="66" spans="23:24" x14ac:dyDescent="0.25">
      <c r="W66" s="23"/>
      <c r="X66" s="23"/>
    </row>
  </sheetData>
  <mergeCells count="12">
    <mergeCell ref="AM3:AO3"/>
    <mergeCell ref="B3:D3"/>
    <mergeCell ref="H3:J3"/>
    <mergeCell ref="M3:O3"/>
    <mergeCell ref="S3:U3"/>
    <mergeCell ref="AB3:AD3"/>
    <mergeCell ref="AG3:AI3"/>
    <mergeCell ref="BC5:BE5"/>
    <mergeCell ref="BL5:BN5"/>
    <mergeCell ref="BY5:CA5"/>
    <mergeCell ref="CH5:CJ5"/>
    <mergeCell ref="AU4:AW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Dashboard</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Kumhar</dc:creator>
  <cp:lastModifiedBy>Joao Victor Gomes Ribeiro</cp:lastModifiedBy>
  <dcterms:created xsi:type="dcterms:W3CDTF">2024-06-14T04:58:19Z</dcterms:created>
  <dcterms:modified xsi:type="dcterms:W3CDTF">2024-11-12T21:03:37Z</dcterms:modified>
</cp:coreProperties>
</file>