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-44840" yWindow="0" windowWidth="38980" windowHeight="25780" tabRatio="947" activeTab="2"/>
  </bookViews>
  <sheets>
    <sheet name="Summary by Task" sheetId="12" r:id="rId1"/>
    <sheet name="Summary by Phase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state="hidden" r:id="rId9"/>
    <sheet name="Sub - University XYZ Travel" sheetId="37" state="hidden" r:id="rId10"/>
    <sheet name="Animal and Human Use" sheetId="20" state="hidden" r:id="rId11"/>
    <sheet name="Milestones and Deliverables" sheetId="43" state="hidden" r:id="rId12"/>
  </sheets>
  <definedNames>
    <definedName name="_xlnm.Print_Titles" localSheetId="11">'Milestones and Deliverables'!$2:$4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1">'Summary by Phase'!$A:$C,'Summary by Phase'!$1:$7</definedName>
    <definedName name="_xlnm.Print_Titles" localSheetId="0">'Summary by Task'!$A:$C,'Summary by Task'!$1:$3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5" l="1"/>
  <c r="AX20" i="42"/>
  <c r="O18" i="42"/>
  <c r="M18" i="42"/>
  <c r="AX21" i="42"/>
  <c r="AY21" i="42"/>
  <c r="BJ21" i="42"/>
  <c r="AX22" i="42"/>
  <c r="AY22" i="42"/>
  <c r="U36" i="42"/>
  <c r="U37" i="42"/>
  <c r="U38" i="42"/>
  <c r="U39" i="42"/>
  <c r="U40" i="42"/>
  <c r="U41" i="42"/>
  <c r="O36" i="42"/>
  <c r="O37" i="42"/>
  <c r="O38" i="42"/>
  <c r="O39" i="42"/>
  <c r="O40" i="42"/>
  <c r="O41" i="42"/>
  <c r="M36" i="42"/>
  <c r="M37" i="42"/>
  <c r="M38" i="42"/>
  <c r="M39" i="42"/>
  <c r="M40" i="42"/>
  <c r="M41" i="42"/>
  <c r="K36" i="42"/>
  <c r="K37" i="42"/>
  <c r="K38" i="42"/>
  <c r="K39" i="42"/>
  <c r="K40" i="42"/>
  <c r="K41" i="42"/>
  <c r="I36" i="42"/>
  <c r="I37" i="42"/>
  <c r="I38" i="42"/>
  <c r="I39" i="42"/>
  <c r="I40" i="42"/>
  <c r="I41" i="42"/>
  <c r="T46" i="42"/>
  <c r="BC46" i="42"/>
  <c r="BL46" i="42"/>
  <c r="BM46" i="42"/>
  <c r="T47" i="42"/>
  <c r="BC47" i="42"/>
  <c r="BL47" i="42"/>
  <c r="BM47" i="42"/>
  <c r="T48" i="42"/>
  <c r="BC48" i="42"/>
  <c r="BL48" i="42"/>
  <c r="BM48" i="42"/>
  <c r="BM49" i="42"/>
  <c r="BM50" i="42"/>
  <c r="BM51" i="42"/>
  <c r="BM52" i="42"/>
  <c r="BM53" i="42"/>
  <c r="BM54" i="42"/>
  <c r="BM55" i="42"/>
  <c r="BL49" i="42"/>
  <c r="BL50" i="42"/>
  <c r="BL51" i="42"/>
  <c r="BL52" i="42"/>
  <c r="BL53" i="42"/>
  <c r="BL54" i="42"/>
  <c r="BL55" i="42"/>
  <c r="BH46" i="42"/>
  <c r="BH47" i="42"/>
  <c r="BH48" i="42"/>
  <c r="BH49" i="42"/>
  <c r="BH50" i="42"/>
  <c r="BH51" i="42"/>
  <c r="BH52" i="42"/>
  <c r="BH53" i="42"/>
  <c r="BH54" i="42"/>
  <c r="BH55" i="42"/>
  <c r="BG46" i="42"/>
  <c r="BG47" i="42"/>
  <c r="BG48" i="42"/>
  <c r="BG49" i="42"/>
  <c r="BG50" i="42"/>
  <c r="BG51" i="42"/>
  <c r="BG52" i="42"/>
  <c r="BG53" i="42"/>
  <c r="BG54" i="42"/>
  <c r="BG55" i="42"/>
  <c r="BF46" i="42"/>
  <c r="BF47" i="42"/>
  <c r="BF48" i="42"/>
  <c r="BF49" i="42"/>
  <c r="BF50" i="42"/>
  <c r="BF51" i="42"/>
  <c r="BF52" i="42"/>
  <c r="BF53" i="42"/>
  <c r="BF54" i="42"/>
  <c r="BF55" i="42"/>
  <c r="BE46" i="42"/>
  <c r="BE47" i="42"/>
  <c r="BE48" i="42"/>
  <c r="BE49" i="42"/>
  <c r="BE50" i="42"/>
  <c r="BE51" i="42"/>
  <c r="BE52" i="42"/>
  <c r="BE53" i="42"/>
  <c r="BE54" i="42"/>
  <c r="BD46" i="42"/>
  <c r="BD47" i="42"/>
  <c r="BD48" i="42"/>
  <c r="BD49" i="42"/>
  <c r="BD50" i="42"/>
  <c r="BD51" i="42"/>
  <c r="BD52" i="42"/>
  <c r="BD53" i="42"/>
  <c r="BD54" i="42"/>
  <c r="BD55" i="42"/>
  <c r="BC49" i="42"/>
  <c r="BC50" i="42"/>
  <c r="BC51" i="42"/>
  <c r="BC52" i="42"/>
  <c r="BC53" i="42"/>
  <c r="BC54" i="42"/>
  <c r="BC55" i="42"/>
  <c r="U46" i="42"/>
  <c r="U47" i="42"/>
  <c r="U48" i="42"/>
  <c r="U49" i="42"/>
  <c r="U50" i="42"/>
  <c r="U51" i="42"/>
  <c r="U52" i="42"/>
  <c r="U53" i="42"/>
  <c r="U54" i="42"/>
  <c r="U55" i="42"/>
  <c r="T49" i="42"/>
  <c r="T50" i="42"/>
  <c r="T51" i="42"/>
  <c r="T52" i="42"/>
  <c r="T53" i="42"/>
  <c r="T54" i="42"/>
  <c r="T55" i="42"/>
  <c r="O46" i="42"/>
  <c r="O47" i="42"/>
  <c r="O48" i="42"/>
  <c r="O49" i="42"/>
  <c r="O50" i="42"/>
  <c r="O51" i="42"/>
  <c r="O52" i="42"/>
  <c r="O53" i="42"/>
  <c r="O54" i="42"/>
  <c r="O55" i="42"/>
  <c r="M46" i="42"/>
  <c r="M47" i="42"/>
  <c r="M48" i="42"/>
  <c r="M49" i="42"/>
  <c r="M50" i="42"/>
  <c r="M51" i="42"/>
  <c r="M52" i="42"/>
  <c r="M53" i="42"/>
  <c r="M54" i="42"/>
  <c r="M55" i="42"/>
  <c r="K46" i="42"/>
  <c r="K47" i="42"/>
  <c r="K48" i="42"/>
  <c r="K49" i="42"/>
  <c r="K50" i="42"/>
  <c r="K51" i="42"/>
  <c r="K52" i="42"/>
  <c r="K53" i="42"/>
  <c r="K54" i="42"/>
  <c r="K55" i="42"/>
  <c r="I46" i="42"/>
  <c r="I47" i="42"/>
  <c r="I48" i="42"/>
  <c r="I49" i="42"/>
  <c r="I50" i="42"/>
  <c r="I51" i="42"/>
  <c r="I52" i="42"/>
  <c r="I53" i="42"/>
  <c r="I54" i="42"/>
  <c r="I55" i="42"/>
  <c r="E26" i="42"/>
  <c r="T26" i="42"/>
  <c r="BC26" i="42"/>
  <c r="BL26" i="42"/>
  <c r="BM26" i="42"/>
  <c r="BM36" i="42"/>
  <c r="E27" i="42"/>
  <c r="T27" i="42"/>
  <c r="BC27" i="42"/>
  <c r="BL27" i="42"/>
  <c r="BM27" i="42"/>
  <c r="BM37" i="42"/>
  <c r="E28" i="42"/>
  <c r="T28" i="42"/>
  <c r="BC28" i="42"/>
  <c r="BL28" i="42"/>
  <c r="BM28" i="42"/>
  <c r="BM38" i="42"/>
  <c r="E29" i="42"/>
  <c r="T29" i="42"/>
  <c r="BC29" i="42"/>
  <c r="BL29" i="42"/>
  <c r="BM29" i="42"/>
  <c r="BM39" i="42"/>
  <c r="E30" i="42"/>
  <c r="T30" i="42"/>
  <c r="BC30" i="42"/>
  <c r="BL30" i="42"/>
  <c r="BM30" i="42"/>
  <c r="BM40" i="42"/>
  <c r="E31" i="42"/>
  <c r="T31" i="42"/>
  <c r="BC31" i="42"/>
  <c r="AT31" i="42"/>
  <c r="BG31" i="42"/>
  <c r="BL31" i="42"/>
  <c r="BM31" i="42"/>
  <c r="BM41" i="42"/>
  <c r="BH26" i="42"/>
  <c r="BH36" i="42"/>
  <c r="BH27" i="42"/>
  <c r="BH37" i="42"/>
  <c r="BH28" i="42"/>
  <c r="BH38" i="42"/>
  <c r="BH29" i="42"/>
  <c r="BH39" i="42"/>
  <c r="BH30" i="42"/>
  <c r="BH40" i="42"/>
  <c r="BH31" i="42"/>
  <c r="BH41" i="42"/>
  <c r="BF26" i="42"/>
  <c r="BF36" i="42"/>
  <c r="BF27" i="42"/>
  <c r="BF37" i="42"/>
  <c r="BF28" i="42"/>
  <c r="BF38" i="42"/>
  <c r="BF29" i="42"/>
  <c r="BF39" i="42"/>
  <c r="BF30" i="42"/>
  <c r="BF40" i="42"/>
  <c r="BF31" i="42"/>
  <c r="BF41" i="42"/>
  <c r="BD26" i="42"/>
  <c r="BD36" i="42"/>
  <c r="BD27" i="42"/>
  <c r="BD37" i="42"/>
  <c r="BD28" i="42"/>
  <c r="BD38" i="42"/>
  <c r="BD29" i="42"/>
  <c r="BD39" i="42"/>
  <c r="BD30" i="42"/>
  <c r="BD40" i="42"/>
  <c r="BD31" i="42"/>
  <c r="BD41" i="42"/>
  <c r="BG26" i="42"/>
  <c r="BG27" i="42"/>
  <c r="BG28" i="42"/>
  <c r="BG29" i="42"/>
  <c r="BG30" i="42"/>
  <c r="BE26" i="42"/>
  <c r="BE27" i="42"/>
  <c r="BE28" i="42"/>
  <c r="BE29" i="42"/>
  <c r="BE30" i="42"/>
  <c r="BE31" i="42"/>
  <c r="U26" i="42"/>
  <c r="U27" i="42"/>
  <c r="U28" i="42"/>
  <c r="U29" i="42"/>
  <c r="U30" i="42"/>
  <c r="U31" i="42"/>
  <c r="S26" i="42"/>
  <c r="S27" i="42"/>
  <c r="S28" i="42"/>
  <c r="S29" i="42"/>
  <c r="S30" i="42"/>
  <c r="S31" i="42"/>
  <c r="Q26" i="42"/>
  <c r="Q27" i="42"/>
  <c r="Q28" i="42"/>
  <c r="Q29" i="42"/>
  <c r="Q30" i="42"/>
  <c r="Q31" i="42"/>
  <c r="O26" i="42"/>
  <c r="O27" i="42"/>
  <c r="O28" i="42"/>
  <c r="O29" i="42"/>
  <c r="O30" i="42"/>
  <c r="O31" i="42"/>
  <c r="M26" i="42"/>
  <c r="M27" i="42"/>
  <c r="M28" i="42"/>
  <c r="M29" i="42"/>
  <c r="M30" i="42"/>
  <c r="M31" i="42"/>
  <c r="K26" i="42"/>
  <c r="K27" i="42"/>
  <c r="K28" i="42"/>
  <c r="K29" i="42"/>
  <c r="K30" i="42"/>
  <c r="K31" i="42"/>
  <c r="I26" i="42"/>
  <c r="I27" i="42"/>
  <c r="I28" i="42"/>
  <c r="I29" i="42"/>
  <c r="I30" i="42"/>
  <c r="I31" i="42"/>
  <c r="E25" i="42"/>
  <c r="C36" i="42"/>
  <c r="C37" i="42"/>
  <c r="C38" i="42"/>
  <c r="C39" i="42"/>
  <c r="C40" i="42"/>
  <c r="C41" i="42"/>
  <c r="B36" i="42"/>
  <c r="B37" i="42"/>
  <c r="B38" i="42"/>
  <c r="B39" i="42"/>
  <c r="B40" i="42"/>
  <c r="B41" i="42"/>
  <c r="BJ21" i="41"/>
  <c r="AY22" i="41"/>
  <c r="AY21" i="41"/>
  <c r="AX21" i="41"/>
  <c r="O18" i="41"/>
  <c r="M18" i="41"/>
  <c r="T46" i="41"/>
  <c r="BC46" i="41"/>
  <c r="BL46" i="41"/>
  <c r="BM46" i="41"/>
  <c r="T47" i="41"/>
  <c r="BC47" i="41"/>
  <c r="BL47" i="41"/>
  <c r="BM47" i="41"/>
  <c r="T48" i="41"/>
  <c r="BC48" i="41"/>
  <c r="BL48" i="41"/>
  <c r="BM48" i="41"/>
  <c r="BM49" i="41"/>
  <c r="BM50" i="41"/>
  <c r="BM51" i="41"/>
  <c r="BM52" i="41"/>
  <c r="BM53" i="41"/>
  <c r="BM54" i="41"/>
  <c r="BM55" i="41"/>
  <c r="BL49" i="41"/>
  <c r="BL50" i="41"/>
  <c r="BL51" i="41"/>
  <c r="BL52" i="41"/>
  <c r="BL53" i="41"/>
  <c r="BL54" i="41"/>
  <c r="BD46" i="41"/>
  <c r="BD47" i="41"/>
  <c r="BD48" i="41"/>
  <c r="BD49" i="41"/>
  <c r="BD50" i="41"/>
  <c r="BD51" i="41"/>
  <c r="BD52" i="41"/>
  <c r="BD53" i="41"/>
  <c r="BD54" i="41"/>
  <c r="BD55" i="41"/>
  <c r="BC49" i="41"/>
  <c r="BC50" i="41"/>
  <c r="BC51" i="41"/>
  <c r="BC52" i="41"/>
  <c r="BC53" i="41"/>
  <c r="BC54" i="41"/>
  <c r="BC55" i="41"/>
  <c r="U46" i="41"/>
  <c r="U47" i="41"/>
  <c r="U48" i="41"/>
  <c r="U49" i="41"/>
  <c r="U50" i="41"/>
  <c r="U51" i="41"/>
  <c r="U52" i="41"/>
  <c r="U53" i="41"/>
  <c r="U54" i="41"/>
  <c r="U55" i="41"/>
  <c r="T49" i="41"/>
  <c r="T50" i="41"/>
  <c r="T51" i="41"/>
  <c r="T52" i="41"/>
  <c r="T53" i="41"/>
  <c r="T54" i="41"/>
  <c r="T55" i="41"/>
  <c r="O46" i="41"/>
  <c r="O47" i="41"/>
  <c r="O48" i="41"/>
  <c r="O49" i="41"/>
  <c r="O50" i="41"/>
  <c r="O51" i="41"/>
  <c r="O52" i="41"/>
  <c r="O53" i="41"/>
  <c r="O54" i="41"/>
  <c r="O55" i="41"/>
  <c r="M46" i="41"/>
  <c r="M47" i="41"/>
  <c r="M48" i="41"/>
  <c r="M49" i="41"/>
  <c r="M50" i="41"/>
  <c r="M51" i="41"/>
  <c r="M52" i="41"/>
  <c r="M53" i="41"/>
  <c r="M54" i="41"/>
  <c r="K46" i="41"/>
  <c r="K47" i="41"/>
  <c r="K48" i="41"/>
  <c r="K49" i="41"/>
  <c r="K50" i="41"/>
  <c r="K51" i="41"/>
  <c r="K52" i="41"/>
  <c r="K53" i="41"/>
  <c r="K54" i="41"/>
  <c r="K55" i="41"/>
  <c r="I46" i="41"/>
  <c r="I47" i="41"/>
  <c r="I48" i="41"/>
  <c r="I49" i="41"/>
  <c r="I50" i="41"/>
  <c r="I51" i="41"/>
  <c r="I52" i="41"/>
  <c r="I53" i="41"/>
  <c r="I54" i="41"/>
  <c r="I55" i="41"/>
  <c r="T26" i="41"/>
  <c r="E26" i="41"/>
  <c r="U26" i="41"/>
  <c r="U36" i="41"/>
  <c r="T27" i="41"/>
  <c r="E27" i="41"/>
  <c r="U27" i="41"/>
  <c r="U37" i="41"/>
  <c r="T28" i="41"/>
  <c r="E28" i="41"/>
  <c r="U28" i="41"/>
  <c r="U38" i="41"/>
  <c r="T29" i="41"/>
  <c r="E29" i="41"/>
  <c r="U29" i="41"/>
  <c r="U39" i="41"/>
  <c r="T30" i="41"/>
  <c r="E30" i="41"/>
  <c r="U30" i="41"/>
  <c r="U40" i="41"/>
  <c r="T31" i="41"/>
  <c r="E31" i="41"/>
  <c r="U31" i="41"/>
  <c r="U41" i="41"/>
  <c r="O26" i="41"/>
  <c r="O36" i="41"/>
  <c r="O27" i="41"/>
  <c r="O37" i="41"/>
  <c r="O28" i="41"/>
  <c r="O38" i="41"/>
  <c r="O29" i="41"/>
  <c r="O39" i="41"/>
  <c r="O30" i="41"/>
  <c r="O40" i="41"/>
  <c r="O31" i="41"/>
  <c r="O41" i="41"/>
  <c r="M26" i="41"/>
  <c r="M36" i="41"/>
  <c r="M27" i="41"/>
  <c r="M37" i="41"/>
  <c r="M28" i="41"/>
  <c r="M38" i="41"/>
  <c r="M29" i="41"/>
  <c r="M39" i="41"/>
  <c r="M30" i="41"/>
  <c r="M40" i="41"/>
  <c r="M31" i="41"/>
  <c r="M41" i="41"/>
  <c r="K26" i="41"/>
  <c r="K36" i="41"/>
  <c r="K27" i="41"/>
  <c r="K37" i="41"/>
  <c r="K28" i="41"/>
  <c r="K38" i="41"/>
  <c r="K29" i="41"/>
  <c r="K39" i="41"/>
  <c r="K30" i="41"/>
  <c r="K40" i="41"/>
  <c r="K31" i="41"/>
  <c r="K41" i="41"/>
  <c r="I26" i="41"/>
  <c r="I36" i="41"/>
  <c r="I27" i="41"/>
  <c r="I37" i="41"/>
  <c r="I28" i="41"/>
  <c r="I38" i="41"/>
  <c r="I29" i="41"/>
  <c r="I39" i="41"/>
  <c r="I30" i="41"/>
  <c r="I40" i="41"/>
  <c r="I31" i="41"/>
  <c r="I41" i="41"/>
  <c r="BC26" i="41"/>
  <c r="BD26" i="41"/>
  <c r="BD36" i="41"/>
  <c r="BC27" i="41"/>
  <c r="BD27" i="41"/>
  <c r="BD37" i="41"/>
  <c r="BC28" i="41"/>
  <c r="BD28" i="41"/>
  <c r="BD38" i="41"/>
  <c r="BC29" i="41"/>
  <c r="BD29" i="41"/>
  <c r="BD39" i="41"/>
  <c r="BC30" i="41"/>
  <c r="BD30" i="41"/>
  <c r="BD40" i="41"/>
  <c r="BC31" i="41"/>
  <c r="BD31" i="41"/>
  <c r="BD41" i="41"/>
  <c r="BF26" i="41"/>
  <c r="BF36" i="41"/>
  <c r="BF27" i="41"/>
  <c r="BF37" i="41"/>
  <c r="BF28" i="41"/>
  <c r="BF38" i="41"/>
  <c r="BF29" i="41"/>
  <c r="BF39" i="41"/>
  <c r="BF30" i="41"/>
  <c r="BF40" i="41"/>
  <c r="BF31" i="41"/>
  <c r="BF41" i="41"/>
  <c r="BH26" i="41"/>
  <c r="BH36" i="41"/>
  <c r="BH27" i="41"/>
  <c r="BH37" i="41"/>
  <c r="BH28" i="41"/>
  <c r="BH38" i="41"/>
  <c r="BH29" i="41"/>
  <c r="BH39" i="41"/>
  <c r="BH30" i="41"/>
  <c r="BH40" i="41"/>
  <c r="AT31" i="41"/>
  <c r="BG31" i="41"/>
  <c r="BH31" i="41"/>
  <c r="BH41" i="41"/>
  <c r="BL26" i="41"/>
  <c r="BM26" i="41"/>
  <c r="BM36" i="41"/>
  <c r="BL27" i="41"/>
  <c r="BM27" i="41"/>
  <c r="BM37" i="41"/>
  <c r="BL28" i="41"/>
  <c r="BM28" i="41"/>
  <c r="BM38" i="41"/>
  <c r="BL29" i="41"/>
  <c r="BM29" i="41"/>
  <c r="BM39" i="41"/>
  <c r="BL30" i="41"/>
  <c r="BM30" i="41"/>
  <c r="BM40" i="41"/>
  <c r="BL31" i="41"/>
  <c r="BM31" i="41"/>
  <c r="BM41" i="41"/>
  <c r="BG26" i="41"/>
  <c r="BG27" i="41"/>
  <c r="BG28" i="41"/>
  <c r="BG29" i="41"/>
  <c r="BG30" i="41"/>
  <c r="BE26" i="41"/>
  <c r="BE27" i="41"/>
  <c r="BE28" i="41"/>
  <c r="BE29" i="41"/>
  <c r="BE30" i="41"/>
  <c r="BE31" i="41"/>
  <c r="S26" i="41"/>
  <c r="S27" i="41"/>
  <c r="S28" i="41"/>
  <c r="S29" i="41"/>
  <c r="S30" i="41"/>
  <c r="S31" i="41"/>
  <c r="Q26" i="41"/>
  <c r="Q27" i="41"/>
  <c r="Q28" i="41"/>
  <c r="Q29" i="41"/>
  <c r="Q30" i="41"/>
  <c r="Q31" i="41"/>
  <c r="E25" i="41"/>
  <c r="C36" i="41"/>
  <c r="C37" i="41"/>
  <c r="C38" i="41"/>
  <c r="C39" i="41"/>
  <c r="C40" i="41"/>
  <c r="C41" i="41"/>
  <c r="B36" i="41"/>
  <c r="B37" i="41"/>
  <c r="B38" i="41"/>
  <c r="B39" i="41"/>
  <c r="B40" i="41"/>
  <c r="B41" i="41"/>
  <c r="BJ21" i="5"/>
  <c r="AY21" i="5"/>
  <c r="AY22" i="5"/>
  <c r="AX21" i="5"/>
  <c r="B15" i="32"/>
  <c r="AX14" i="42"/>
  <c r="O13" i="22"/>
  <c r="P13" i="22"/>
  <c r="P15" i="22"/>
  <c r="AW14" i="42"/>
  <c r="B12" i="32"/>
  <c r="AX14" i="41"/>
  <c r="O10" i="22"/>
  <c r="P10" i="22"/>
  <c r="P12" i="22"/>
  <c r="AW14" i="41"/>
  <c r="O18" i="5"/>
  <c r="T46" i="5"/>
  <c r="BC46" i="5"/>
  <c r="BL46" i="5"/>
  <c r="BM46" i="5"/>
  <c r="T47" i="5"/>
  <c r="BC47" i="5"/>
  <c r="BL47" i="5"/>
  <c r="BM47" i="5"/>
  <c r="T48" i="5"/>
  <c r="BC48" i="5"/>
  <c r="BL48" i="5"/>
  <c r="BM48" i="5"/>
  <c r="BM49" i="5"/>
  <c r="BM50" i="5"/>
  <c r="BM51" i="5"/>
  <c r="BM52" i="5"/>
  <c r="BM53" i="5"/>
  <c r="BM54" i="5"/>
  <c r="BM55" i="5"/>
  <c r="BL49" i="5"/>
  <c r="BL50" i="5"/>
  <c r="BL51" i="5"/>
  <c r="BL52" i="5"/>
  <c r="BL53" i="5"/>
  <c r="BL54" i="5"/>
  <c r="BD46" i="5"/>
  <c r="BD47" i="5"/>
  <c r="BD48" i="5"/>
  <c r="BD49" i="5"/>
  <c r="BD50" i="5"/>
  <c r="BD51" i="5"/>
  <c r="BD52" i="5"/>
  <c r="BD53" i="5"/>
  <c r="BD54" i="5"/>
  <c r="BD55" i="5"/>
  <c r="BC49" i="5"/>
  <c r="BC50" i="5"/>
  <c r="BC51" i="5"/>
  <c r="BC52" i="5"/>
  <c r="BC53" i="5"/>
  <c r="BC54" i="5"/>
  <c r="BC55" i="5"/>
  <c r="U46" i="5"/>
  <c r="U47" i="5"/>
  <c r="U48" i="5"/>
  <c r="U49" i="5"/>
  <c r="U50" i="5"/>
  <c r="U51" i="5"/>
  <c r="U52" i="5"/>
  <c r="U53" i="5"/>
  <c r="U54" i="5"/>
  <c r="U55" i="5"/>
  <c r="T49" i="5"/>
  <c r="T50" i="5"/>
  <c r="T51" i="5"/>
  <c r="T52" i="5"/>
  <c r="T53" i="5"/>
  <c r="T54" i="5"/>
  <c r="T55" i="5"/>
  <c r="O46" i="5"/>
  <c r="O47" i="5"/>
  <c r="O48" i="5"/>
  <c r="O49" i="5"/>
  <c r="O50" i="5"/>
  <c r="O51" i="5"/>
  <c r="O52" i="5"/>
  <c r="O53" i="5"/>
  <c r="O54" i="5"/>
  <c r="O55" i="5"/>
  <c r="M46" i="5"/>
  <c r="M47" i="5"/>
  <c r="M48" i="5"/>
  <c r="M49" i="5"/>
  <c r="M50" i="5"/>
  <c r="M51" i="5"/>
  <c r="M52" i="5"/>
  <c r="M53" i="5"/>
  <c r="M54" i="5"/>
  <c r="M55" i="5"/>
  <c r="K46" i="5"/>
  <c r="K47" i="5"/>
  <c r="K48" i="5"/>
  <c r="K49" i="5"/>
  <c r="K50" i="5"/>
  <c r="K51" i="5"/>
  <c r="K52" i="5"/>
  <c r="K53" i="5"/>
  <c r="K54" i="5"/>
  <c r="K55" i="5"/>
  <c r="I46" i="5"/>
  <c r="I47" i="5"/>
  <c r="I48" i="5"/>
  <c r="I49" i="5"/>
  <c r="I50" i="5"/>
  <c r="I51" i="5"/>
  <c r="I52" i="5"/>
  <c r="I53" i="5"/>
  <c r="I54" i="5"/>
  <c r="BH26" i="5"/>
  <c r="BH36" i="5"/>
  <c r="BH27" i="5"/>
  <c r="BH37" i="5"/>
  <c r="BH28" i="5"/>
  <c r="BH38" i="5"/>
  <c r="BH29" i="5"/>
  <c r="BH39" i="5"/>
  <c r="BH30" i="5"/>
  <c r="BH40" i="5"/>
  <c r="AT31" i="5"/>
  <c r="BG31" i="5"/>
  <c r="BH31" i="5"/>
  <c r="BH41" i="5"/>
  <c r="BF26" i="5"/>
  <c r="BF36" i="5"/>
  <c r="BF27" i="5"/>
  <c r="BF37" i="5"/>
  <c r="BF28" i="5"/>
  <c r="BF38" i="5"/>
  <c r="BF29" i="5"/>
  <c r="BF39" i="5"/>
  <c r="BF30" i="5"/>
  <c r="BF40" i="5"/>
  <c r="BF31" i="5"/>
  <c r="BF41" i="5"/>
  <c r="T26" i="5"/>
  <c r="BC26" i="5"/>
  <c r="BD26" i="5"/>
  <c r="BD36" i="5"/>
  <c r="T27" i="5"/>
  <c r="BC27" i="5"/>
  <c r="BD27" i="5"/>
  <c r="BD37" i="5"/>
  <c r="T28" i="5"/>
  <c r="BC28" i="5"/>
  <c r="BD28" i="5"/>
  <c r="BD38" i="5"/>
  <c r="T29" i="5"/>
  <c r="BC29" i="5"/>
  <c r="BD29" i="5"/>
  <c r="BD39" i="5"/>
  <c r="T30" i="5"/>
  <c r="BC30" i="5"/>
  <c r="BD30" i="5"/>
  <c r="BD40" i="5"/>
  <c r="T31" i="5"/>
  <c r="BC31" i="5"/>
  <c r="BD31" i="5"/>
  <c r="BD41" i="5"/>
  <c r="BL26" i="5"/>
  <c r="BM26" i="5"/>
  <c r="BM36" i="5"/>
  <c r="BL27" i="5"/>
  <c r="BM27" i="5"/>
  <c r="BM37" i="5"/>
  <c r="BL28" i="5"/>
  <c r="BM28" i="5"/>
  <c r="BM38" i="5"/>
  <c r="BL29" i="5"/>
  <c r="BM29" i="5"/>
  <c r="BM39" i="5"/>
  <c r="BL30" i="5"/>
  <c r="BM30" i="5"/>
  <c r="BM40" i="5"/>
  <c r="BL31" i="5"/>
  <c r="BM31" i="5"/>
  <c r="BM41" i="5"/>
  <c r="BG26" i="5"/>
  <c r="BG27" i="5"/>
  <c r="BG28" i="5"/>
  <c r="BG29" i="5"/>
  <c r="BG30" i="5"/>
  <c r="BE26" i="5"/>
  <c r="BE27" i="5"/>
  <c r="BE28" i="5"/>
  <c r="BE29" i="5"/>
  <c r="BE30" i="5"/>
  <c r="U26" i="5"/>
  <c r="U36" i="5"/>
  <c r="U27" i="5"/>
  <c r="U37" i="5"/>
  <c r="U28" i="5"/>
  <c r="U38" i="5"/>
  <c r="U29" i="5"/>
  <c r="U39" i="5"/>
  <c r="U30" i="5"/>
  <c r="U40" i="5"/>
  <c r="U31" i="5"/>
  <c r="U41" i="5"/>
  <c r="S36" i="5"/>
  <c r="S37" i="5"/>
  <c r="S38" i="5"/>
  <c r="S39" i="5"/>
  <c r="S40" i="5"/>
  <c r="S41" i="5"/>
  <c r="Q36" i="5"/>
  <c r="Q37" i="5"/>
  <c r="Q38" i="5"/>
  <c r="Q39" i="5"/>
  <c r="Q40" i="5"/>
  <c r="Q41" i="5"/>
  <c r="O26" i="5"/>
  <c r="O36" i="5"/>
  <c r="O27" i="5"/>
  <c r="O37" i="5"/>
  <c r="O28" i="5"/>
  <c r="O38" i="5"/>
  <c r="O29" i="5"/>
  <c r="O39" i="5"/>
  <c r="O30" i="5"/>
  <c r="O40" i="5"/>
  <c r="O31" i="5"/>
  <c r="O41" i="5"/>
  <c r="M36" i="5"/>
  <c r="M37" i="5"/>
  <c r="M38" i="5"/>
  <c r="M39" i="5"/>
  <c r="M40" i="5"/>
  <c r="M41" i="5"/>
  <c r="K26" i="5"/>
  <c r="K36" i="5"/>
  <c r="K27" i="5"/>
  <c r="K37" i="5"/>
  <c r="K28" i="5"/>
  <c r="K38" i="5"/>
  <c r="K29" i="5"/>
  <c r="K39" i="5"/>
  <c r="K30" i="5"/>
  <c r="K40" i="5"/>
  <c r="K31" i="5"/>
  <c r="K41" i="5"/>
  <c r="I26" i="5"/>
  <c r="I36" i="5"/>
  <c r="I27" i="5"/>
  <c r="I37" i="5"/>
  <c r="I28" i="5"/>
  <c r="I38" i="5"/>
  <c r="I29" i="5"/>
  <c r="I39" i="5"/>
  <c r="I30" i="5"/>
  <c r="I40" i="5"/>
  <c r="I31" i="5"/>
  <c r="I41" i="5"/>
  <c r="C36" i="5"/>
  <c r="C37" i="5"/>
  <c r="C38" i="5"/>
  <c r="C39" i="5"/>
  <c r="C40" i="5"/>
  <c r="C41" i="5"/>
  <c r="B36" i="5"/>
  <c r="B37" i="5"/>
  <c r="B38" i="5"/>
  <c r="B39" i="5"/>
  <c r="B40" i="5"/>
  <c r="B41" i="5"/>
  <c r="C35" i="5"/>
  <c r="B35" i="5"/>
  <c r="S26" i="5"/>
  <c r="S27" i="5"/>
  <c r="S28" i="5"/>
  <c r="S29" i="5"/>
  <c r="S30" i="5"/>
  <c r="S31" i="5"/>
  <c r="Q26" i="5"/>
  <c r="Q27" i="5"/>
  <c r="Q28" i="5"/>
  <c r="Q29" i="5"/>
  <c r="Q30" i="5"/>
  <c r="Q31" i="5"/>
  <c r="M26" i="5"/>
  <c r="M27" i="5"/>
  <c r="M28" i="5"/>
  <c r="M29" i="5"/>
  <c r="M30" i="5"/>
  <c r="M31" i="5"/>
  <c r="F59" i="43"/>
  <c r="F52" i="43"/>
  <c r="F45" i="43"/>
  <c r="F64" i="43"/>
  <c r="F39" i="43"/>
  <c r="F32" i="43"/>
  <c r="F44" i="43"/>
  <c r="F25" i="43"/>
  <c r="F19" i="43"/>
  <c r="F12" i="43"/>
  <c r="F5" i="43"/>
  <c r="F24" i="43"/>
  <c r="F65" i="43"/>
  <c r="N31" i="36"/>
  <c r="N30" i="36"/>
  <c r="N26" i="36"/>
  <c r="N25" i="36"/>
  <c r="N16" i="36"/>
  <c r="N15" i="36"/>
  <c r="B9" i="32"/>
  <c r="O7" i="22"/>
  <c r="P7" i="22"/>
  <c r="P9" i="22"/>
  <c r="AY14" i="42"/>
  <c r="BJ14" i="42"/>
  <c r="BJ20" i="42"/>
  <c r="BF25" i="42"/>
  <c r="BF32" i="42"/>
  <c r="BF35" i="42"/>
  <c r="BF42" i="42"/>
  <c r="BF9" i="42"/>
  <c r="BF45" i="42"/>
  <c r="BF56" i="42"/>
  <c r="BF10" i="42"/>
  <c r="BF69" i="42"/>
  <c r="BF71" i="42"/>
  <c r="BF13" i="42"/>
  <c r="BF14" i="42"/>
  <c r="BF20" i="42"/>
  <c r="BH25" i="42"/>
  <c r="BH32" i="42"/>
  <c r="BH35" i="42"/>
  <c r="BH42" i="42"/>
  <c r="BH9" i="42"/>
  <c r="BH45" i="42"/>
  <c r="BH56" i="42"/>
  <c r="BH10" i="42"/>
  <c r="BH69" i="42"/>
  <c r="BH71" i="42"/>
  <c r="BH13" i="42"/>
  <c r="BH14" i="42"/>
  <c r="BH20" i="42"/>
  <c r="T25" i="42"/>
  <c r="BC25" i="42"/>
  <c r="BD25" i="42"/>
  <c r="BD35" i="42"/>
  <c r="BD42" i="42"/>
  <c r="BD32" i="42"/>
  <c r="BD9" i="42"/>
  <c r="T45" i="42"/>
  <c r="BC45" i="42"/>
  <c r="BD45" i="42"/>
  <c r="BD56" i="42"/>
  <c r="BD10" i="42"/>
  <c r="T69" i="42"/>
  <c r="BC69" i="42"/>
  <c r="BD69" i="42"/>
  <c r="BD71" i="42"/>
  <c r="BD13" i="42"/>
  <c r="BD14" i="42"/>
  <c r="U18" i="42"/>
  <c r="BD18" i="42"/>
  <c r="BD19" i="42"/>
  <c r="BD20" i="42"/>
  <c r="BM20" i="42"/>
  <c r="J34" i="10"/>
  <c r="H34" i="10"/>
  <c r="G34" i="10"/>
  <c r="F34" i="10"/>
  <c r="E34" i="10"/>
  <c r="BL25" i="42"/>
  <c r="BM25" i="42"/>
  <c r="BM32" i="42"/>
  <c r="BM35" i="42"/>
  <c r="BM42" i="42"/>
  <c r="BM9" i="42"/>
  <c r="BL45" i="42"/>
  <c r="BM45" i="42"/>
  <c r="BM56" i="42"/>
  <c r="BM10" i="42"/>
  <c r="BL69" i="42"/>
  <c r="BM69" i="42"/>
  <c r="BM71" i="42"/>
  <c r="BM13" i="42"/>
  <c r="BM14" i="42"/>
  <c r="J33" i="10"/>
  <c r="H33" i="10"/>
  <c r="G33" i="10"/>
  <c r="F33" i="10"/>
  <c r="E33" i="10"/>
  <c r="J32" i="10"/>
  <c r="G32" i="10"/>
  <c r="F32" i="10"/>
  <c r="E32" i="10"/>
  <c r="J31" i="10"/>
  <c r="G31" i="10"/>
  <c r="F31" i="10"/>
  <c r="E31" i="10"/>
  <c r="J30" i="10"/>
  <c r="G30" i="10"/>
  <c r="F30" i="10"/>
  <c r="E30" i="10"/>
  <c r="J29" i="10"/>
  <c r="G29" i="10"/>
  <c r="F29" i="10"/>
  <c r="E29" i="10"/>
  <c r="AY14" i="41"/>
  <c r="BJ14" i="41"/>
  <c r="BJ20" i="41"/>
  <c r="BF25" i="41"/>
  <c r="BF32" i="41"/>
  <c r="BF35" i="41"/>
  <c r="BF42" i="41"/>
  <c r="BF9" i="41"/>
  <c r="BF45" i="41"/>
  <c r="BF55" i="41"/>
  <c r="BF56" i="41"/>
  <c r="BF10" i="41"/>
  <c r="BF69" i="41"/>
  <c r="BF71" i="41"/>
  <c r="BF13" i="41"/>
  <c r="BF14" i="41"/>
  <c r="BF20" i="41"/>
  <c r="BH25" i="41"/>
  <c r="BH32" i="41"/>
  <c r="BH35" i="41"/>
  <c r="BH42" i="41"/>
  <c r="BH9" i="41"/>
  <c r="BH45" i="41"/>
  <c r="BH55" i="41"/>
  <c r="BH56" i="41"/>
  <c r="BH10" i="41"/>
  <c r="BH69" i="41"/>
  <c r="BH71" i="41"/>
  <c r="BH13" i="41"/>
  <c r="BH14" i="41"/>
  <c r="BH20" i="41"/>
  <c r="T25" i="41"/>
  <c r="BC25" i="41"/>
  <c r="BD25" i="41"/>
  <c r="BD35" i="41"/>
  <c r="BD42" i="41"/>
  <c r="BD32" i="41"/>
  <c r="BD9" i="41"/>
  <c r="T45" i="41"/>
  <c r="BC45" i="41"/>
  <c r="BD45" i="41"/>
  <c r="BD56" i="41"/>
  <c r="BD10" i="41"/>
  <c r="T69" i="41"/>
  <c r="BC69" i="41"/>
  <c r="BD69" i="41"/>
  <c r="BD71" i="41"/>
  <c r="BD13" i="41"/>
  <c r="BD14" i="41"/>
  <c r="U18" i="41"/>
  <c r="BD18" i="41"/>
  <c r="BD19" i="41"/>
  <c r="BD20" i="41"/>
  <c r="BM20" i="41"/>
  <c r="J24" i="10"/>
  <c r="H24" i="10"/>
  <c r="G24" i="10"/>
  <c r="F24" i="10"/>
  <c r="E24" i="10"/>
  <c r="BL25" i="41"/>
  <c r="BM25" i="41"/>
  <c r="BM32" i="41"/>
  <c r="BM35" i="41"/>
  <c r="BM42" i="41"/>
  <c r="BM9" i="41"/>
  <c r="BL45" i="41"/>
  <c r="BM45" i="41"/>
  <c r="BL55" i="41"/>
  <c r="BM56" i="41"/>
  <c r="BM10" i="41"/>
  <c r="BL69" i="41"/>
  <c r="BM69" i="41"/>
  <c r="BM71" i="41"/>
  <c r="BM13" i="41"/>
  <c r="BM14" i="41"/>
  <c r="J23" i="10"/>
  <c r="H23" i="10"/>
  <c r="G23" i="10"/>
  <c r="F23" i="10"/>
  <c r="E23" i="10"/>
  <c r="J22" i="10"/>
  <c r="G22" i="10"/>
  <c r="F22" i="10"/>
  <c r="E22" i="10"/>
  <c r="J21" i="10"/>
  <c r="G21" i="10"/>
  <c r="F21" i="10"/>
  <c r="E21" i="10"/>
  <c r="J20" i="10"/>
  <c r="G20" i="10"/>
  <c r="F20" i="10"/>
  <c r="E20" i="10"/>
  <c r="J19" i="10"/>
  <c r="G19" i="10"/>
  <c r="F19" i="10"/>
  <c r="E19" i="10"/>
  <c r="AF25" i="42"/>
  <c r="AF35" i="42"/>
  <c r="AF31" i="42"/>
  <c r="AF41" i="42"/>
  <c r="AF42" i="42"/>
  <c r="AF32" i="42"/>
  <c r="AF9" i="42"/>
  <c r="AF45" i="42"/>
  <c r="AF55" i="42"/>
  <c r="AF56" i="42"/>
  <c r="AF10" i="42"/>
  <c r="AF69" i="42"/>
  <c r="AF71" i="42"/>
  <c r="AF13" i="42"/>
  <c r="AF14" i="42"/>
  <c r="AF20" i="42"/>
  <c r="AF21" i="42"/>
  <c r="AF22" i="42"/>
  <c r="F25" i="12"/>
  <c r="O25" i="41"/>
  <c r="O35" i="41"/>
  <c r="O42" i="41"/>
  <c r="O32" i="41"/>
  <c r="O9" i="41"/>
  <c r="O45" i="41"/>
  <c r="O56" i="41"/>
  <c r="O10" i="41"/>
  <c r="O69" i="41"/>
  <c r="O71" i="41"/>
  <c r="O13" i="41"/>
  <c r="O14" i="41"/>
  <c r="O19" i="41"/>
  <c r="O20" i="41"/>
  <c r="O21" i="41"/>
  <c r="O22" i="41"/>
  <c r="E18" i="12"/>
  <c r="AU69" i="42"/>
  <c r="AU71" i="42"/>
  <c r="AS69" i="42"/>
  <c r="AS71" i="42"/>
  <c r="AS13" i="42"/>
  <c r="AH69" i="42"/>
  <c r="AH71" i="42"/>
  <c r="AH13" i="42"/>
  <c r="AD69" i="42"/>
  <c r="AD71" i="42"/>
  <c r="Q69" i="42"/>
  <c r="Q71" i="42"/>
  <c r="O69" i="42"/>
  <c r="O71" i="42"/>
  <c r="K69" i="42"/>
  <c r="K71" i="42"/>
  <c r="K13" i="42"/>
  <c r="BG70" i="42"/>
  <c r="BH70" i="42"/>
  <c r="BF70" i="42"/>
  <c r="BE70" i="42"/>
  <c r="BD70" i="42"/>
  <c r="AT70" i="42"/>
  <c r="AU70" i="42"/>
  <c r="AS70" i="42"/>
  <c r="AQ70" i="42"/>
  <c r="AO70" i="42"/>
  <c r="AM70" i="42"/>
  <c r="AJ70" i="42"/>
  <c r="AI70" i="42"/>
  <c r="AH70" i="42"/>
  <c r="AF70" i="42"/>
  <c r="AD70" i="42"/>
  <c r="AB70" i="42"/>
  <c r="AB69" i="42"/>
  <c r="AB71" i="42"/>
  <c r="AB13" i="42"/>
  <c r="Z70" i="42"/>
  <c r="X70" i="42"/>
  <c r="U70" i="42"/>
  <c r="T70" i="42"/>
  <c r="BC70" i="42"/>
  <c r="S70" i="42"/>
  <c r="Q70" i="42"/>
  <c r="O70" i="42"/>
  <c r="M70" i="42"/>
  <c r="M69" i="42"/>
  <c r="M71" i="42"/>
  <c r="M13" i="42"/>
  <c r="K70" i="42"/>
  <c r="I70" i="42"/>
  <c r="BG69" i="42"/>
  <c r="BE69" i="42"/>
  <c r="AT69" i="42"/>
  <c r="AQ69" i="42"/>
  <c r="AQ71" i="42"/>
  <c r="AQ13" i="42"/>
  <c r="AO69" i="42"/>
  <c r="AM69" i="42"/>
  <c r="AI69" i="42"/>
  <c r="AJ69" i="42"/>
  <c r="AJ71" i="42"/>
  <c r="AJ13" i="42"/>
  <c r="Z69" i="42"/>
  <c r="X69" i="42"/>
  <c r="U69" i="42"/>
  <c r="U71" i="42"/>
  <c r="U13" i="42"/>
  <c r="S69" i="42"/>
  <c r="S71" i="42"/>
  <c r="S13" i="42"/>
  <c r="I69" i="42"/>
  <c r="AV66" i="42"/>
  <c r="AQ66" i="42"/>
  <c r="AQ12" i="42"/>
  <c r="AO66" i="42"/>
  <c r="AO12" i="42"/>
  <c r="AM66" i="42"/>
  <c r="X66" i="42"/>
  <c r="X12" i="42"/>
  <c r="S66" i="42"/>
  <c r="S12" i="42"/>
  <c r="I66" i="42"/>
  <c r="I12" i="42"/>
  <c r="BC65" i="42"/>
  <c r="BD65" i="42"/>
  <c r="AT65" i="42"/>
  <c r="BG65" i="42"/>
  <c r="BH65" i="42"/>
  <c r="AS65" i="42"/>
  <c r="AQ65" i="42"/>
  <c r="AO65" i="42"/>
  <c r="AM65" i="42"/>
  <c r="AI65" i="42"/>
  <c r="AH65" i="42"/>
  <c r="AF65" i="42"/>
  <c r="AD65" i="42"/>
  <c r="AB65" i="42"/>
  <c r="Z65" i="42"/>
  <c r="X65" i="42"/>
  <c r="T65" i="42"/>
  <c r="U65" i="42"/>
  <c r="S65" i="42"/>
  <c r="Q65" i="42"/>
  <c r="O65" i="42"/>
  <c r="M65" i="42"/>
  <c r="K65" i="42"/>
  <c r="I65" i="42"/>
  <c r="BG64" i="42"/>
  <c r="BH64" i="42"/>
  <c r="BH66" i="42"/>
  <c r="BH12" i="42"/>
  <c r="BF64" i="42"/>
  <c r="AT64" i="42"/>
  <c r="AU64" i="42"/>
  <c r="AS64" i="42"/>
  <c r="AQ64" i="42"/>
  <c r="AO64" i="42"/>
  <c r="AM64" i="42"/>
  <c r="AI64" i="42"/>
  <c r="BE64" i="42"/>
  <c r="AH64" i="42"/>
  <c r="AH66" i="42"/>
  <c r="AF64" i="42"/>
  <c r="AF66" i="42"/>
  <c r="AD64" i="42"/>
  <c r="AB64" i="42"/>
  <c r="AB66" i="42"/>
  <c r="AB12" i="42"/>
  <c r="Z64" i="42"/>
  <c r="Z66" i="42"/>
  <c r="Z12" i="42"/>
  <c r="X64" i="42"/>
  <c r="T64" i="42"/>
  <c r="BC64" i="42"/>
  <c r="BD64" i="42"/>
  <c r="BD66" i="42"/>
  <c r="BD12" i="42"/>
  <c r="S64" i="42"/>
  <c r="Q64" i="42"/>
  <c r="Q66" i="42"/>
  <c r="O64" i="42"/>
  <c r="O66" i="42"/>
  <c r="M64" i="42"/>
  <c r="M66" i="42"/>
  <c r="K64" i="42"/>
  <c r="K66" i="42"/>
  <c r="K12" i="42"/>
  <c r="I64" i="42"/>
  <c r="AS61" i="42"/>
  <c r="AS11" i="42"/>
  <c r="AQ61" i="42"/>
  <c r="AQ11" i="42"/>
  <c r="AF61" i="42"/>
  <c r="AF11" i="42"/>
  <c r="AD61" i="42"/>
  <c r="AB61" i="42"/>
  <c r="AB11" i="42"/>
  <c r="Z61" i="42"/>
  <c r="Z11" i="42"/>
  <c r="O61" i="42"/>
  <c r="M61" i="42"/>
  <c r="BC60" i="42"/>
  <c r="BD60" i="42"/>
  <c r="AT60" i="42"/>
  <c r="BG60" i="42"/>
  <c r="BH60" i="42"/>
  <c r="AS60" i="42"/>
  <c r="AQ60" i="42"/>
  <c r="AO60" i="42"/>
  <c r="AM60" i="42"/>
  <c r="AI60" i="42"/>
  <c r="BE60" i="42"/>
  <c r="BF60" i="42"/>
  <c r="AH60" i="42"/>
  <c r="AF60" i="42"/>
  <c r="AD60" i="42"/>
  <c r="AB60" i="42"/>
  <c r="Z60" i="42"/>
  <c r="X60" i="42"/>
  <c r="T60" i="42"/>
  <c r="U60" i="42"/>
  <c r="S60" i="42"/>
  <c r="Q60" i="42"/>
  <c r="O60" i="42"/>
  <c r="M60" i="42"/>
  <c r="K60" i="42"/>
  <c r="K61" i="42"/>
  <c r="K11" i="42"/>
  <c r="I60" i="42"/>
  <c r="I61" i="42"/>
  <c r="I11" i="42"/>
  <c r="AU59" i="42"/>
  <c r="AT59" i="42"/>
  <c r="BG59" i="42"/>
  <c r="BH59" i="42"/>
  <c r="AS59" i="42"/>
  <c r="AQ59" i="42"/>
  <c r="AO59" i="42"/>
  <c r="AO61" i="42"/>
  <c r="AM59" i="42"/>
  <c r="AM61" i="42"/>
  <c r="AI59" i="42"/>
  <c r="BE59" i="42"/>
  <c r="BF59" i="42"/>
  <c r="AH59" i="42"/>
  <c r="AH61" i="42"/>
  <c r="AF59" i="42"/>
  <c r="AD59" i="42"/>
  <c r="AB59" i="42"/>
  <c r="Z59" i="42"/>
  <c r="X59" i="42"/>
  <c r="X61" i="42"/>
  <c r="X11" i="42"/>
  <c r="T59" i="42"/>
  <c r="BC59" i="42"/>
  <c r="S59" i="42"/>
  <c r="S61" i="42"/>
  <c r="S11" i="42"/>
  <c r="Q59" i="42"/>
  <c r="Q61" i="42"/>
  <c r="O59" i="42"/>
  <c r="M59" i="42"/>
  <c r="K59" i="42"/>
  <c r="I59" i="42"/>
  <c r="AM45" i="42"/>
  <c r="AM55" i="42"/>
  <c r="AM56" i="42"/>
  <c r="AH45" i="42"/>
  <c r="AH55" i="42"/>
  <c r="AH56" i="42"/>
  <c r="S45" i="42"/>
  <c r="S55" i="42"/>
  <c r="S56" i="42"/>
  <c r="Q45" i="42"/>
  <c r="Q55" i="42"/>
  <c r="Q56" i="42"/>
  <c r="AT55" i="42"/>
  <c r="AU55" i="42"/>
  <c r="AS55" i="42"/>
  <c r="AQ55" i="42"/>
  <c r="AO55" i="42"/>
  <c r="AI55" i="42"/>
  <c r="BE55" i="42"/>
  <c r="AD55" i="42"/>
  <c r="AB55" i="42"/>
  <c r="Z55" i="42"/>
  <c r="X55" i="42"/>
  <c r="O45" i="42"/>
  <c r="O56" i="42"/>
  <c r="O10" i="42"/>
  <c r="BG45" i="42"/>
  <c r="BE45" i="42"/>
  <c r="AT45" i="42"/>
  <c r="AU45" i="42"/>
  <c r="AS45" i="42"/>
  <c r="AQ45" i="42"/>
  <c r="AO45" i="42"/>
  <c r="AO56" i="42"/>
  <c r="AO10" i="42"/>
  <c r="AJ45" i="42"/>
  <c r="AI45" i="42"/>
  <c r="AD45" i="42"/>
  <c r="AD56" i="42"/>
  <c r="AD10" i="42"/>
  <c r="AB45" i="42"/>
  <c r="AB56" i="42"/>
  <c r="AB10" i="42"/>
  <c r="Z45" i="42"/>
  <c r="Z56" i="42"/>
  <c r="Z10" i="42"/>
  <c r="X45" i="42"/>
  <c r="X56" i="42"/>
  <c r="U45" i="42"/>
  <c r="M45" i="42"/>
  <c r="M56" i="42"/>
  <c r="M10" i="42"/>
  <c r="K45" i="42"/>
  <c r="K56" i="42"/>
  <c r="K10" i="42"/>
  <c r="I45" i="42"/>
  <c r="I56" i="42"/>
  <c r="AM25" i="42"/>
  <c r="AM35" i="42"/>
  <c r="AM31" i="42"/>
  <c r="AM41" i="42"/>
  <c r="AM42" i="42"/>
  <c r="AM32" i="42"/>
  <c r="AM9" i="42"/>
  <c r="Z25" i="42"/>
  <c r="Z35" i="42"/>
  <c r="Z31" i="42"/>
  <c r="Z41" i="42"/>
  <c r="Z42" i="42"/>
  <c r="AS31" i="42"/>
  <c r="AS41" i="42"/>
  <c r="AQ31" i="42"/>
  <c r="AQ41" i="42"/>
  <c r="AO31" i="42"/>
  <c r="AO41" i="42"/>
  <c r="AD31" i="42"/>
  <c r="AD41" i="42"/>
  <c r="X31" i="42"/>
  <c r="X41" i="42"/>
  <c r="S41" i="42"/>
  <c r="AO25" i="42"/>
  <c r="AO35" i="42"/>
  <c r="AO42" i="42"/>
  <c r="AO32" i="42"/>
  <c r="AO9" i="42"/>
  <c r="X25" i="42"/>
  <c r="X35" i="42"/>
  <c r="X42" i="42"/>
  <c r="X32" i="42"/>
  <c r="X9" i="42"/>
  <c r="U25" i="42"/>
  <c r="U35" i="42"/>
  <c r="U42" i="42"/>
  <c r="K25" i="42"/>
  <c r="K35" i="42"/>
  <c r="I25" i="42"/>
  <c r="I35" i="42"/>
  <c r="I42" i="42"/>
  <c r="C35" i="42"/>
  <c r="B35" i="42"/>
  <c r="AR32" i="42"/>
  <c r="AP32" i="42"/>
  <c r="AP9" i="42"/>
  <c r="AN32" i="42"/>
  <c r="AL32" i="42"/>
  <c r="AG32" i="42"/>
  <c r="AE32" i="42"/>
  <c r="AE9" i="42"/>
  <c r="AC32" i="42"/>
  <c r="AA32" i="42"/>
  <c r="Z32" i="42"/>
  <c r="Y32" i="42"/>
  <c r="W32" i="42"/>
  <c r="W9" i="42"/>
  <c r="R32" i="42"/>
  <c r="Q25" i="42"/>
  <c r="Q32" i="42"/>
  <c r="Q35" i="42"/>
  <c r="Q41" i="42"/>
  <c r="Q42" i="42"/>
  <c r="Q9" i="42"/>
  <c r="P32" i="42"/>
  <c r="P9" i="42"/>
  <c r="N32" i="42"/>
  <c r="L32" i="42"/>
  <c r="J32" i="42"/>
  <c r="I32" i="42"/>
  <c r="H32" i="42"/>
  <c r="H9" i="42"/>
  <c r="AI31" i="42"/>
  <c r="AH31" i="42"/>
  <c r="AH41" i="42"/>
  <c r="AB31" i="42"/>
  <c r="AB41" i="42"/>
  <c r="K32" i="42"/>
  <c r="AT25" i="42"/>
  <c r="BG25" i="42"/>
  <c r="AS25" i="42"/>
  <c r="AS32" i="42"/>
  <c r="AQ25" i="42"/>
  <c r="AQ32" i="42"/>
  <c r="AI25" i="42"/>
  <c r="AJ25" i="42"/>
  <c r="AH25" i="42"/>
  <c r="AH35" i="42"/>
  <c r="AH42" i="42"/>
  <c r="AD25" i="42"/>
  <c r="AB25" i="42"/>
  <c r="AB32" i="42"/>
  <c r="S25" i="42"/>
  <c r="O25" i="42"/>
  <c r="O35" i="42"/>
  <c r="O42" i="42"/>
  <c r="M25" i="42"/>
  <c r="AW20" i="42"/>
  <c r="AW21" i="42"/>
  <c r="AW22" i="42"/>
  <c r="AS19" i="42"/>
  <c r="AQ19" i="42"/>
  <c r="AO19" i="42"/>
  <c r="AM19" i="42"/>
  <c r="AH19" i="42"/>
  <c r="AF19" i="42"/>
  <c r="AD19" i="42"/>
  <c r="AB19" i="42"/>
  <c r="Z19" i="42"/>
  <c r="X19" i="42"/>
  <c r="S19" i="42"/>
  <c r="Q19" i="42"/>
  <c r="O19" i="42"/>
  <c r="M19" i="42"/>
  <c r="K19" i="42"/>
  <c r="I19" i="42"/>
  <c r="BF18" i="42"/>
  <c r="AU18" i="42"/>
  <c r="BH18" i="42"/>
  <c r="AJ18" i="42"/>
  <c r="AU17" i="42"/>
  <c r="BH17" i="42"/>
  <c r="AJ17" i="42"/>
  <c r="BF17" i="42"/>
  <c r="BF19" i="42"/>
  <c r="U17" i="42"/>
  <c r="BD17" i="42"/>
  <c r="BM17" i="42"/>
  <c r="BD16" i="42"/>
  <c r="AU16" i="42"/>
  <c r="BH16" i="42"/>
  <c r="BH19" i="42"/>
  <c r="AJ16" i="42"/>
  <c r="BF16" i="42"/>
  <c r="U16" i="42"/>
  <c r="BJ13" i="42"/>
  <c r="AU13" i="42"/>
  <c r="AD13" i="42"/>
  <c r="Q13" i="42"/>
  <c r="O13" i="42"/>
  <c r="BJ12" i="42"/>
  <c r="AM12" i="42"/>
  <c r="AH12" i="42"/>
  <c r="AF12" i="42"/>
  <c r="Q12" i="42"/>
  <c r="O12" i="42"/>
  <c r="M12" i="42"/>
  <c r="BJ11" i="42"/>
  <c r="AO11" i="42"/>
  <c r="AM11" i="42"/>
  <c r="AH11" i="42"/>
  <c r="AD11" i="42"/>
  <c r="Q11" i="42"/>
  <c r="O11" i="42"/>
  <c r="M11" i="42"/>
  <c r="BJ10" i="42"/>
  <c r="AM10" i="42"/>
  <c r="AH10" i="42"/>
  <c r="X10" i="42"/>
  <c r="S10" i="42"/>
  <c r="Q10" i="42"/>
  <c r="Q14" i="42"/>
  <c r="Q20" i="42"/>
  <c r="Q21" i="42"/>
  <c r="Q22" i="42"/>
  <c r="F19" i="12"/>
  <c r="I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S69" i="41"/>
  <c r="AS71" i="41"/>
  <c r="AS13" i="41"/>
  <c r="AH69" i="41"/>
  <c r="AH71" i="41"/>
  <c r="AH13" i="41"/>
  <c r="AF69" i="41"/>
  <c r="AF71" i="41"/>
  <c r="AF13" i="41"/>
  <c r="AD69" i="41"/>
  <c r="AD71" i="41"/>
  <c r="Q69" i="41"/>
  <c r="Q71" i="41"/>
  <c r="K69" i="41"/>
  <c r="K71" i="41"/>
  <c r="K13" i="41"/>
  <c r="BG70" i="41"/>
  <c r="BH70" i="41"/>
  <c r="BF70" i="41"/>
  <c r="BE70" i="41"/>
  <c r="BD70" i="41"/>
  <c r="AT70" i="41"/>
  <c r="AU70" i="41"/>
  <c r="AS70" i="41"/>
  <c r="AQ70" i="41"/>
  <c r="AO70" i="41"/>
  <c r="AM70" i="41"/>
  <c r="AJ70" i="41"/>
  <c r="AI70" i="41"/>
  <c r="AH70" i="41"/>
  <c r="AF70" i="41"/>
  <c r="AD70" i="41"/>
  <c r="AB70" i="41"/>
  <c r="AB69" i="41"/>
  <c r="AB71" i="41"/>
  <c r="AB13" i="41"/>
  <c r="Z70" i="41"/>
  <c r="X70" i="41"/>
  <c r="U70" i="41"/>
  <c r="T70" i="41"/>
  <c r="BC70" i="41"/>
  <c r="S70" i="41"/>
  <c r="Q70" i="41"/>
  <c r="O70" i="41"/>
  <c r="M70" i="41"/>
  <c r="M69" i="41"/>
  <c r="M71" i="41"/>
  <c r="M13" i="41"/>
  <c r="K70" i="41"/>
  <c r="I70" i="41"/>
  <c r="BG69" i="41"/>
  <c r="AU69" i="41"/>
  <c r="AU71" i="41"/>
  <c r="AU13" i="41"/>
  <c r="AT69" i="41"/>
  <c r="AQ69" i="41"/>
  <c r="AO69" i="41"/>
  <c r="AM69" i="41"/>
  <c r="AI69" i="41"/>
  <c r="BE69" i="41"/>
  <c r="Z69" i="41"/>
  <c r="X69" i="41"/>
  <c r="U69" i="41"/>
  <c r="U71" i="41"/>
  <c r="U13" i="41"/>
  <c r="S69" i="41"/>
  <c r="S71" i="41"/>
  <c r="S13" i="41"/>
  <c r="I69" i="41"/>
  <c r="AV66" i="41"/>
  <c r="AQ66" i="41"/>
  <c r="AQ12" i="41"/>
  <c r="AM66" i="41"/>
  <c r="X66" i="41"/>
  <c r="X12" i="41"/>
  <c r="U66" i="41"/>
  <c r="U12" i="41"/>
  <c r="S66" i="41"/>
  <c r="S12" i="41"/>
  <c r="I66" i="41"/>
  <c r="I12" i="41"/>
  <c r="AT65" i="41"/>
  <c r="BG65" i="41"/>
  <c r="BH65" i="41"/>
  <c r="AS65" i="41"/>
  <c r="AQ65" i="41"/>
  <c r="AO65" i="41"/>
  <c r="AM65" i="41"/>
  <c r="AI65" i="41"/>
  <c r="AH65" i="41"/>
  <c r="AF65" i="41"/>
  <c r="AD65" i="41"/>
  <c r="AB65" i="41"/>
  <c r="Z65" i="41"/>
  <c r="X65" i="41"/>
  <c r="T65" i="41"/>
  <c r="U65" i="41"/>
  <c r="S65" i="41"/>
  <c r="Q65" i="41"/>
  <c r="O65" i="41"/>
  <c r="M65" i="41"/>
  <c r="K65" i="41"/>
  <c r="I65" i="41"/>
  <c r="AT64" i="41"/>
  <c r="AU64" i="41"/>
  <c r="AS64" i="41"/>
  <c r="AQ64" i="41"/>
  <c r="AO64" i="41"/>
  <c r="AO66" i="41"/>
  <c r="AO12" i="41"/>
  <c r="AM64" i="41"/>
  <c r="AJ64" i="41"/>
  <c r="AI64" i="41"/>
  <c r="BE64" i="41"/>
  <c r="BF64" i="41"/>
  <c r="AH64" i="41"/>
  <c r="AH66" i="41"/>
  <c r="AF64" i="41"/>
  <c r="AF66" i="41"/>
  <c r="AF12" i="41"/>
  <c r="AD64" i="41"/>
  <c r="AD66" i="41"/>
  <c r="AD12" i="41"/>
  <c r="AB64" i="41"/>
  <c r="AB66" i="41"/>
  <c r="AB12" i="41"/>
  <c r="Z64" i="41"/>
  <c r="Z66" i="41"/>
  <c r="Z12" i="41"/>
  <c r="X64" i="41"/>
  <c r="U64" i="41"/>
  <c r="T64" i="41"/>
  <c r="BC64" i="41"/>
  <c r="BD64" i="41"/>
  <c r="S64" i="41"/>
  <c r="Q64" i="41"/>
  <c r="Q66" i="41"/>
  <c r="O64" i="41"/>
  <c r="O66" i="41"/>
  <c r="M64" i="41"/>
  <c r="M66" i="41"/>
  <c r="M12" i="41"/>
  <c r="K64" i="41"/>
  <c r="K66" i="41"/>
  <c r="K12" i="41"/>
  <c r="I64" i="41"/>
  <c r="AS61" i="41"/>
  <c r="AS11" i="41"/>
  <c r="AQ61" i="41"/>
  <c r="AQ11" i="41"/>
  <c r="AF61" i="41"/>
  <c r="AD61" i="41"/>
  <c r="AB61" i="41"/>
  <c r="AB11" i="41"/>
  <c r="O61" i="41"/>
  <c r="M61" i="41"/>
  <c r="AT60" i="41"/>
  <c r="BG60" i="41"/>
  <c r="BH60" i="41"/>
  <c r="AS60" i="41"/>
  <c r="AQ60" i="41"/>
  <c r="AO60" i="41"/>
  <c r="AM60" i="41"/>
  <c r="AI60" i="41"/>
  <c r="AJ60" i="41"/>
  <c r="AH60" i="41"/>
  <c r="AF60" i="41"/>
  <c r="AD60" i="41"/>
  <c r="AB60" i="41"/>
  <c r="Z60" i="41"/>
  <c r="Z61" i="41"/>
  <c r="Z11" i="41"/>
  <c r="X60" i="41"/>
  <c r="T60" i="41"/>
  <c r="BC60" i="41"/>
  <c r="S60" i="41"/>
  <c r="Q60" i="41"/>
  <c r="O60" i="41"/>
  <c r="M60" i="41"/>
  <c r="K60" i="41"/>
  <c r="K61" i="41"/>
  <c r="K11" i="41"/>
  <c r="I60" i="41"/>
  <c r="I61" i="41"/>
  <c r="I11" i="41"/>
  <c r="AU59" i="41"/>
  <c r="AT59" i="41"/>
  <c r="BG59" i="41"/>
  <c r="BH59" i="41"/>
  <c r="BH61" i="41"/>
  <c r="AS59" i="41"/>
  <c r="AQ59" i="41"/>
  <c r="AO59" i="41"/>
  <c r="AO61" i="41"/>
  <c r="AO11" i="41"/>
  <c r="AM59" i="41"/>
  <c r="AM61" i="41"/>
  <c r="AM11" i="41"/>
  <c r="AI59" i="41"/>
  <c r="BE59" i="41"/>
  <c r="BF59" i="41"/>
  <c r="AH59" i="41"/>
  <c r="AH61" i="41"/>
  <c r="AF59" i="41"/>
  <c r="AD59" i="41"/>
  <c r="AB59" i="41"/>
  <c r="Z59" i="41"/>
  <c r="X59" i="41"/>
  <c r="X61" i="41"/>
  <c r="X11" i="41"/>
  <c r="T59" i="41"/>
  <c r="U59" i="41"/>
  <c r="S59" i="41"/>
  <c r="S61" i="41"/>
  <c r="Q59" i="41"/>
  <c r="Q61" i="41"/>
  <c r="O59" i="41"/>
  <c r="M59" i="41"/>
  <c r="K59" i="41"/>
  <c r="I59" i="41"/>
  <c r="AH45" i="41"/>
  <c r="AH55" i="41"/>
  <c r="AH56" i="41"/>
  <c r="AH10" i="41"/>
  <c r="AF45" i="41"/>
  <c r="AF55" i="41"/>
  <c r="AF56" i="41"/>
  <c r="AF10" i="41"/>
  <c r="S45" i="41"/>
  <c r="S55" i="41"/>
  <c r="S56" i="41"/>
  <c r="Q45" i="41"/>
  <c r="Q55" i="41"/>
  <c r="Q56" i="41"/>
  <c r="Q10" i="41"/>
  <c r="BG55" i="41"/>
  <c r="AT55" i="41"/>
  <c r="AU55" i="41"/>
  <c r="AS55" i="41"/>
  <c r="AS45" i="41"/>
  <c r="AS56" i="41"/>
  <c r="AS10" i="41"/>
  <c r="AQ55" i="41"/>
  <c r="AO55" i="41"/>
  <c r="AM55" i="41"/>
  <c r="AJ55" i="41"/>
  <c r="AI55" i="41"/>
  <c r="BE55" i="41"/>
  <c r="AD55" i="41"/>
  <c r="AB55" i="41"/>
  <c r="Z55" i="41"/>
  <c r="X55" i="41"/>
  <c r="M55" i="41"/>
  <c r="BG45" i="41"/>
  <c r="BE45" i="41"/>
  <c r="AT45" i="41"/>
  <c r="AU45" i="41"/>
  <c r="AU56" i="41"/>
  <c r="AQ45" i="41"/>
  <c r="AQ56" i="41"/>
  <c r="AO45" i="41"/>
  <c r="AO56" i="41"/>
  <c r="AM45" i="41"/>
  <c r="AM56" i="41"/>
  <c r="AM10" i="41"/>
  <c r="AJ45" i="41"/>
  <c r="AJ56" i="41"/>
  <c r="AJ10" i="41"/>
  <c r="AI45" i="41"/>
  <c r="AD45" i="41"/>
  <c r="AD56" i="41"/>
  <c r="AB45" i="41"/>
  <c r="AB56" i="41"/>
  <c r="AB10" i="41"/>
  <c r="Z45" i="41"/>
  <c r="Z56" i="41"/>
  <c r="X45" i="41"/>
  <c r="X56" i="41"/>
  <c r="U45" i="41"/>
  <c r="U56" i="41"/>
  <c r="U10" i="41"/>
  <c r="M45" i="41"/>
  <c r="M56" i="41"/>
  <c r="K45" i="41"/>
  <c r="K56" i="41"/>
  <c r="K10" i="41"/>
  <c r="I45" i="41"/>
  <c r="I56" i="41"/>
  <c r="I10" i="41"/>
  <c r="X25" i="41"/>
  <c r="X35" i="41"/>
  <c r="X31" i="41"/>
  <c r="X41" i="41"/>
  <c r="X42" i="41"/>
  <c r="X32" i="41"/>
  <c r="X9" i="41"/>
  <c r="AS31" i="41"/>
  <c r="AS41" i="41"/>
  <c r="AQ31" i="41"/>
  <c r="AQ41" i="41"/>
  <c r="AO31" i="41"/>
  <c r="AO41" i="41"/>
  <c r="AM31" i="41"/>
  <c r="AM41" i="41"/>
  <c r="AD31" i="41"/>
  <c r="AD41" i="41"/>
  <c r="Z31" i="41"/>
  <c r="Z41" i="41"/>
  <c r="AO25" i="41"/>
  <c r="AO35" i="41"/>
  <c r="AO42" i="41"/>
  <c r="AM25" i="41"/>
  <c r="AM35" i="41"/>
  <c r="AM42" i="41"/>
  <c r="AB25" i="41"/>
  <c r="AB35" i="41"/>
  <c r="AB31" i="41"/>
  <c r="AB41" i="41"/>
  <c r="AB42" i="41"/>
  <c r="AB32" i="41"/>
  <c r="AB9" i="41"/>
  <c r="AB14" i="41"/>
  <c r="AB20" i="41"/>
  <c r="AB21" i="41"/>
  <c r="AB22" i="41"/>
  <c r="E23" i="12"/>
  <c r="Z25" i="41"/>
  <c r="Z35" i="41"/>
  <c r="Z42" i="41"/>
  <c r="U25" i="41"/>
  <c r="U35" i="41"/>
  <c r="K25" i="41"/>
  <c r="K35" i="41"/>
  <c r="I25" i="41"/>
  <c r="I35" i="41"/>
  <c r="I42" i="41"/>
  <c r="C35" i="41"/>
  <c r="B35" i="41"/>
  <c r="BE32" i="41"/>
  <c r="AR32" i="41"/>
  <c r="AP32" i="41"/>
  <c r="AP9" i="41"/>
  <c r="AO32" i="41"/>
  <c r="AN32" i="41"/>
  <c r="AN9" i="41"/>
  <c r="AL32" i="41"/>
  <c r="AT32" i="41"/>
  <c r="AT9" i="41"/>
  <c r="BG9" i="41"/>
  <c r="AG32" i="41"/>
  <c r="AG9" i="41"/>
  <c r="AE32" i="41"/>
  <c r="AC32" i="41"/>
  <c r="AA32" i="41"/>
  <c r="Z32" i="41"/>
  <c r="Y32" i="41"/>
  <c r="W32" i="41"/>
  <c r="R32" i="41"/>
  <c r="P32" i="41"/>
  <c r="N32" i="41"/>
  <c r="N9" i="41"/>
  <c r="L32" i="41"/>
  <c r="J32" i="41"/>
  <c r="I32" i="41"/>
  <c r="H32" i="41"/>
  <c r="AU31" i="41"/>
  <c r="AU41" i="41"/>
  <c r="AI31" i="41"/>
  <c r="AH31" i="41"/>
  <c r="AH41" i="41"/>
  <c r="AF31" i="41"/>
  <c r="AF41" i="41"/>
  <c r="U42" i="41"/>
  <c r="S41" i="41"/>
  <c r="Q41" i="41"/>
  <c r="K32" i="41"/>
  <c r="AT25" i="41"/>
  <c r="BG25" i="41"/>
  <c r="AS25" i="41"/>
  <c r="AS32" i="41"/>
  <c r="AQ25" i="41"/>
  <c r="AQ35" i="41"/>
  <c r="AQ42" i="41"/>
  <c r="AM32" i="41"/>
  <c r="AJ25" i="41"/>
  <c r="AI25" i="41"/>
  <c r="BE25" i="41"/>
  <c r="AH25" i="41"/>
  <c r="AH35" i="41"/>
  <c r="AF25" i="41"/>
  <c r="AF35" i="41"/>
  <c r="AF42" i="41"/>
  <c r="AD25" i="41"/>
  <c r="S25" i="41"/>
  <c r="Q25" i="41"/>
  <c r="Q35" i="41"/>
  <c r="Q42" i="41"/>
  <c r="M25" i="41"/>
  <c r="AW20" i="41"/>
  <c r="AW21" i="41"/>
  <c r="AW22" i="41"/>
  <c r="AU19" i="41"/>
  <c r="AS19" i="41"/>
  <c r="AQ19" i="41"/>
  <c r="AO19" i="41"/>
  <c r="AM19" i="41"/>
  <c r="AH19" i="41"/>
  <c r="AF19" i="41"/>
  <c r="AD19" i="41"/>
  <c r="AB19" i="41"/>
  <c r="Z19" i="41"/>
  <c r="X19" i="41"/>
  <c r="S19" i="41"/>
  <c r="Q19" i="41"/>
  <c r="M19" i="41"/>
  <c r="K19" i="41"/>
  <c r="I19" i="41"/>
  <c r="AU18" i="41"/>
  <c r="BH18" i="41"/>
  <c r="AJ18" i="41"/>
  <c r="BF18" i="41"/>
  <c r="AU17" i="41"/>
  <c r="BH17" i="41"/>
  <c r="BH19" i="41"/>
  <c r="AJ17" i="41"/>
  <c r="AJ19" i="41"/>
  <c r="U17" i="41"/>
  <c r="BD17" i="41"/>
  <c r="BF16" i="41"/>
  <c r="BD16" i="41"/>
  <c r="BM16" i="41"/>
  <c r="AU16" i="41"/>
  <c r="BH16" i="41"/>
  <c r="AJ16" i="41"/>
  <c r="U16" i="41"/>
  <c r="U19" i="41"/>
  <c r="AX20" i="41"/>
  <c r="AX22" i="41"/>
  <c r="BJ13" i="41"/>
  <c r="AD13" i="41"/>
  <c r="Q13" i="41"/>
  <c r="BJ12" i="41"/>
  <c r="AM12" i="41"/>
  <c r="AH12" i="41"/>
  <c r="Q12" i="41"/>
  <c r="O12" i="41"/>
  <c r="BJ11" i="41"/>
  <c r="BH11" i="41"/>
  <c r="AH11" i="41"/>
  <c r="AF11" i="41"/>
  <c r="AD11" i="41"/>
  <c r="S11" i="41"/>
  <c r="Q11" i="41"/>
  <c r="O11" i="41"/>
  <c r="M11" i="41"/>
  <c r="BJ10" i="41"/>
  <c r="AU10" i="41"/>
  <c r="AQ10" i="41"/>
  <c r="AO10" i="41"/>
  <c r="AD10" i="41"/>
  <c r="Z10" i="41"/>
  <c r="X10" i="41"/>
  <c r="S10" i="41"/>
  <c r="M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K42" i="42"/>
  <c r="AY20" i="42"/>
  <c r="BG32" i="42"/>
  <c r="BL59" i="42"/>
  <c r="BM59" i="42"/>
  <c r="BD59" i="42"/>
  <c r="BD61" i="42"/>
  <c r="BD11" i="42"/>
  <c r="AJ55" i="42"/>
  <c r="AJ56" i="42"/>
  <c r="AJ10" i="42"/>
  <c r="K9" i="42"/>
  <c r="K14" i="42"/>
  <c r="K20" i="42"/>
  <c r="K21" i="42"/>
  <c r="K22" i="42"/>
  <c r="F16" i="12"/>
  <c r="AO71" i="42"/>
  <c r="AO13" i="42"/>
  <c r="AO14" i="42"/>
  <c r="AO20" i="42"/>
  <c r="AO21" i="42"/>
  <c r="AO22" i="42"/>
  <c r="F28" i="12"/>
  <c r="AQ35" i="42"/>
  <c r="AQ42" i="42"/>
  <c r="AQ9" i="42"/>
  <c r="AQ56" i="42"/>
  <c r="AQ10" i="42"/>
  <c r="AQ14" i="42"/>
  <c r="AQ20" i="42"/>
  <c r="AQ21" i="42"/>
  <c r="AQ22" i="42"/>
  <c r="F29" i="12"/>
  <c r="BF61" i="42"/>
  <c r="BF11" i="42"/>
  <c r="I9" i="42"/>
  <c r="AS66" i="42"/>
  <c r="AS12" i="42"/>
  <c r="U19" i="42"/>
  <c r="U32" i="42"/>
  <c r="U9" i="42"/>
  <c r="U56" i="42"/>
  <c r="U10" i="42"/>
  <c r="U14" i="42"/>
  <c r="U20" i="42"/>
  <c r="U21" i="42"/>
  <c r="U22" i="42"/>
  <c r="I71" i="42"/>
  <c r="I13" i="42"/>
  <c r="X71" i="42"/>
  <c r="X13" i="42"/>
  <c r="X14" i="42"/>
  <c r="X20" i="42"/>
  <c r="X21" i="42"/>
  <c r="X22" i="42"/>
  <c r="F21" i="12"/>
  <c r="AM71" i="42"/>
  <c r="AM13" i="42"/>
  <c r="AM14" i="42"/>
  <c r="AM20" i="42"/>
  <c r="AM21" i="42"/>
  <c r="AM22" i="42"/>
  <c r="F27" i="12"/>
  <c r="BM18" i="42"/>
  <c r="AS35" i="42"/>
  <c r="AS42" i="42"/>
  <c r="AS9" i="42"/>
  <c r="AS56" i="42"/>
  <c r="AS10" i="42"/>
  <c r="AS14" i="42"/>
  <c r="AS20" i="42"/>
  <c r="AS21" i="42"/>
  <c r="AS22" i="42"/>
  <c r="F30" i="12"/>
  <c r="AJ59" i="42"/>
  <c r="AU25" i="42"/>
  <c r="AU56" i="42"/>
  <c r="AU10" i="42"/>
  <c r="Z9" i="42"/>
  <c r="AB35" i="42"/>
  <c r="AB42" i="42"/>
  <c r="AB9" i="42"/>
  <c r="AB14" i="42"/>
  <c r="AB20" i="42"/>
  <c r="AB21" i="42"/>
  <c r="AB22" i="42"/>
  <c r="F23" i="12"/>
  <c r="BE65" i="42"/>
  <c r="BF65" i="42"/>
  <c r="BF66" i="42"/>
  <c r="BF12" i="42"/>
  <c r="AJ65" i="42"/>
  <c r="AJ19" i="42"/>
  <c r="AJ31" i="42"/>
  <c r="AJ41" i="42"/>
  <c r="O32" i="42"/>
  <c r="O9" i="42"/>
  <c r="O14" i="42"/>
  <c r="O20" i="42"/>
  <c r="O21" i="42"/>
  <c r="O22" i="42"/>
  <c r="F18" i="12"/>
  <c r="BH61" i="42"/>
  <c r="BH11" i="42"/>
  <c r="BL65" i="42"/>
  <c r="BM65" i="42"/>
  <c r="Z71" i="42"/>
  <c r="Z13" i="42"/>
  <c r="BL70" i="42"/>
  <c r="BM70" i="42"/>
  <c r="M35" i="42"/>
  <c r="M42" i="42"/>
  <c r="M32" i="42"/>
  <c r="T32" i="42"/>
  <c r="T9" i="42"/>
  <c r="U59" i="42"/>
  <c r="U61" i="42"/>
  <c r="U11" i="42"/>
  <c r="AI32" i="42"/>
  <c r="AI9" i="42"/>
  <c r="BE9" i="42"/>
  <c r="AU19" i="42"/>
  <c r="AH32" i="42"/>
  <c r="AH9" i="42"/>
  <c r="AH14" i="42"/>
  <c r="AH20" i="42"/>
  <c r="AH21" i="42"/>
  <c r="AH22" i="42"/>
  <c r="F26" i="12"/>
  <c r="AJ60" i="42"/>
  <c r="AD66" i="42"/>
  <c r="AD12" i="42"/>
  <c r="AU65" i="42"/>
  <c r="AU66" i="42"/>
  <c r="AU12" i="42"/>
  <c r="BL64" i="42"/>
  <c r="BM64" i="42"/>
  <c r="BM66" i="42"/>
  <c r="BM12" i="42"/>
  <c r="BM16" i="42"/>
  <c r="AD35" i="42"/>
  <c r="AD42" i="42"/>
  <c r="AD32" i="42"/>
  <c r="AD9" i="42"/>
  <c r="AD14" i="42"/>
  <c r="AD20" i="42"/>
  <c r="AD21" i="42"/>
  <c r="AD22" i="42"/>
  <c r="F24" i="12"/>
  <c r="BL60" i="42"/>
  <c r="BM60" i="42"/>
  <c r="BM19" i="42"/>
  <c r="S32" i="42"/>
  <c r="S35" i="42"/>
  <c r="S42" i="42"/>
  <c r="AJ35" i="42"/>
  <c r="AJ42" i="42"/>
  <c r="AU31" i="42"/>
  <c r="AU41" i="42"/>
  <c r="AT32" i="42"/>
  <c r="AT9" i="42"/>
  <c r="BG9" i="42"/>
  <c r="BE25" i="42"/>
  <c r="U64" i="42"/>
  <c r="U66" i="42"/>
  <c r="U12" i="42"/>
  <c r="AJ64" i="42"/>
  <c r="AJ66" i="42"/>
  <c r="AJ12" i="42"/>
  <c r="AU60" i="42"/>
  <c r="AU61" i="42"/>
  <c r="AU11" i="42"/>
  <c r="AO9" i="41"/>
  <c r="BL60" i="41"/>
  <c r="BM60" i="41"/>
  <c r="BD60" i="41"/>
  <c r="BG32" i="41"/>
  <c r="AU61" i="41"/>
  <c r="AU11" i="41"/>
  <c r="BM18" i="41"/>
  <c r="BF66" i="41"/>
  <c r="BF12" i="41"/>
  <c r="AM9" i="41"/>
  <c r="U32" i="41"/>
  <c r="U9" i="41"/>
  <c r="M35" i="41"/>
  <c r="M42" i="41"/>
  <c r="M32" i="41"/>
  <c r="M9" i="41"/>
  <c r="M14" i="41"/>
  <c r="M20" i="41"/>
  <c r="M21" i="41"/>
  <c r="M22" i="41"/>
  <c r="E17" i="12"/>
  <c r="AU65" i="41"/>
  <c r="AU66" i="41"/>
  <c r="AU12" i="41"/>
  <c r="S32" i="41"/>
  <c r="S35" i="41"/>
  <c r="S42" i="41"/>
  <c r="I9" i="41"/>
  <c r="Z71" i="41"/>
  <c r="Z13" i="41"/>
  <c r="AO71" i="41"/>
  <c r="AO13" i="41"/>
  <c r="AJ31" i="41"/>
  <c r="AJ32" i="41"/>
  <c r="Z9" i="41"/>
  <c r="U60" i="41"/>
  <c r="U61" i="41"/>
  <c r="U11" i="41"/>
  <c r="BE60" i="41"/>
  <c r="BF60" i="41"/>
  <c r="BF61" i="41"/>
  <c r="BF11" i="41"/>
  <c r="AS66" i="41"/>
  <c r="AS12" i="41"/>
  <c r="BF17" i="41"/>
  <c r="BF19" i="41"/>
  <c r="AH42" i="41"/>
  <c r="AU25" i="41"/>
  <c r="AI32" i="41"/>
  <c r="AI9" i="41"/>
  <c r="BE9" i="41"/>
  <c r="BC59" i="41"/>
  <c r="AH32" i="41"/>
  <c r="AJ59" i="41"/>
  <c r="AJ61" i="41"/>
  <c r="AJ11" i="41"/>
  <c r="AQ71" i="41"/>
  <c r="AQ13" i="41"/>
  <c r="BL70" i="41"/>
  <c r="BM70" i="41"/>
  <c r="AJ41" i="41"/>
  <c r="AD35" i="41"/>
  <c r="AD42" i="41"/>
  <c r="AD32" i="41"/>
  <c r="AD9" i="41"/>
  <c r="AD14" i="41"/>
  <c r="AD20" i="41"/>
  <c r="AD21" i="41"/>
  <c r="AD22" i="41"/>
  <c r="E24" i="12"/>
  <c r="Q32" i="41"/>
  <c r="Q9" i="41"/>
  <c r="Q14" i="41"/>
  <c r="Q20" i="41"/>
  <c r="Q21" i="41"/>
  <c r="Q22" i="41"/>
  <c r="E19" i="12"/>
  <c r="AQ32" i="41"/>
  <c r="AQ9" i="41"/>
  <c r="AQ14" i="41"/>
  <c r="AQ20" i="41"/>
  <c r="AQ21" i="41"/>
  <c r="AQ22" i="41"/>
  <c r="E29" i="12"/>
  <c r="BC65" i="41"/>
  <c r="AJ69" i="41"/>
  <c r="AJ71" i="41"/>
  <c r="AJ13" i="41"/>
  <c r="T32" i="41"/>
  <c r="T9" i="41"/>
  <c r="AF32" i="41"/>
  <c r="AF9" i="41"/>
  <c r="AF14" i="41"/>
  <c r="AF20" i="41"/>
  <c r="AF21" i="41"/>
  <c r="AF22" i="41"/>
  <c r="E25" i="12"/>
  <c r="AS35" i="41"/>
  <c r="AS42" i="41"/>
  <c r="AS9" i="41"/>
  <c r="BG64" i="41"/>
  <c r="BH64" i="41"/>
  <c r="BH66" i="41"/>
  <c r="BH12" i="41"/>
  <c r="BE65" i="41"/>
  <c r="BF65" i="41"/>
  <c r="AJ65" i="41"/>
  <c r="AJ66" i="41"/>
  <c r="AJ12" i="41"/>
  <c r="I71" i="41"/>
  <c r="I13" i="41"/>
  <c r="X71" i="41"/>
  <c r="X13" i="41"/>
  <c r="X14" i="41"/>
  <c r="X20" i="41"/>
  <c r="X21" i="41"/>
  <c r="X22" i="41"/>
  <c r="E21" i="12"/>
  <c r="AM71" i="41"/>
  <c r="AM13" i="41"/>
  <c r="AJ35" i="41"/>
  <c r="AU60" i="41"/>
  <c r="K42" i="41"/>
  <c r="K9" i="41"/>
  <c r="K14" i="41"/>
  <c r="K20" i="41"/>
  <c r="K21" i="41"/>
  <c r="K22" i="41"/>
  <c r="E16" i="12"/>
  <c r="N24" i="28"/>
  <c r="N17" i="28"/>
  <c r="N26" i="28"/>
  <c r="N25" i="28"/>
  <c r="N18" i="28"/>
  <c r="O7" i="37"/>
  <c r="BJ12" i="5"/>
  <c r="F31" i="12"/>
  <c r="F10" i="12"/>
  <c r="BJ22" i="42"/>
  <c r="H36" i="10"/>
  <c r="H35" i="10"/>
  <c r="I14" i="42"/>
  <c r="I20" i="42"/>
  <c r="I21" i="42"/>
  <c r="I22" i="42"/>
  <c r="F15" i="12"/>
  <c r="M9" i="42"/>
  <c r="M14" i="42"/>
  <c r="M20" i="42"/>
  <c r="M21" i="42"/>
  <c r="M22" i="42"/>
  <c r="F17" i="12"/>
  <c r="S9" i="42"/>
  <c r="S14" i="42"/>
  <c r="S20" i="42"/>
  <c r="S21" i="42"/>
  <c r="S22" i="42"/>
  <c r="F20" i="12"/>
  <c r="Z14" i="42"/>
  <c r="Z20" i="42"/>
  <c r="Z21" i="42"/>
  <c r="Z22" i="42"/>
  <c r="F22" i="12"/>
  <c r="F32" i="12"/>
  <c r="AU35" i="42"/>
  <c r="AU42" i="42"/>
  <c r="AU32" i="42"/>
  <c r="BE32" i="42"/>
  <c r="BM61" i="42"/>
  <c r="BM11" i="42"/>
  <c r="BC32" i="42"/>
  <c r="BC9" i="42"/>
  <c r="AJ32" i="42"/>
  <c r="AJ9" i="42"/>
  <c r="AJ61" i="42"/>
  <c r="AJ11" i="42"/>
  <c r="BL64" i="41"/>
  <c r="BM64" i="41"/>
  <c r="AM14" i="41"/>
  <c r="AM20" i="41"/>
  <c r="AM21" i="41"/>
  <c r="AM22" i="41"/>
  <c r="E27" i="12"/>
  <c r="AY20" i="41"/>
  <c r="BM19" i="41"/>
  <c r="AH9" i="41"/>
  <c r="AH14" i="41"/>
  <c r="AH20" i="41"/>
  <c r="AH21" i="41"/>
  <c r="AH22" i="41"/>
  <c r="E26" i="12"/>
  <c r="BC32" i="41"/>
  <c r="BC9" i="41"/>
  <c r="AO14" i="41"/>
  <c r="AO20" i="41"/>
  <c r="AO21" i="41"/>
  <c r="AO22" i="41"/>
  <c r="E28" i="12"/>
  <c r="AJ42" i="41"/>
  <c r="AS14" i="41"/>
  <c r="AS20" i="41"/>
  <c r="AS21" i="41"/>
  <c r="AS22" i="41"/>
  <c r="E30" i="12"/>
  <c r="AU35" i="41"/>
  <c r="AU42" i="41"/>
  <c r="AU32" i="41"/>
  <c r="AU9" i="41"/>
  <c r="AU14" i="41"/>
  <c r="AU20" i="41"/>
  <c r="AU21" i="41"/>
  <c r="AU22" i="41"/>
  <c r="Z14" i="41"/>
  <c r="Z20" i="41"/>
  <c r="Z21" i="41"/>
  <c r="Z22" i="41"/>
  <c r="E22" i="12"/>
  <c r="S9" i="41"/>
  <c r="S14" i="41"/>
  <c r="S20" i="41"/>
  <c r="S21" i="41"/>
  <c r="S22" i="41"/>
  <c r="E20" i="12"/>
  <c r="BM17" i="41"/>
  <c r="BH21" i="41"/>
  <c r="AJ9" i="41"/>
  <c r="AJ14" i="41"/>
  <c r="AJ20" i="41"/>
  <c r="AJ21" i="41"/>
  <c r="AJ22" i="41"/>
  <c r="BF21" i="41"/>
  <c r="BD65" i="41"/>
  <c r="BD66" i="41"/>
  <c r="BD12" i="41"/>
  <c r="BL65" i="41"/>
  <c r="BM65" i="41"/>
  <c r="BL59" i="41"/>
  <c r="BM59" i="41"/>
  <c r="BM61" i="41"/>
  <c r="BM11" i="41"/>
  <c r="BD59" i="41"/>
  <c r="BD61" i="41"/>
  <c r="BD11" i="41"/>
  <c r="I14" i="41"/>
  <c r="I20" i="41"/>
  <c r="I21" i="41"/>
  <c r="I22" i="41"/>
  <c r="E15" i="12"/>
  <c r="U14" i="41"/>
  <c r="U20" i="41"/>
  <c r="U21" i="41"/>
  <c r="U22" i="41"/>
  <c r="N27" i="28"/>
  <c r="AT70" i="5"/>
  <c r="AU70" i="5"/>
  <c r="AT69" i="5"/>
  <c r="AT65" i="5"/>
  <c r="AU65" i="5"/>
  <c r="AT64" i="5"/>
  <c r="BG64" i="5"/>
  <c r="BH64" i="5"/>
  <c r="AT60" i="5"/>
  <c r="AU60" i="5"/>
  <c r="AT59" i="5"/>
  <c r="BG59" i="5"/>
  <c r="AT55" i="5"/>
  <c r="BG55" i="5"/>
  <c r="AT45" i="5"/>
  <c r="AU45" i="5"/>
  <c r="AT25" i="5"/>
  <c r="BG25" i="5"/>
  <c r="AM25" i="5"/>
  <c r="AM35" i="5"/>
  <c r="AS31" i="5"/>
  <c r="AS41" i="5"/>
  <c r="AQ31" i="5"/>
  <c r="AQ41" i="5"/>
  <c r="AO31" i="5"/>
  <c r="AO41" i="5"/>
  <c r="AM31" i="5"/>
  <c r="AM41" i="5"/>
  <c r="AS25" i="5"/>
  <c r="AS35" i="5"/>
  <c r="AQ25" i="5"/>
  <c r="AQ35" i="5"/>
  <c r="AO25" i="5"/>
  <c r="AO35" i="5"/>
  <c r="AI25" i="5"/>
  <c r="BE25" i="5"/>
  <c r="AI60" i="5"/>
  <c r="BE60" i="5"/>
  <c r="AB25" i="5"/>
  <c r="X25" i="5"/>
  <c r="X35" i="5"/>
  <c r="AU55" i="5"/>
  <c r="AU18" i="5"/>
  <c r="AS70" i="5"/>
  <c r="AQ70" i="5"/>
  <c r="AO70" i="5"/>
  <c r="AM70" i="5"/>
  <c r="AS65" i="5"/>
  <c r="AQ65" i="5"/>
  <c r="AO65" i="5"/>
  <c r="AM65" i="5"/>
  <c r="AS64" i="5"/>
  <c r="AQ64" i="5"/>
  <c r="AO64" i="5"/>
  <c r="AM64" i="5"/>
  <c r="AS60" i="5"/>
  <c r="AQ60" i="5"/>
  <c r="AO60" i="5"/>
  <c r="AM60" i="5"/>
  <c r="AS59" i="5"/>
  <c r="AQ59" i="5"/>
  <c r="AO59" i="5"/>
  <c r="AM59" i="5"/>
  <c r="AS55" i="5"/>
  <c r="AQ55" i="5"/>
  <c r="AO55" i="5"/>
  <c r="AM55" i="5"/>
  <c r="AS45" i="5"/>
  <c r="AQ45" i="5"/>
  <c r="AO45" i="5"/>
  <c r="AM45" i="5"/>
  <c r="AR32" i="5"/>
  <c r="AR9" i="5"/>
  <c r="AP32" i="5"/>
  <c r="AP9" i="5"/>
  <c r="AN32" i="5"/>
  <c r="AN9" i="5"/>
  <c r="AL32" i="5"/>
  <c r="AL9" i="5"/>
  <c r="AI70" i="5"/>
  <c r="AJ70" i="5"/>
  <c r="AH70" i="5"/>
  <c r="AF70" i="5"/>
  <c r="AD70" i="5"/>
  <c r="AB70" i="5"/>
  <c r="Z70" i="5"/>
  <c r="X70" i="5"/>
  <c r="AI69" i="5"/>
  <c r="AI65" i="5"/>
  <c r="AJ65" i="5"/>
  <c r="AH65" i="5"/>
  <c r="AF65" i="5"/>
  <c r="AD65" i="5"/>
  <c r="AB65" i="5"/>
  <c r="Z65" i="5"/>
  <c r="X65" i="5"/>
  <c r="AI64" i="5"/>
  <c r="AJ64" i="5"/>
  <c r="AH64" i="5"/>
  <c r="AF64" i="5"/>
  <c r="AD64" i="5"/>
  <c r="AB64" i="5"/>
  <c r="Z64" i="5"/>
  <c r="X64" i="5"/>
  <c r="AH60" i="5"/>
  <c r="AF60" i="5"/>
  <c r="AD60" i="5"/>
  <c r="AB60" i="5"/>
  <c r="Z60" i="5"/>
  <c r="X60" i="5"/>
  <c r="AI59" i="5"/>
  <c r="AJ59" i="5"/>
  <c r="AH59" i="5"/>
  <c r="AF59" i="5"/>
  <c r="AD59" i="5"/>
  <c r="AB59" i="5"/>
  <c r="Z59" i="5"/>
  <c r="X59" i="5"/>
  <c r="AI55" i="5"/>
  <c r="AJ55" i="5"/>
  <c r="AH55" i="5"/>
  <c r="AF55" i="5"/>
  <c r="AD55" i="5"/>
  <c r="AB55" i="5"/>
  <c r="Z55" i="5"/>
  <c r="X55" i="5"/>
  <c r="AI45" i="5"/>
  <c r="AJ45" i="5"/>
  <c r="AH45" i="5"/>
  <c r="AF45" i="5"/>
  <c r="AD45" i="5"/>
  <c r="AB45" i="5"/>
  <c r="Z45" i="5"/>
  <c r="X45" i="5"/>
  <c r="AG32" i="5"/>
  <c r="AG9" i="5"/>
  <c r="AE32" i="5"/>
  <c r="AE9" i="5"/>
  <c r="AC32" i="5"/>
  <c r="AC9" i="5"/>
  <c r="AA32" i="5"/>
  <c r="AA9" i="5"/>
  <c r="Y32" i="5"/>
  <c r="Y9" i="5"/>
  <c r="W32" i="5"/>
  <c r="W9" i="5"/>
  <c r="AI31" i="5"/>
  <c r="AJ31" i="5"/>
  <c r="AJ41" i="5"/>
  <c r="AH31" i="5"/>
  <c r="AH41" i="5"/>
  <c r="AF31" i="5"/>
  <c r="AF41" i="5"/>
  <c r="AD31" i="5"/>
  <c r="AD41" i="5"/>
  <c r="AB31" i="5"/>
  <c r="AB41" i="5"/>
  <c r="Z31" i="5"/>
  <c r="Z41" i="5"/>
  <c r="X31" i="5"/>
  <c r="X41" i="5"/>
  <c r="AH25" i="5"/>
  <c r="AH35" i="5"/>
  <c r="AF25" i="5"/>
  <c r="AD25" i="5"/>
  <c r="AD35" i="5"/>
  <c r="Z25" i="5"/>
  <c r="T69" i="5"/>
  <c r="E31" i="12"/>
  <c r="E32" i="12"/>
  <c r="BH22" i="41"/>
  <c r="G25" i="10"/>
  <c r="BJ22" i="41"/>
  <c r="H26" i="10"/>
  <c r="H25" i="10"/>
  <c r="BF22" i="41"/>
  <c r="F25" i="10"/>
  <c r="E10" i="12"/>
  <c r="BF21" i="42"/>
  <c r="BL32" i="42"/>
  <c r="BL9" i="42"/>
  <c r="BH21" i="42"/>
  <c r="AJ14" i="42"/>
  <c r="AJ20" i="42"/>
  <c r="AJ21" i="42"/>
  <c r="AJ22" i="42"/>
  <c r="AU9" i="42"/>
  <c r="AU14" i="42"/>
  <c r="AU20" i="42"/>
  <c r="AU21" i="42"/>
  <c r="AU22" i="42"/>
  <c r="BL32" i="41"/>
  <c r="BL9" i="41"/>
  <c r="BM66" i="41"/>
  <c r="BM12" i="41"/>
  <c r="AU64" i="5"/>
  <c r="AJ60" i="5"/>
  <c r="AJ61" i="5"/>
  <c r="AJ11" i="5"/>
  <c r="AU59" i="5"/>
  <c r="BG45" i="5"/>
  <c r="AU25" i="5"/>
  <c r="AU35" i="5"/>
  <c r="BG60" i="5"/>
  <c r="BE69" i="5"/>
  <c r="BC69" i="5"/>
  <c r="BE55" i="5"/>
  <c r="BG65" i="5"/>
  <c r="BH65" i="5"/>
  <c r="AJ25" i="5"/>
  <c r="AJ32" i="5"/>
  <c r="BE59" i="5"/>
  <c r="BH18" i="5"/>
  <c r="BE65" i="5"/>
  <c r="BF65" i="5"/>
  <c r="BG70" i="5"/>
  <c r="AU31" i="5"/>
  <c r="AU41" i="5"/>
  <c r="BE31" i="5"/>
  <c r="BE64" i="5"/>
  <c r="BF64" i="5"/>
  <c r="AT32" i="5"/>
  <c r="AT9" i="5"/>
  <c r="BG9" i="5"/>
  <c r="BE45" i="5"/>
  <c r="BE70" i="5"/>
  <c r="BG69" i="5"/>
  <c r="AJ18" i="5"/>
  <c r="BF18" i="5"/>
  <c r="Z66" i="5"/>
  <c r="Z12" i="5"/>
  <c r="AO56" i="5"/>
  <c r="AO10" i="5"/>
  <c r="AO66" i="5"/>
  <c r="AO12" i="5"/>
  <c r="AU56" i="5"/>
  <c r="AU10" i="5"/>
  <c r="AD56" i="5"/>
  <c r="AD10" i="5"/>
  <c r="AB61" i="5"/>
  <c r="AB11" i="5"/>
  <c r="AD66" i="5"/>
  <c r="AD12" i="5"/>
  <c r="AU66" i="5"/>
  <c r="AU12" i="5"/>
  <c r="Z32" i="5"/>
  <c r="AD19" i="5"/>
  <c r="AM56" i="5"/>
  <c r="AM10" i="5"/>
  <c r="AM66" i="5"/>
  <c r="AM12" i="5"/>
  <c r="X56" i="5"/>
  <c r="X10" i="5"/>
  <c r="AQ32" i="5"/>
  <c r="AS32" i="5"/>
  <c r="AS61" i="5"/>
  <c r="AS11" i="5"/>
  <c r="Z56" i="5"/>
  <c r="Z10" i="5"/>
  <c r="AB56" i="5"/>
  <c r="AB10" i="5"/>
  <c r="AF56" i="5"/>
  <c r="AF10" i="5"/>
  <c r="AH56" i="5"/>
  <c r="AH10" i="5"/>
  <c r="AQ56" i="5"/>
  <c r="AQ10" i="5"/>
  <c r="AM61" i="5"/>
  <c r="AM11" i="5"/>
  <c r="AQ66" i="5"/>
  <c r="AQ12" i="5"/>
  <c r="AB32" i="5"/>
  <c r="AS56" i="5"/>
  <c r="AS10" i="5"/>
  <c r="AO61" i="5"/>
  <c r="AO11" i="5"/>
  <c r="AS66" i="5"/>
  <c r="AS12" i="5"/>
  <c r="AQ42" i="5"/>
  <c r="AQ61" i="5"/>
  <c r="AQ11" i="5"/>
  <c r="AQ19" i="5"/>
  <c r="AS42" i="5"/>
  <c r="AS19" i="5"/>
  <c r="AM42" i="5"/>
  <c r="AO42" i="5"/>
  <c r="AO32" i="5"/>
  <c r="AM32" i="5"/>
  <c r="AJ56" i="5"/>
  <c r="AJ10" i="5"/>
  <c r="AB19" i="5"/>
  <c r="AD61" i="5"/>
  <c r="AD11" i="5"/>
  <c r="AF66" i="5"/>
  <c r="AF12" i="5"/>
  <c r="AH66" i="5"/>
  <c r="AH12" i="5"/>
  <c r="AH32" i="5"/>
  <c r="AH61" i="5"/>
  <c r="AH11" i="5"/>
  <c r="Z35" i="5"/>
  <c r="Z42" i="5"/>
  <c r="AB35" i="5"/>
  <c r="AB42" i="5"/>
  <c r="X61" i="5"/>
  <c r="X11" i="5"/>
  <c r="X66" i="5"/>
  <c r="X12" i="5"/>
  <c r="Z61" i="5"/>
  <c r="Z11" i="5"/>
  <c r="AB66" i="5"/>
  <c r="AB12" i="5"/>
  <c r="AD42" i="5"/>
  <c r="AH42" i="5"/>
  <c r="AD32" i="5"/>
  <c r="AJ66" i="5"/>
  <c r="AJ12" i="5"/>
  <c r="X42" i="5"/>
  <c r="AI32" i="5"/>
  <c r="AI9" i="5"/>
  <c r="BE9" i="5"/>
  <c r="AF35" i="5"/>
  <c r="AF42" i="5"/>
  <c r="AF32" i="5"/>
  <c r="AF61" i="5"/>
  <c r="AF11" i="5"/>
  <c r="X32" i="5"/>
  <c r="Q60" i="5"/>
  <c r="T70" i="5"/>
  <c r="BC70" i="5"/>
  <c r="T64" i="5"/>
  <c r="BC64" i="5"/>
  <c r="T65" i="5"/>
  <c r="T60" i="5"/>
  <c r="BC60" i="5"/>
  <c r="T59" i="5"/>
  <c r="BC59" i="5"/>
  <c r="T45" i="5"/>
  <c r="BC45" i="5"/>
  <c r="T25" i="5"/>
  <c r="BH22" i="42"/>
  <c r="G35" i="10"/>
  <c r="BF22" i="42"/>
  <c r="F35" i="10"/>
  <c r="G26" i="10"/>
  <c r="E9" i="12"/>
  <c r="F26" i="10"/>
  <c r="E8" i="12"/>
  <c r="BD21" i="41"/>
  <c r="E25" i="10"/>
  <c r="BL45" i="5"/>
  <c r="AU61" i="5"/>
  <c r="AU11" i="5"/>
  <c r="U64" i="5"/>
  <c r="BL69" i="5"/>
  <c r="AU17" i="5"/>
  <c r="BH17" i="5"/>
  <c r="BH66" i="5"/>
  <c r="BH12" i="5"/>
  <c r="BL55" i="5"/>
  <c r="AJ35" i="5"/>
  <c r="AJ42" i="5"/>
  <c r="AJ9" i="5"/>
  <c r="BF66" i="5"/>
  <c r="BF12" i="5"/>
  <c r="BL59" i="5"/>
  <c r="U25" i="5"/>
  <c r="BC25" i="5"/>
  <c r="BD60" i="5"/>
  <c r="BL60" i="5"/>
  <c r="AU16" i="5"/>
  <c r="AO19" i="5"/>
  <c r="AU42" i="5"/>
  <c r="U65" i="5"/>
  <c r="BC65" i="5"/>
  <c r="AU32" i="5"/>
  <c r="BD64" i="5"/>
  <c r="BL64" i="5"/>
  <c r="BM64" i="5"/>
  <c r="BL70" i="5"/>
  <c r="Z19" i="5"/>
  <c r="AH9" i="5"/>
  <c r="Z9" i="5"/>
  <c r="AB9" i="5"/>
  <c r="AD9" i="5"/>
  <c r="AM9" i="5"/>
  <c r="AQ9" i="5"/>
  <c r="AJ17" i="5"/>
  <c r="BF17" i="5"/>
  <c r="BF19" i="5"/>
  <c r="AS9" i="5"/>
  <c r="AO9" i="5"/>
  <c r="AM19" i="5"/>
  <c r="X19" i="5"/>
  <c r="AJ16" i="5"/>
  <c r="BF16" i="5"/>
  <c r="X9" i="5"/>
  <c r="AF9" i="5"/>
  <c r="AH19" i="5"/>
  <c r="AF19" i="5"/>
  <c r="F36" i="10"/>
  <c r="F8" i="12"/>
  <c r="G36" i="10"/>
  <c r="F9" i="12"/>
  <c r="BD21" i="42"/>
  <c r="E35" i="10"/>
  <c r="BD22" i="41"/>
  <c r="BM21" i="41"/>
  <c r="U66" i="5"/>
  <c r="U12" i="5"/>
  <c r="AU9" i="5"/>
  <c r="BD25" i="5"/>
  <c r="BL25" i="5"/>
  <c r="BC32" i="5"/>
  <c r="BD65" i="5"/>
  <c r="BL65" i="5"/>
  <c r="BM65" i="5"/>
  <c r="BH16" i="5"/>
  <c r="BH19" i="5"/>
  <c r="AU19" i="5"/>
  <c r="AJ19" i="5"/>
  <c r="S65" i="5"/>
  <c r="S64" i="5"/>
  <c r="Q65" i="5"/>
  <c r="Q64" i="5"/>
  <c r="O65" i="5"/>
  <c r="O64" i="5"/>
  <c r="M65" i="5"/>
  <c r="M64" i="5"/>
  <c r="K65" i="5"/>
  <c r="K64" i="5"/>
  <c r="I65" i="5"/>
  <c r="I64" i="5"/>
  <c r="I59" i="5"/>
  <c r="S70" i="5"/>
  <c r="Q70" i="5"/>
  <c r="O70" i="5"/>
  <c r="S60" i="5"/>
  <c r="O60" i="5"/>
  <c r="S59" i="5"/>
  <c r="Q59" i="5"/>
  <c r="O59" i="5"/>
  <c r="S55" i="5"/>
  <c r="Q55" i="5"/>
  <c r="S45" i="5"/>
  <c r="Q45" i="5"/>
  <c r="O45" i="5"/>
  <c r="R32" i="5"/>
  <c r="R9" i="5"/>
  <c r="P32" i="5"/>
  <c r="P9" i="5"/>
  <c r="N32" i="5"/>
  <c r="N9" i="5"/>
  <c r="S25" i="5"/>
  <c r="S35" i="5"/>
  <c r="Q25" i="5"/>
  <c r="Q35" i="5"/>
  <c r="O25" i="5"/>
  <c r="O35" i="5"/>
  <c r="AV66" i="5"/>
  <c r="BM22" i="41"/>
  <c r="J26" i="10"/>
  <c r="J25" i="10"/>
  <c r="E26" i="10"/>
  <c r="E7" i="12"/>
  <c r="E11" i="12"/>
  <c r="BD22" i="42"/>
  <c r="BM21" i="42"/>
  <c r="BM66" i="5"/>
  <c r="BM12" i="5"/>
  <c r="BD66" i="5"/>
  <c r="BD12" i="5"/>
  <c r="S66" i="5"/>
  <c r="S12" i="5"/>
  <c r="Q66" i="5"/>
  <c r="Q12" i="5"/>
  <c r="I66" i="5"/>
  <c r="I12" i="5"/>
  <c r="K66" i="5"/>
  <c r="K12" i="5"/>
  <c r="O66" i="5"/>
  <c r="O12" i="5"/>
  <c r="M66" i="5"/>
  <c r="M12" i="5"/>
  <c r="S56" i="5"/>
  <c r="S10" i="5"/>
  <c r="Q56" i="5"/>
  <c r="Q10" i="5"/>
  <c r="Q61" i="5"/>
  <c r="Q11" i="5"/>
  <c r="O56" i="5"/>
  <c r="O10" i="5"/>
  <c r="S61" i="5"/>
  <c r="S11" i="5"/>
  <c r="O61" i="5"/>
  <c r="O11" i="5"/>
  <c r="S42" i="5"/>
  <c r="O42" i="5"/>
  <c r="Q42" i="5"/>
  <c r="O32" i="5"/>
  <c r="Q32" i="5"/>
  <c r="S32" i="5"/>
  <c r="O12" i="37"/>
  <c r="O10" i="37"/>
  <c r="O8" i="37"/>
  <c r="F7" i="12"/>
  <c r="F11" i="12"/>
  <c r="E36" i="10"/>
  <c r="BM22" i="42"/>
  <c r="J36" i="10"/>
  <c r="J35" i="10"/>
  <c r="S9" i="5"/>
  <c r="Q9" i="5"/>
  <c r="O9" i="5"/>
  <c r="K25" i="5"/>
  <c r="A2" i="20"/>
  <c r="A1" i="20"/>
  <c r="A2" i="28"/>
  <c r="A1" i="28"/>
  <c r="A2" i="32"/>
  <c r="A1" i="32"/>
  <c r="A2" i="22"/>
  <c r="A1" i="22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BJ13" i="5"/>
  <c r="AX14" i="5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J10" i="5"/>
  <c r="BJ11" i="5"/>
  <c r="BI9" i="5"/>
  <c r="AX20" i="5"/>
  <c r="AX22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J9" i="5"/>
  <c r="I5" i="36"/>
  <c r="O5" i="36"/>
  <c r="O7" i="36"/>
  <c r="I9" i="36"/>
  <c r="O9" i="36"/>
  <c r="H32" i="5"/>
  <c r="H9" i="5"/>
  <c r="I10" i="36"/>
  <c r="I11" i="36"/>
  <c r="O10" i="36"/>
  <c r="I12" i="36"/>
  <c r="O11" i="36"/>
  <c r="O8" i="22"/>
  <c r="O11" i="22"/>
  <c r="P11" i="22"/>
  <c r="O14" i="22"/>
  <c r="P14" i="22"/>
  <c r="O12" i="36"/>
  <c r="P8" i="22"/>
  <c r="AW14" i="5"/>
  <c r="AY14" i="5"/>
  <c r="Z69" i="5"/>
  <c r="Z71" i="5"/>
  <c r="Z13" i="5"/>
  <c r="Z14" i="5"/>
  <c r="Z20" i="5"/>
  <c r="Z21" i="5"/>
  <c r="Z22" i="5"/>
  <c r="D22" i="12"/>
  <c r="G22" i="12"/>
  <c r="AH69" i="5"/>
  <c r="AH71" i="5"/>
  <c r="AH13" i="5"/>
  <c r="AH14" i="5"/>
  <c r="AH20" i="5"/>
  <c r="AH21" i="5"/>
  <c r="AH22" i="5"/>
  <c r="D26" i="12"/>
  <c r="G26" i="12"/>
  <c r="AF69" i="5"/>
  <c r="AF71" i="5"/>
  <c r="AF13" i="5"/>
  <c r="AF14" i="5"/>
  <c r="AF20" i="5"/>
  <c r="AF21" i="5"/>
  <c r="AF22" i="5"/>
  <c r="D25" i="12"/>
  <c r="G25" i="12"/>
  <c r="AS69" i="5"/>
  <c r="AS71" i="5"/>
  <c r="AS13" i="5"/>
  <c r="AS14" i="5"/>
  <c r="AS20" i="5"/>
  <c r="AS21" i="5"/>
  <c r="AS22" i="5"/>
  <c r="D30" i="12"/>
  <c r="G30" i="12"/>
  <c r="AD69" i="5"/>
  <c r="AD71" i="5"/>
  <c r="AD13" i="5"/>
  <c r="AD14" i="5"/>
  <c r="AD20" i="5"/>
  <c r="AD21" i="5"/>
  <c r="AD22" i="5"/>
  <c r="D24" i="12"/>
  <c r="G24" i="12"/>
  <c r="AQ69" i="5"/>
  <c r="AQ71" i="5"/>
  <c r="AQ13" i="5"/>
  <c r="AQ14" i="5"/>
  <c r="AQ20" i="5"/>
  <c r="AQ21" i="5"/>
  <c r="AQ22" i="5"/>
  <c r="D29" i="12"/>
  <c r="G29" i="12"/>
  <c r="AB69" i="5"/>
  <c r="AB71" i="5"/>
  <c r="AB13" i="5"/>
  <c r="AB14" i="5"/>
  <c r="AB20" i="5"/>
  <c r="AB21" i="5"/>
  <c r="AB22" i="5"/>
  <c r="D23" i="12"/>
  <c r="G23" i="12"/>
  <c r="AO69" i="5"/>
  <c r="AO71" i="5"/>
  <c r="AO13" i="5"/>
  <c r="AO14" i="5"/>
  <c r="AO20" i="5"/>
  <c r="AO21" i="5"/>
  <c r="AO22" i="5"/>
  <c r="D28" i="12"/>
  <c r="G28" i="12"/>
  <c r="AM69" i="5"/>
  <c r="AM71" i="5"/>
  <c r="AM13" i="5"/>
  <c r="AM14" i="5"/>
  <c r="AM20" i="5"/>
  <c r="AM21" i="5"/>
  <c r="AM22" i="5"/>
  <c r="D27" i="12"/>
  <c r="G27" i="12"/>
  <c r="X69" i="5"/>
  <c r="X71" i="5"/>
  <c r="X13" i="5"/>
  <c r="X14" i="5"/>
  <c r="X20" i="5"/>
  <c r="X21" i="5"/>
  <c r="X22" i="5"/>
  <c r="D21" i="12"/>
  <c r="G21" i="12"/>
  <c r="U69" i="5"/>
  <c r="AU69" i="5"/>
  <c r="AU71" i="5"/>
  <c r="AU13" i="5"/>
  <c r="AU14" i="5"/>
  <c r="AU20" i="5"/>
  <c r="AU21" i="5"/>
  <c r="AU22" i="5"/>
  <c r="AJ69" i="5"/>
  <c r="AJ71" i="5"/>
  <c r="AJ13" i="5"/>
  <c r="AJ14" i="5"/>
  <c r="AJ20" i="5"/>
  <c r="AJ21" i="5"/>
  <c r="AJ22" i="5"/>
  <c r="O69" i="5"/>
  <c r="S69" i="5"/>
  <c r="Q69" i="5"/>
  <c r="N16" i="28"/>
  <c r="N19" i="28"/>
  <c r="N9" i="28"/>
  <c r="N8" i="28"/>
  <c r="AW20" i="5"/>
  <c r="AW21" i="5"/>
  <c r="AW22" i="5"/>
  <c r="Q19" i="5"/>
  <c r="Q71" i="5"/>
  <c r="Q13" i="5"/>
  <c r="Q14" i="5"/>
  <c r="S19" i="5"/>
  <c r="S71" i="5"/>
  <c r="S13" i="5"/>
  <c r="S14" i="5"/>
  <c r="O19" i="5"/>
  <c r="O71" i="5"/>
  <c r="O13" i="5"/>
  <c r="O14" i="5"/>
  <c r="O20" i="5"/>
  <c r="O21" i="5"/>
  <c r="O22" i="5"/>
  <c r="D18" i="12"/>
  <c r="G18" i="12"/>
  <c r="AY20" i="5"/>
  <c r="BJ14" i="5"/>
  <c r="H13" i="10"/>
  <c r="S20" i="5"/>
  <c r="S21" i="5"/>
  <c r="S22" i="5"/>
  <c r="D20" i="12"/>
  <c r="G20" i="12"/>
  <c r="Q20" i="5"/>
  <c r="Q21" i="5"/>
  <c r="Q22" i="5"/>
  <c r="D19" i="12"/>
  <c r="G19" i="12"/>
  <c r="BJ20" i="5"/>
  <c r="D10" i="12"/>
  <c r="D31" i="12"/>
  <c r="H14" i="10"/>
  <c r="M70" i="5"/>
  <c r="M69" i="5"/>
  <c r="M60" i="5"/>
  <c r="M59" i="5"/>
  <c r="M45" i="5"/>
  <c r="L32" i="5"/>
  <c r="M25" i="5"/>
  <c r="M35" i="5"/>
  <c r="K70" i="5"/>
  <c r="K69" i="5"/>
  <c r="K60" i="5"/>
  <c r="K59" i="5"/>
  <c r="K45" i="5"/>
  <c r="J32" i="5"/>
  <c r="K35" i="5"/>
  <c r="I69" i="5"/>
  <c r="I70" i="5"/>
  <c r="I60" i="5"/>
  <c r="I55" i="5"/>
  <c r="I45" i="5"/>
  <c r="I25" i="5"/>
  <c r="I35" i="5"/>
  <c r="G10" i="12"/>
  <c r="G31" i="12"/>
  <c r="U18" i="5"/>
  <c r="T32" i="5"/>
  <c r="T9" i="5"/>
  <c r="M19" i="5"/>
  <c r="H15" i="10"/>
  <c r="BJ22" i="5"/>
  <c r="H16" i="10"/>
  <c r="K56" i="5"/>
  <c r="K10" i="5"/>
  <c r="M56" i="5"/>
  <c r="K71" i="5"/>
  <c r="K13" i="5"/>
  <c r="I71" i="5"/>
  <c r="I13" i="5"/>
  <c r="M71" i="5"/>
  <c r="M61" i="5"/>
  <c r="K61" i="5"/>
  <c r="K11" i="5"/>
  <c r="M42" i="5"/>
  <c r="M32" i="5"/>
  <c r="K42" i="5"/>
  <c r="K32" i="5"/>
  <c r="I61" i="5"/>
  <c r="I11" i="5"/>
  <c r="I32" i="5"/>
  <c r="I56" i="5"/>
  <c r="I10" i="5"/>
  <c r="J9" i="5"/>
  <c r="E7" i="10"/>
  <c r="G7" i="10"/>
  <c r="F7" i="10"/>
  <c r="A2" i="10"/>
  <c r="A1" i="10"/>
  <c r="H39" i="10"/>
  <c r="BD18" i="5"/>
  <c r="BM18" i="5"/>
  <c r="K19" i="5"/>
  <c r="U17" i="5"/>
  <c r="BD17" i="5"/>
  <c r="BM17" i="5"/>
  <c r="K9" i="5"/>
  <c r="K14" i="5"/>
  <c r="BH45" i="5"/>
  <c r="U45" i="5"/>
  <c r="K20" i="5"/>
  <c r="K21" i="5"/>
  <c r="K22" i="5"/>
  <c r="BH70" i="5"/>
  <c r="BF45" i="5"/>
  <c r="U60" i="5"/>
  <c r="BH60" i="5"/>
  <c r="BH55" i="5"/>
  <c r="BF60" i="5"/>
  <c r="BF55" i="5"/>
  <c r="BH59" i="5"/>
  <c r="M11" i="5"/>
  <c r="BF59" i="5"/>
  <c r="M10" i="5"/>
  <c r="BD59" i="5"/>
  <c r="U59" i="5"/>
  <c r="L9" i="5"/>
  <c r="M13" i="5"/>
  <c r="U61" i="5"/>
  <c r="U11" i="5"/>
  <c r="D16" i="12"/>
  <c r="G16" i="12"/>
  <c r="BD70" i="5"/>
  <c r="U56" i="5"/>
  <c r="U10" i="5"/>
  <c r="BD69" i="5"/>
  <c r="U70" i="5"/>
  <c r="BH69" i="5"/>
  <c r="BF69" i="5"/>
  <c r="BM60" i="5"/>
  <c r="M9" i="5"/>
  <c r="M14" i="5"/>
  <c r="M20" i="5"/>
  <c r="M21" i="5"/>
  <c r="M22" i="5"/>
  <c r="BM45" i="5"/>
  <c r="BD45" i="5"/>
  <c r="BM59" i="5"/>
  <c r="I42" i="5"/>
  <c r="I9" i="5"/>
  <c r="I14" i="5"/>
  <c r="BF70" i="5"/>
  <c r="BH61" i="5"/>
  <c r="BH11" i="5"/>
  <c r="G11" i="10"/>
  <c r="BF61" i="5"/>
  <c r="BF11" i="5"/>
  <c r="F11" i="10"/>
  <c r="U16" i="5"/>
  <c r="I19" i="5"/>
  <c r="I20" i="5"/>
  <c r="I21" i="5"/>
  <c r="I22" i="5"/>
  <c r="U32" i="5"/>
  <c r="BE32" i="5"/>
  <c r="U71" i="5"/>
  <c r="U13" i="5"/>
  <c r="BF56" i="5"/>
  <c r="BF10" i="5"/>
  <c r="F10" i="10"/>
  <c r="BD61" i="5"/>
  <c r="BM61" i="5"/>
  <c r="BM11" i="5"/>
  <c r="BH56" i="5"/>
  <c r="BH10" i="5"/>
  <c r="G10" i="10"/>
  <c r="BM69" i="5"/>
  <c r="BM70" i="5"/>
  <c r="BD56" i="5"/>
  <c r="BF71" i="5"/>
  <c r="BF13" i="5"/>
  <c r="F12" i="10"/>
  <c r="BF25" i="5"/>
  <c r="BF32" i="5"/>
  <c r="U35" i="5"/>
  <c r="BH25" i="5"/>
  <c r="BG32" i="5"/>
  <c r="BC9" i="5"/>
  <c r="BD71" i="5"/>
  <c r="BD13" i="5"/>
  <c r="E12" i="10"/>
  <c r="BH71" i="5"/>
  <c r="BH13" i="5"/>
  <c r="G12" i="10"/>
  <c r="BD11" i="5"/>
  <c r="E11" i="10"/>
  <c r="BD16" i="5"/>
  <c r="U19" i="5"/>
  <c r="BD10" i="5"/>
  <c r="E10" i="10"/>
  <c r="U42" i="5"/>
  <c r="U9" i="5"/>
  <c r="U14" i="5"/>
  <c r="BL32" i="5"/>
  <c r="BL9" i="5"/>
  <c r="J11" i="10"/>
  <c r="BM56" i="5"/>
  <c r="BM71" i="5"/>
  <c r="BM13" i="5"/>
  <c r="BD35" i="5"/>
  <c r="BD42" i="5"/>
  <c r="BD32" i="5"/>
  <c r="BM25" i="5"/>
  <c r="BH32" i="5"/>
  <c r="BH35" i="5"/>
  <c r="BH42" i="5"/>
  <c r="BF35" i="5"/>
  <c r="BF42" i="5"/>
  <c r="BF9" i="5"/>
  <c r="BD9" i="5"/>
  <c r="BD14" i="5"/>
  <c r="U20" i="5"/>
  <c r="U21" i="5"/>
  <c r="U22" i="5"/>
  <c r="BM16" i="5"/>
  <c r="BD19" i="5"/>
  <c r="BM19" i="5"/>
  <c r="BH9" i="5"/>
  <c r="J12" i="10"/>
  <c r="BM10" i="5"/>
  <c r="BM32" i="5"/>
  <c r="BM35" i="5"/>
  <c r="BM42" i="5"/>
  <c r="BD20" i="5"/>
  <c r="BD21" i="5"/>
  <c r="J10" i="10"/>
  <c r="BM9" i="5"/>
  <c r="BM14" i="5"/>
  <c r="D17" i="12"/>
  <c r="F9" i="10"/>
  <c r="BF14" i="5"/>
  <c r="E9" i="10"/>
  <c r="G9" i="10"/>
  <c r="BH14" i="5"/>
  <c r="F13" i="10"/>
  <c r="BF20" i="5"/>
  <c r="G13" i="10"/>
  <c r="BH20" i="5"/>
  <c r="BH21" i="5"/>
  <c r="BD22" i="5"/>
  <c r="D7" i="12"/>
  <c r="E13" i="10"/>
  <c r="J9" i="10"/>
  <c r="G14" i="10"/>
  <c r="BM20" i="5"/>
  <c r="BF21" i="5"/>
  <c r="BM21" i="5"/>
  <c r="BM22" i="5"/>
  <c r="F14" i="10"/>
  <c r="D15" i="12"/>
  <c r="J13" i="10"/>
  <c r="E15" i="10"/>
  <c r="E14" i="10"/>
  <c r="G17" i="12"/>
  <c r="G15" i="10"/>
  <c r="F15" i="10"/>
  <c r="D32" i="12"/>
  <c r="G15" i="12"/>
  <c r="G32" i="12"/>
  <c r="J14" i="10"/>
  <c r="E16" i="10"/>
  <c r="E39" i="10"/>
  <c r="BF22" i="5"/>
  <c r="BH22" i="5"/>
  <c r="H27" i="12"/>
  <c r="H29" i="12"/>
  <c r="H28" i="12"/>
  <c r="H30" i="12"/>
  <c r="H19" i="12"/>
  <c r="H25" i="12"/>
  <c r="H21" i="12"/>
  <c r="H18" i="12"/>
  <c r="H23" i="12"/>
  <c r="H20" i="12"/>
  <c r="H26" i="12"/>
  <c r="H24" i="12"/>
  <c r="H22" i="12"/>
  <c r="H31" i="12"/>
  <c r="H16" i="12"/>
  <c r="H17" i="12"/>
  <c r="J15" i="10"/>
  <c r="J16" i="10"/>
  <c r="J39" i="10"/>
  <c r="F16" i="10"/>
  <c r="D8" i="12"/>
  <c r="G8" i="12"/>
  <c r="G16" i="10"/>
  <c r="G39" i="10"/>
  <c r="D9" i="12"/>
  <c r="G9" i="12"/>
  <c r="D11" i="12"/>
  <c r="G7" i="12"/>
  <c r="G11" i="12"/>
  <c r="H15" i="12"/>
  <c r="F39" i="10"/>
  <c r="H32" i="12"/>
  <c r="H7" i="12"/>
  <c r="H9" i="12"/>
  <c r="H8" i="12"/>
  <c r="H10" i="12"/>
  <c r="H11" i="12"/>
  <c r="N10" i="28"/>
  <c r="N11" i="28"/>
</calcChain>
</file>

<file path=xl/sharedStrings.xml><?xml version="1.0" encoding="utf-8"?>
<sst xmlns="http://schemas.openxmlformats.org/spreadsheetml/2006/main" count="1173" uniqueCount="219">
  <si>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</si>
  <si>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</si>
  <si>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</si>
  <si>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</si>
  <si>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</si>
  <si>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</si>
  <si>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</si>
  <si>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</si>
  <si>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</si>
  <si>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</si>
  <si>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</si>
  <si>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</si>
  <si>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</si>
  <si>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</si>
  <si>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</si>
  <si>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</si>
  <si>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</si>
  <si>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</si>
  <si>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</si>
  <si>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</si>
  <si>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</si>
  <si>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</si>
  <si>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</si>
  <si>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</si>
  <si>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</si>
  <si>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</si>
  <si>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</si>
  <si>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</si>
  <si>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</si>
  <si>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</si>
  <si>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</si>
  <si>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</si>
  <si>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</si>
  <si>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</si>
  <si>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</si>
  <si>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</si>
  <si>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</si>
  <si>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</si>
  <si>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</si>
  <si>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</si>
  <si>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</si>
  <si>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</si>
  <si>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</si>
  <si>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</si>
  <si>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</si>
  <si>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</si>
  <si>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</si>
  <si>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</si>
  <si>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</si>
  <si>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</si>
  <si>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</si>
  <si>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</si>
  <si>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</si>
  <si>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</si>
  <si>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</si>
  <si>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</si>
  <si>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</si>
  <si>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</si>
  <si>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</si>
  <si>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</si>
  <si>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</si>
  <si>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</si>
  <si>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</si>
  <si>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</si>
  <si>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</si>
  <si>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</si>
  <si>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</si>
  <si>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</si>
  <si>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</si>
  <si>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</si>
  <si>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</si>
  <si>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</si>
  <si>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</si>
  <si>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</si>
  <si>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</si>
  <si>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</si>
  <si>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</si>
  <si>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</si>
  <si>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</si>
  <si>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</si>
  <si>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</si>
  <si>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</si>
  <si>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</si>
  <si>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</si>
  <si>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Short task text identifier</t>
  </si>
  <si>
    <t>Prime/Sub</t>
  </si>
  <si>
    <t xml:space="preserve">1-2 sentence description of objective and approach </t>
  </si>
  <si>
    <t>short text identifier</t>
  </si>
  <si>
    <t>MM/DD/YY</t>
  </si>
  <si>
    <t>Short subtask text identifier</t>
  </si>
  <si>
    <t>Prime</t>
  </si>
  <si>
    <t>Sub</t>
  </si>
  <si>
    <t>Phase 1 Total</t>
  </si>
  <si>
    <t>PHASE 2</t>
  </si>
  <si>
    <t>Phase 2 Total</t>
  </si>
  <si>
    <t>PHASE 3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</si>
  <si>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</si>
  <si>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</si>
  <si>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</si>
  <si>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</si>
  <si>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</si>
  <si>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</si>
  <si>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</si>
  <si>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</si>
  <si>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</si>
  <si>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</si>
  <si>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</si>
  <si>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</si>
  <si>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</si>
  <si>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</si>
  <si>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</si>
  <si>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</si>
  <si>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</si>
  <si>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</si>
  <si>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</si>
  <si>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</si>
  <si>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</si>
  <si>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</si>
  <si>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</si>
  <si>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</si>
  <si>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</si>
  <si>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</si>
  <si>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</si>
  <si>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</si>
  <si>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</si>
  <si>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</si>
  <si>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</si>
  <si>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</si>
  <si>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</si>
  <si>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</si>
  <si>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</si>
  <si>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</si>
  <si>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</si>
  <si>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</si>
  <si>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</si>
  <si>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</si>
  <si>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</si>
  <si>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</si>
  <si>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</si>
  <si>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</si>
  <si>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</si>
  <si>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</si>
  <si>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</si>
  <si>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</si>
  <si>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</si>
  <si>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</si>
  <si>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</si>
  <si>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</si>
  <si>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</si>
  <si>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</si>
  <si>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</si>
  <si>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</si>
  <si>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</si>
  <si>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</si>
  <si>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</si>
  <si>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</si>
  <si>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</si>
  <si>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</si>
  <si>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</si>
  <si>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</si>
  <si>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</si>
  <si>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</si>
  <si>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</si>
  <si>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</si>
  <si>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</si>
  <si>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</si>
  <si>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</si>
  <si>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</si>
  <si>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</si>
  <si>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</si>
  <si>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</si>
  <si>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</si>
  <si>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</si>
  <si>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</si>
  <si>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</si>
  <si>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</si>
  <si>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</si>
  <si>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</si>
  <si>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</si>
  <si>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</si>
  <si>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</si>
  <si>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</si>
  <si>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</si>
  <si>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</si>
  <si>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</si>
  <si>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</si>
  <si>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</si>
  <si>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</si>
  <si>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</si>
  <si>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</si>
  <si>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</si>
  <si>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</si>
  <si>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Dr. Jin</t>
  </si>
  <si>
    <t>Principle Investigator</t>
  </si>
  <si>
    <t>hourly rate</t>
  </si>
  <si>
    <t>Dr. Casanova</t>
  </si>
  <si>
    <t>Co-PI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</si>
  <si>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</si>
  <si>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</si>
  <si>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</si>
  <si>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</si>
  <si>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</si>
  <si>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</si>
  <si>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Task 4</t>
  </si>
  <si>
    <t>Yoon supplies</t>
  </si>
  <si>
    <t>Yoon Fabrication</t>
  </si>
  <si>
    <t>Casanova suppies</t>
  </si>
  <si>
    <t>Lin supplies</t>
  </si>
  <si>
    <t>Texas Tech</t>
  </si>
  <si>
    <t>Tuition</t>
  </si>
  <si>
    <t>Publications</t>
  </si>
  <si>
    <t>12 months</t>
  </si>
  <si>
    <t>All Tasks</t>
  </si>
  <si>
    <t>Sensor Design</t>
  </si>
  <si>
    <t>Microfabricaton</t>
  </si>
  <si>
    <t>Circuit Design</t>
  </si>
  <si>
    <t>Testing</t>
  </si>
  <si>
    <t>University of Floirda</t>
  </si>
  <si>
    <t>Dr. Jenshan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</si>
</sst>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0.0%"/>
  </numFmts>
  <fonts count="6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8" fillId="0" borderId="0"/>
    <xf numFmtId="0" fontId="1" fillId="0" borderId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42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31" fillId="8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0" fillId="0" borderId="4" xfId="6" applyNumberFormat="1" applyFont="1" applyBorder="1" applyAlignment="1">
      <alignment vertical="center"/>
    </xf>
    <xf numFmtId="165" fontId="47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50" fillId="0" borderId="0" xfId="0" applyFont="1"/>
    <xf numFmtId="0" fontId="50" fillId="0" borderId="4" xfId="0" applyFont="1" applyBorder="1" applyAlignment="1">
      <alignment horizontal="center" vertical="center"/>
    </xf>
    <xf numFmtId="165" fontId="50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0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2" fillId="0" borderId="0" xfId="4" applyNumberFormat="1" applyFont="1" applyAlignment="1">
      <alignment vertical="center" wrapText="1"/>
    </xf>
    <xf numFmtId="165" fontId="53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5" fontId="52" fillId="0" borderId="0" xfId="0" applyNumberFormat="1" applyFont="1" applyAlignment="1">
      <alignment horizontal="left" vertical="center"/>
    </xf>
    <xf numFmtId="0" fontId="54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2" fontId="53" fillId="0" borderId="0" xfId="0" applyNumberFormat="1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left" vertical="center"/>
    </xf>
    <xf numFmtId="0" fontId="52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3" fillId="9" borderId="0" xfId="0" applyNumberFormat="1" applyFont="1" applyFill="1" applyAlignment="1">
      <alignment horizontal="left" vertical="center"/>
    </xf>
    <xf numFmtId="0" fontId="54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6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5" fontId="33" fillId="0" borderId="14" xfId="9" applyNumberFormat="1" applyFont="1" applyFill="1" applyBorder="1" applyAlignment="1">
      <alignment horizontal="center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42" fillId="10" borderId="5" xfId="8" applyFont="1" applyFill="1" applyBorder="1" applyAlignment="1">
      <alignment horizontal="center"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165" fontId="33" fillId="14" borderId="4" xfId="9" applyNumberFormat="1" applyFont="1" applyFill="1" applyBorder="1" applyAlignment="1">
      <alignment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2" fillId="19" borderId="5" xfId="8" applyFont="1" applyFill="1" applyBorder="1" applyAlignment="1">
      <alignment horizontal="center" vertical="center" wrapText="1"/>
    </xf>
    <xf numFmtId="0" fontId="43" fillId="7" borderId="4" xfId="8" applyFont="1" applyFill="1" applyBorder="1" applyAlignment="1">
      <alignment horizontal="center" vertical="center" wrapText="1"/>
    </xf>
    <xf numFmtId="0" fontId="1" fillId="7" borderId="4" xfId="8" applyFont="1" applyFill="1" applyBorder="1" applyAlignment="1">
      <alignment horizontal="left" vertical="center" wrapText="1"/>
    </xf>
    <xf numFmtId="165" fontId="33" fillId="7" borderId="4" xfId="9" applyNumberFormat="1" applyFont="1" applyFill="1" applyBorder="1" applyAlignment="1">
      <alignment vertical="center" wrapText="1"/>
    </xf>
    <xf numFmtId="0" fontId="1" fillId="7" borderId="4" xfId="8" applyFont="1" applyFill="1" applyBorder="1" applyAlignment="1">
      <alignment vertical="center" wrapText="1"/>
    </xf>
    <xf numFmtId="166" fontId="1" fillId="7" borderId="4" xfId="8" applyNumberFormat="1" applyFont="1" applyFill="1" applyBorder="1" applyAlignment="1">
      <alignment horizontal="left" vertical="center" wrapText="1"/>
    </xf>
    <xf numFmtId="0" fontId="46" fillId="12" borderId="5" xfId="8" applyFont="1" applyFill="1" applyBorder="1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25" fillId="8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7" fillId="21" borderId="7" xfId="5" applyFont="1" applyFill="1" applyBorder="1" applyAlignment="1">
      <alignment horizontal="right" vertical="center"/>
    </xf>
    <xf numFmtId="0" fontId="47" fillId="21" borderId="16" xfId="5" applyFont="1" applyFill="1" applyBorder="1" applyAlignment="1">
      <alignment horizontal="right" vertical="center"/>
    </xf>
    <xf numFmtId="0" fontId="47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19" fillId="0" borderId="4" xfId="6" applyNumberFormat="1" applyFont="1" applyBorder="1" applyAlignment="1">
      <alignment horizontal="left" vertical="center"/>
    </xf>
    <xf numFmtId="165" fontId="4" fillId="0" borderId="4" xfId="6" applyNumberFormat="1" applyFont="1" applyBorder="1" applyAlignment="1">
      <alignment horizontal="left" vertical="center"/>
    </xf>
    <xf numFmtId="0" fontId="50" fillId="12" borderId="0" xfId="0" applyNumberFormat="1" applyFont="1" applyFill="1" applyAlignment="1">
      <alignment horizontal="center" vertical="center"/>
    </xf>
    <xf numFmtId="0" fontId="50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46" fillId="12" borderId="14" xfId="8" applyFont="1" applyFill="1" applyBorder="1" applyAlignment="1">
      <alignment horizontal="center" vertical="center" wrapText="1"/>
    </xf>
    <xf numFmtId="0" fontId="46" fillId="12" borderId="8" xfId="8" applyFont="1" applyFill="1" applyBorder="1" applyAlignment="1">
      <alignment horizontal="center" vertical="center" wrapText="1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34" fillId="8" borderId="15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51" fillId="8" borderId="7" xfId="8" applyFont="1" applyFill="1" applyBorder="1" applyAlignment="1">
      <alignment horizontal="center" vertical="center" wrapText="1"/>
    </xf>
    <xf numFmtId="0" fontId="51" fillId="8" borderId="16" xfId="8" applyFont="1" applyFill="1" applyBorder="1" applyAlignment="1">
      <alignment horizontal="center" vertical="center" wrapText="1"/>
    </xf>
    <xf numFmtId="0" fontId="51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  <xf numFmtId="0" fontId="42" fillId="10" borderId="14" xfId="8" applyFont="1" applyFill="1" applyBorder="1" applyAlignment="1">
      <alignment horizontal="center" vertical="center" wrapText="1"/>
    </xf>
    <xf numFmtId="0" fontId="42" fillId="10" borderId="8" xfId="8" applyFont="1" applyFill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167" fontId="7" fillId="9" borderId="0" xfId="0" applyNumberFormat="1" applyFont="1" applyFill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vertical="center" wrapText="1"/>
    </xf>
  </cellXfs>
  <cellStyles count="56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E50" sqref="E50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36.28515625" style="36" customWidth="1"/>
    <col min="4" max="4" width="17.42578125" style="36" bestFit="1" customWidth="1"/>
    <col min="5" max="5" width="17.42578125" style="41" bestFit="1" customWidth="1"/>
    <col min="6" max="6" width="17.42578125" style="110" bestFit="1" customWidth="1"/>
    <col min="7" max="7" width="21.7109375" style="110" bestFit="1" customWidth="1"/>
    <col min="8" max="8" width="10.42578125" style="110" bestFit="1" customWidth="1"/>
    <col min="9" max="20" width="14.140625" style="110" customWidth="1"/>
    <col min="21" max="21" width="3.5703125" style="36" customWidth="1"/>
    <col min="22" max="16384" width="11" style="36"/>
  </cols>
  <sheetData>
    <row r="1" spans="1:8" ht="23">
      <c r="A1" s="34" t="s">
        <v>217</v>
      </c>
      <c r="B1" s="35"/>
      <c r="C1" s="35"/>
    </row>
    <row r="2" spans="1:8" s="37" customFormat="1" ht="23">
      <c r="A2" s="34" t="s">
        <v>218</v>
      </c>
      <c r="B2" s="42"/>
      <c r="C2" s="42"/>
      <c r="D2" s="7" t="s">
        <v>12</v>
      </c>
      <c r="E2" s="23" t="s">
        <v>1</v>
      </c>
    </row>
    <row r="3" spans="1:8" s="37" customFormat="1" ht="23">
      <c r="A3" s="46" t="s">
        <v>134</v>
      </c>
      <c r="E3" s="22" t="s">
        <v>2</v>
      </c>
    </row>
    <row r="4" spans="1:8">
      <c r="A4" s="125"/>
      <c r="B4" s="126"/>
    </row>
    <row r="5" spans="1:8" ht="16">
      <c r="A5" s="125"/>
      <c r="B5" s="127"/>
      <c r="C5" s="127"/>
      <c r="D5" s="128" t="s">
        <v>100</v>
      </c>
      <c r="E5" s="128" t="s">
        <v>68</v>
      </c>
      <c r="F5" s="128" t="s">
        <v>69</v>
      </c>
      <c r="G5" s="204" t="s">
        <v>101</v>
      </c>
      <c r="H5" s="129"/>
    </row>
    <row r="6" spans="1:8" ht="16">
      <c r="A6" s="125"/>
      <c r="B6" s="131"/>
      <c r="C6" s="131" t="s">
        <v>26</v>
      </c>
      <c r="D6" s="132" t="s">
        <v>39</v>
      </c>
      <c r="E6" s="132" t="s">
        <v>39</v>
      </c>
      <c r="F6" s="132" t="s">
        <v>39</v>
      </c>
      <c r="G6" s="133" t="s">
        <v>39</v>
      </c>
      <c r="H6" s="133" t="s">
        <v>29</v>
      </c>
    </row>
    <row r="7" spans="1:8" ht="16">
      <c r="A7" s="125"/>
      <c r="B7" s="134"/>
      <c r="C7" s="135" t="s">
        <v>212</v>
      </c>
      <c r="D7" s="136">
        <f>'Phase I'!$BD22</f>
        <v>714455.82743084978</v>
      </c>
      <c r="E7" s="136">
        <f>'Phase II'!$BD22</f>
        <v>570360.48228316486</v>
      </c>
      <c r="F7" s="136">
        <f>'Phase III'!$BD22</f>
        <v>586671.0167516598</v>
      </c>
      <c r="G7" s="137">
        <f>SUM(D7:F7)</f>
        <v>1871487.3264656744</v>
      </c>
      <c r="H7" s="138">
        <f>G7/G$11</f>
        <v>0.90632730317496191</v>
      </c>
    </row>
    <row r="8" spans="1:8" ht="16" hidden="1">
      <c r="A8" s="125"/>
      <c r="B8" s="139">
        <v>2</v>
      </c>
      <c r="C8" s="135" t="s">
        <v>0</v>
      </c>
      <c r="D8" s="136">
        <f>'Phase I'!$BF22</f>
        <v>0</v>
      </c>
      <c r="E8" s="136">
        <f>'Phase II'!$BF22</f>
        <v>0</v>
      </c>
      <c r="F8" s="136">
        <f>'Phase III'!$BF22</f>
        <v>0</v>
      </c>
      <c r="G8" s="137">
        <f t="shared" ref="G8:G10" si="0">SUM(D8:F8)</f>
        <v>0</v>
      </c>
      <c r="H8" s="138">
        <f>G8/G$11</f>
        <v>0</v>
      </c>
    </row>
    <row r="9" spans="1:8" ht="16" hidden="1">
      <c r="A9" s="125"/>
      <c r="B9" s="140">
        <v>3</v>
      </c>
      <c r="C9" s="135" t="s">
        <v>0</v>
      </c>
      <c r="D9" s="136">
        <f>'Phase I'!$BH22</f>
        <v>0</v>
      </c>
      <c r="E9" s="136">
        <f>'Phase II'!$BH22</f>
        <v>0</v>
      </c>
      <c r="F9" s="136">
        <f>'Phase III'!$BH22</f>
        <v>0</v>
      </c>
      <c r="G9" s="137">
        <f t="shared" si="0"/>
        <v>0</v>
      </c>
      <c r="H9" s="138">
        <f>G9/G$11</f>
        <v>0</v>
      </c>
    </row>
    <row r="10" spans="1:8" ht="16">
      <c r="A10" s="125"/>
      <c r="B10" s="221"/>
      <c r="C10" s="222" t="s">
        <v>128</v>
      </c>
      <c r="D10" s="136">
        <f>'Phase I'!$AY$22</f>
        <v>77149</v>
      </c>
      <c r="E10" s="136">
        <f>'Phase II'!$AY$22</f>
        <v>57248</v>
      </c>
      <c r="F10" s="136">
        <f>'Phase III'!$AY$22</f>
        <v>59029</v>
      </c>
      <c r="G10" s="137">
        <f t="shared" si="0"/>
        <v>193426</v>
      </c>
      <c r="H10" s="138">
        <f>G10/G$11</f>
        <v>9.3672696825038079E-2</v>
      </c>
    </row>
    <row r="11" spans="1:8" ht="16">
      <c r="A11" s="125"/>
      <c r="B11" s="99"/>
      <c r="C11" s="141" t="s">
        <v>28</v>
      </c>
      <c r="D11" s="142">
        <f>SUM(D7:D10)</f>
        <v>791604.82743084978</v>
      </c>
      <c r="E11" s="142">
        <f>SUM(E7:E10)</f>
        <v>627608.48228316486</v>
      </c>
      <c r="F11" s="142">
        <f>SUM(F7:F10)</f>
        <v>645700.0167516598</v>
      </c>
      <c r="G11" s="142">
        <f>SUM(G7:G10)</f>
        <v>2064913.3264656744</v>
      </c>
      <c r="H11" s="143">
        <f>SUM(H7:H10)</f>
        <v>1</v>
      </c>
    </row>
    <row r="12" spans="1:8">
      <c r="A12" s="125"/>
      <c r="D12" s="61"/>
      <c r="E12" s="144"/>
      <c r="F12" s="72"/>
      <c r="G12" s="72"/>
      <c r="H12" s="72"/>
    </row>
    <row r="13" spans="1:8" ht="16">
      <c r="A13" s="125"/>
      <c r="B13" s="127"/>
      <c r="C13" s="127"/>
      <c r="D13" s="128" t="s">
        <v>100</v>
      </c>
      <c r="E13" s="128" t="s">
        <v>68</v>
      </c>
      <c r="F13" s="128" t="s">
        <v>69</v>
      </c>
      <c r="G13" s="204" t="s">
        <v>101</v>
      </c>
      <c r="H13" s="129"/>
    </row>
    <row r="14" spans="1:8" ht="16">
      <c r="A14" s="125"/>
      <c r="B14" s="130" t="s">
        <v>54</v>
      </c>
      <c r="C14" s="131" t="s">
        <v>26</v>
      </c>
      <c r="D14" s="132" t="s">
        <v>39</v>
      </c>
      <c r="E14" s="132" t="s">
        <v>39</v>
      </c>
      <c r="F14" s="132" t="s">
        <v>39</v>
      </c>
      <c r="G14" s="133" t="s">
        <v>39</v>
      </c>
      <c r="H14" s="133" t="s">
        <v>29</v>
      </c>
    </row>
    <row r="15" spans="1:8" ht="16">
      <c r="A15" s="125"/>
      <c r="B15" s="302">
        <v>1</v>
      </c>
      <c r="C15" s="135" t="s">
        <v>213</v>
      </c>
      <c r="D15" s="136">
        <f>'Phase I'!$I22</f>
        <v>188959.74810050981</v>
      </c>
      <c r="E15" s="136">
        <f>'Phase II'!$I22</f>
        <v>166627.58802590086</v>
      </c>
      <c r="F15" s="136">
        <f>'Phase III'!$I22</f>
        <v>171153.64566667788</v>
      </c>
      <c r="G15" s="137">
        <f>SUM(D15:F15)</f>
        <v>526740.98179308849</v>
      </c>
      <c r="H15" s="138">
        <f>G15/G$32</f>
        <v>0.25509108544263381</v>
      </c>
    </row>
    <row r="16" spans="1:8" ht="16">
      <c r="A16" s="125"/>
      <c r="B16" s="302">
        <v>2</v>
      </c>
      <c r="C16" s="135" t="s">
        <v>214</v>
      </c>
      <c r="D16" s="136">
        <f>'Phase I'!$K22</f>
        <v>209663.75521571242</v>
      </c>
      <c r="E16" s="136">
        <f>'Phase II'!$K22</f>
        <v>154667.7219147892</v>
      </c>
      <c r="F16" s="136">
        <f>'Phase III'!$K22</f>
        <v>158283.41857223288</v>
      </c>
      <c r="G16" s="137">
        <f>SUM(D16:F16)</f>
        <v>522614.89570273453</v>
      </c>
      <c r="H16" s="138">
        <f t="shared" ref="H16:H31" si="1">G16/G$32</f>
        <v>0.2530928969291158</v>
      </c>
    </row>
    <row r="17" spans="1:20" ht="16">
      <c r="A17" s="125"/>
      <c r="B17" s="302">
        <v>3</v>
      </c>
      <c r="C17" s="135" t="s">
        <v>215</v>
      </c>
      <c r="D17" s="136">
        <f>'Phase I'!$M22</f>
        <v>210707.69999999998</v>
      </c>
      <c r="E17" s="136">
        <f>'Phase II'!$M22</f>
        <v>163511.1</v>
      </c>
      <c r="F17" s="136">
        <f>'Phase III'!$M22</f>
        <v>169233.3</v>
      </c>
      <c r="G17" s="137">
        <f t="shared" ref="G17:G31" si="2">SUM(D17:F17)</f>
        <v>543452.1</v>
      </c>
      <c r="H17" s="138">
        <f t="shared" si="1"/>
        <v>0.26318397631254475</v>
      </c>
    </row>
    <row r="18" spans="1:20" ht="16">
      <c r="A18" s="125"/>
      <c r="B18" s="302">
        <v>4</v>
      </c>
      <c r="C18" s="135" t="s">
        <v>216</v>
      </c>
      <c r="D18" s="136">
        <f>'Phase I'!$O22</f>
        <v>105124.62411462746</v>
      </c>
      <c r="E18" s="136">
        <f>'Phase II'!$O22</f>
        <v>85554.072342474712</v>
      </c>
      <c r="F18" s="136">
        <f>'Phase III'!$O22</f>
        <v>88000.652512748959</v>
      </c>
      <c r="G18" s="137">
        <f t="shared" si="2"/>
        <v>278679.34896985115</v>
      </c>
      <c r="H18" s="138">
        <f t="shared" si="1"/>
        <v>0.13495934449066754</v>
      </c>
    </row>
    <row r="19" spans="1:20" ht="16" hidden="1">
      <c r="A19" s="125"/>
      <c r="B19" s="302">
        <v>1.5</v>
      </c>
      <c r="C19" s="135" t="s">
        <v>27</v>
      </c>
      <c r="D19" s="136">
        <f>'Phase I'!$Q22</f>
        <v>0</v>
      </c>
      <c r="E19" s="136">
        <f>'Phase II'!$Q22</f>
        <v>0</v>
      </c>
      <c r="F19" s="136">
        <f>'Phase III'!$Q22</f>
        <v>0</v>
      </c>
      <c r="G19" s="137">
        <f t="shared" si="2"/>
        <v>0</v>
      </c>
      <c r="H19" s="138">
        <f t="shared" si="1"/>
        <v>0</v>
      </c>
    </row>
    <row r="20" spans="1:20" ht="16" hidden="1">
      <c r="A20" s="125"/>
      <c r="B20" s="302">
        <v>1.6</v>
      </c>
      <c r="C20" s="135" t="s">
        <v>27</v>
      </c>
      <c r="D20" s="136">
        <f>'Phase I'!$S22</f>
        <v>0</v>
      </c>
      <c r="E20" s="136">
        <f>'Phase II'!$S22</f>
        <v>0</v>
      </c>
      <c r="F20" s="136">
        <f>'Phase III'!$S22</f>
        <v>0</v>
      </c>
      <c r="G20" s="137">
        <f t="shared" si="2"/>
        <v>0</v>
      </c>
      <c r="H20" s="138">
        <f t="shared" si="1"/>
        <v>0</v>
      </c>
    </row>
    <row r="21" spans="1:20" ht="16" hidden="1">
      <c r="A21" s="125"/>
      <c r="B21" s="303">
        <v>2.1</v>
      </c>
      <c r="C21" s="135" t="s">
        <v>27</v>
      </c>
      <c r="D21" s="136">
        <f>'Phase I'!$X22</f>
        <v>0</v>
      </c>
      <c r="E21" s="136">
        <f>'Phase II'!$X22</f>
        <v>0</v>
      </c>
      <c r="F21" s="136">
        <f>'Phase III'!$X22</f>
        <v>0</v>
      </c>
      <c r="G21" s="137">
        <f t="shared" si="2"/>
        <v>0</v>
      </c>
      <c r="H21" s="138">
        <f t="shared" si="1"/>
        <v>0</v>
      </c>
    </row>
    <row r="22" spans="1:20" ht="16" hidden="1">
      <c r="A22" s="125"/>
      <c r="B22" s="303">
        <v>2.2000000000000002</v>
      </c>
      <c r="C22" s="135" t="s">
        <v>27</v>
      </c>
      <c r="D22" s="136">
        <f>'Phase I'!$Z22</f>
        <v>0</v>
      </c>
      <c r="E22" s="136">
        <f>'Phase II'!$Z22</f>
        <v>0</v>
      </c>
      <c r="F22" s="136">
        <f>'Phase III'!$Z22</f>
        <v>0</v>
      </c>
      <c r="G22" s="137">
        <f t="shared" si="2"/>
        <v>0</v>
      </c>
      <c r="H22" s="138">
        <f t="shared" si="1"/>
        <v>0</v>
      </c>
    </row>
    <row r="23" spans="1:20" ht="16" hidden="1">
      <c r="B23" s="303">
        <v>2.2999999999999998</v>
      </c>
      <c r="C23" s="135" t="s">
        <v>27</v>
      </c>
      <c r="D23" s="136">
        <f>'Phase I'!$AB22</f>
        <v>0</v>
      </c>
      <c r="E23" s="136">
        <f>'Phase II'!$AB22</f>
        <v>0</v>
      </c>
      <c r="F23" s="136">
        <f>'Phase III'!$AB22</f>
        <v>0</v>
      </c>
      <c r="G23" s="137">
        <f t="shared" si="2"/>
        <v>0</v>
      </c>
      <c r="H23" s="138">
        <f t="shared" si="1"/>
        <v>0</v>
      </c>
    </row>
    <row r="24" spans="1:20" ht="16" hidden="1">
      <c r="B24" s="303">
        <v>2.4</v>
      </c>
      <c r="C24" s="135" t="s">
        <v>27</v>
      </c>
      <c r="D24" s="136">
        <f>'Phase I'!$AD22</f>
        <v>0</v>
      </c>
      <c r="E24" s="136">
        <f>'Phase II'!$AD22</f>
        <v>0</v>
      </c>
      <c r="F24" s="136">
        <f>'Phase III'!$AD22</f>
        <v>0</v>
      </c>
      <c r="G24" s="137">
        <f t="shared" si="2"/>
        <v>0</v>
      </c>
      <c r="H24" s="138">
        <f t="shared" si="1"/>
        <v>0</v>
      </c>
    </row>
    <row r="25" spans="1:20" ht="16" hidden="1">
      <c r="B25" s="303">
        <v>2.5</v>
      </c>
      <c r="C25" s="135" t="s">
        <v>27</v>
      </c>
      <c r="D25" s="136">
        <f>'Phase I'!$AF22</f>
        <v>0</v>
      </c>
      <c r="E25" s="136">
        <f>'Phase II'!$AF22</f>
        <v>0</v>
      </c>
      <c r="F25" s="136">
        <f>'Phase III'!$AF22</f>
        <v>0</v>
      </c>
      <c r="G25" s="137">
        <f t="shared" si="2"/>
        <v>0</v>
      </c>
      <c r="H25" s="138">
        <f t="shared" si="1"/>
        <v>0</v>
      </c>
    </row>
    <row r="26" spans="1:20" ht="16" hidden="1">
      <c r="B26" s="303">
        <v>2.6</v>
      </c>
      <c r="C26" s="135" t="s">
        <v>27</v>
      </c>
      <c r="D26" s="136">
        <f>'Phase I'!$AH22</f>
        <v>0</v>
      </c>
      <c r="E26" s="136">
        <f>'Phase II'!$AH22</f>
        <v>0</v>
      </c>
      <c r="F26" s="136">
        <f>'Phase III'!$AH22</f>
        <v>0</v>
      </c>
      <c r="G26" s="137">
        <f t="shared" si="2"/>
        <v>0</v>
      </c>
      <c r="H26" s="138">
        <f t="shared" si="1"/>
        <v>0</v>
      </c>
    </row>
    <row r="27" spans="1:20" ht="16" hidden="1">
      <c r="B27" s="304">
        <v>3.1</v>
      </c>
      <c r="C27" s="135" t="s">
        <v>27</v>
      </c>
      <c r="D27" s="136">
        <f>'Phase I'!$AM22</f>
        <v>0</v>
      </c>
      <c r="E27" s="136">
        <f>'Phase II'!$AM22</f>
        <v>0</v>
      </c>
      <c r="F27" s="136">
        <f>'Phase III'!$AM22</f>
        <v>0</v>
      </c>
      <c r="G27" s="137">
        <f t="shared" si="2"/>
        <v>0</v>
      </c>
      <c r="H27" s="138">
        <f t="shared" si="1"/>
        <v>0</v>
      </c>
    </row>
    <row r="28" spans="1:20" ht="16" hidden="1">
      <c r="B28" s="304">
        <v>3.2</v>
      </c>
      <c r="C28" s="135" t="s">
        <v>27</v>
      </c>
      <c r="D28" s="136">
        <f>'Phase I'!$AO22</f>
        <v>0</v>
      </c>
      <c r="E28" s="136">
        <f>'Phase II'!$AO22</f>
        <v>0</v>
      </c>
      <c r="F28" s="136">
        <f>'Phase III'!$AO22</f>
        <v>0</v>
      </c>
      <c r="G28" s="137">
        <f t="shared" si="2"/>
        <v>0</v>
      </c>
      <c r="H28" s="138">
        <f t="shared" si="1"/>
        <v>0</v>
      </c>
    </row>
    <row r="29" spans="1:20" ht="16" hidden="1">
      <c r="B29" s="304">
        <v>3.3</v>
      </c>
      <c r="C29" s="135" t="s">
        <v>27</v>
      </c>
      <c r="D29" s="136">
        <f>'Phase I'!$AQ22</f>
        <v>0</v>
      </c>
      <c r="E29" s="136">
        <f>'Phase II'!$AQ22</f>
        <v>0</v>
      </c>
      <c r="F29" s="136">
        <f>'Phase III'!$AQ22</f>
        <v>0</v>
      </c>
      <c r="G29" s="137">
        <f t="shared" si="2"/>
        <v>0</v>
      </c>
      <c r="H29" s="138">
        <f t="shared" si="1"/>
        <v>0</v>
      </c>
    </row>
    <row r="30" spans="1:20" ht="16" hidden="1">
      <c r="B30" s="304">
        <v>3.4</v>
      </c>
      <c r="C30" s="135" t="s">
        <v>27</v>
      </c>
      <c r="D30" s="136">
        <f>'Phase I'!$AS22</f>
        <v>0</v>
      </c>
      <c r="E30" s="136">
        <f>'Phase II'!$AS22</f>
        <v>0</v>
      </c>
      <c r="F30" s="136">
        <f>'Phase III'!$AS22</f>
        <v>0</v>
      </c>
      <c r="G30" s="137">
        <f t="shared" si="2"/>
        <v>0</v>
      </c>
      <c r="H30" s="138">
        <f t="shared" si="1"/>
        <v>0</v>
      </c>
    </row>
    <row r="31" spans="1:20" ht="16">
      <c r="B31" s="221"/>
      <c r="C31" s="297" t="s">
        <v>176</v>
      </c>
      <c r="D31" s="136">
        <f>'Phase I'!$AY$22</f>
        <v>77149</v>
      </c>
      <c r="E31" s="136">
        <f>'Phase II'!$AY$22</f>
        <v>57248</v>
      </c>
      <c r="F31" s="136">
        <f>'Phase III'!$AY$22</f>
        <v>59029</v>
      </c>
      <c r="G31" s="137">
        <f t="shared" si="2"/>
        <v>193426</v>
      </c>
      <c r="H31" s="138">
        <f t="shared" si="1"/>
        <v>9.3672696825038093E-2</v>
      </c>
    </row>
    <row r="32" spans="1:20" ht="16">
      <c r="B32" s="99"/>
      <c r="C32" s="141" t="s">
        <v>28</v>
      </c>
      <c r="D32" s="142">
        <f>SUM(D15:D31)</f>
        <v>791604.82743084966</v>
      </c>
      <c r="E32" s="142">
        <f>SUM(E15:E31)</f>
        <v>627608.48228316475</v>
      </c>
      <c r="F32" s="142">
        <f>SUM(F15:F31)</f>
        <v>645700.0167516598</v>
      </c>
      <c r="G32" s="142">
        <f>SUM(G15:G31)</f>
        <v>2064913.3264656742</v>
      </c>
      <c r="H32" s="145">
        <f>SUM(H15:H31)</f>
        <v>1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4" spans="2:3">
      <c r="C34" s="36" t="s">
        <v>140</v>
      </c>
    </row>
    <row r="35" spans="2:3">
      <c r="B35" s="36" t="s">
        <v>140</v>
      </c>
    </row>
  </sheetData>
  <phoneticPr fontId="8" type="noConversion"/>
  <printOptions horizontalCentered="1" verticalCentered="1"/>
  <pageMargins left="0.5" right="0.5" top="0.5" bottom="0.5" header="0.5" footer="0.5"/>
  <pageSetup scale="6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H23" sqref="H23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8" t="s">
        <v>187</v>
      </c>
      <c r="B1" s="229"/>
      <c r="C1" s="229"/>
      <c r="D1" s="230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18">
      <c r="A2" s="228" t="s">
        <v>188</v>
      </c>
      <c r="B2" s="231"/>
      <c r="C2" s="231"/>
      <c r="D2" s="232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423"/>
      <c r="C7" s="189"/>
      <c r="D7" s="189"/>
      <c r="E7" s="189"/>
      <c r="F7" s="190"/>
      <c r="G7" s="190"/>
      <c r="H7" s="191"/>
      <c r="I7" s="191"/>
      <c r="J7" s="191"/>
      <c r="K7" s="191"/>
      <c r="L7" s="191"/>
      <c r="M7" s="191">
        <v>0</v>
      </c>
      <c r="N7" s="249"/>
      <c r="O7" s="192">
        <f>SUM(H7:M7)</f>
        <v>0</v>
      </c>
      <c r="P7" s="192">
        <f>F7*O7</f>
        <v>0</v>
      </c>
    </row>
    <row r="8" spans="1:16">
      <c r="A8" s="188"/>
      <c r="B8" s="189"/>
      <c r="C8" s="189"/>
      <c r="D8" s="189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0</v>
      </c>
    </row>
    <row r="10" spans="1:16">
      <c r="A10" s="188"/>
      <c r="B10" s="189"/>
      <c r="C10" s="189"/>
      <c r="D10" s="189"/>
      <c r="E10" s="189"/>
      <c r="F10" s="190"/>
      <c r="G10" s="190"/>
      <c r="H10" s="191"/>
      <c r="I10" s="191"/>
      <c r="J10" s="191"/>
      <c r="K10" s="191"/>
      <c r="L10" s="191"/>
      <c r="M10" s="191"/>
      <c r="N10" s="249"/>
      <c r="O10" s="192">
        <f>SUM(H10:M10)</f>
        <v>0</v>
      </c>
      <c r="P10" s="192">
        <f t="shared" ref="P10" si="1">F10*O10</f>
        <v>0</v>
      </c>
    </row>
    <row r="11" spans="1:16" ht="18" customHeight="1">
      <c r="A11" s="385" t="s">
        <v>94</v>
      </c>
      <c r="B11" s="385"/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198">
        <f>SUM(P10:P10)</f>
        <v>0</v>
      </c>
    </row>
    <row r="12" spans="1:16">
      <c r="A12" s="188"/>
      <c r="B12" s="189"/>
      <c r="C12" s="189"/>
      <c r="D12" s="189"/>
      <c r="E12" s="189"/>
      <c r="F12" s="190"/>
      <c r="G12" s="190"/>
      <c r="H12" s="191"/>
      <c r="I12" s="191"/>
      <c r="J12" s="191"/>
      <c r="K12" s="191"/>
      <c r="L12" s="191"/>
      <c r="M12" s="191"/>
      <c r="N12" s="249"/>
      <c r="O12" s="192">
        <f>SUM(H12:M12)</f>
        <v>0</v>
      </c>
      <c r="P12" s="192">
        <f t="shared" ref="P12" si="2">F12*O12</f>
        <v>0</v>
      </c>
    </row>
    <row r="13" spans="1:16" ht="18" customHeight="1">
      <c r="A13" s="385" t="s">
        <v>96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198">
        <f>SUM(P12:P12)</f>
        <v>0</v>
      </c>
    </row>
    <row r="15" spans="1:16">
      <c r="E15" s="236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E19" sqref="E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2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2" s="37" customFormat="1" ht="23">
      <c r="A3" s="46" t="s">
        <v>138</v>
      </c>
      <c r="D3" s="44"/>
      <c r="E3" s="147"/>
      <c r="F3" s="147"/>
      <c r="G3" s="147"/>
      <c r="H3" s="147"/>
      <c r="I3" s="147"/>
      <c r="J3" s="147"/>
      <c r="K3" s="44"/>
      <c r="L3" s="146"/>
    </row>
    <row r="4" spans="1:12" s="37" customFormat="1">
      <c r="D4" s="44"/>
      <c r="E4" s="147"/>
      <c r="F4" s="147"/>
      <c r="G4" s="147"/>
      <c r="H4" s="147"/>
      <c r="I4" s="147"/>
      <c r="J4" s="147"/>
      <c r="K4" s="44"/>
      <c r="L4" s="146"/>
    </row>
    <row r="5" spans="1:12" ht="32">
      <c r="A5" s="25" t="s">
        <v>53</v>
      </c>
      <c r="B5" s="26" t="s">
        <v>26</v>
      </c>
      <c r="C5" s="27" t="s">
        <v>97</v>
      </c>
      <c r="D5" s="27" t="s">
        <v>98</v>
      </c>
    </row>
    <row r="6" spans="1:12" ht="16">
      <c r="A6" s="168">
        <v>1</v>
      </c>
      <c r="B6" s="169" t="s">
        <v>0</v>
      </c>
      <c r="C6" s="170"/>
      <c r="D6" s="170"/>
    </row>
    <row r="7" spans="1:12" ht="16">
      <c r="A7" s="171">
        <v>1.1000000000000001</v>
      </c>
      <c r="B7" s="169" t="s">
        <v>27</v>
      </c>
      <c r="C7" s="170"/>
      <c r="D7" s="170"/>
    </row>
    <row r="8" spans="1:12" ht="16">
      <c r="A8" s="171">
        <v>1.2</v>
      </c>
      <c r="B8" s="169" t="s">
        <v>27</v>
      </c>
      <c r="C8" s="170"/>
      <c r="D8" s="170"/>
    </row>
    <row r="9" spans="1:12" ht="16">
      <c r="A9" s="171">
        <v>1.3</v>
      </c>
      <c r="B9" s="169" t="s">
        <v>27</v>
      </c>
      <c r="C9" s="170"/>
      <c r="D9" s="170"/>
    </row>
    <row r="10" spans="1:12" ht="16">
      <c r="A10" s="171">
        <v>1.4</v>
      </c>
      <c r="B10" s="169" t="s">
        <v>27</v>
      </c>
      <c r="C10" s="170"/>
      <c r="D10" s="170"/>
    </row>
    <row r="11" spans="1:12" ht="16">
      <c r="A11" s="171">
        <v>1.5</v>
      </c>
      <c r="B11" s="169" t="s">
        <v>27</v>
      </c>
      <c r="C11" s="170"/>
      <c r="D11" s="170"/>
    </row>
    <row r="12" spans="1:12" ht="16">
      <c r="A12" s="171">
        <v>1.6</v>
      </c>
      <c r="B12" s="169" t="s">
        <v>27</v>
      </c>
      <c r="C12" s="170"/>
      <c r="D12" s="170"/>
    </row>
    <row r="13" spans="1:12" ht="16">
      <c r="A13" s="172">
        <v>2</v>
      </c>
      <c r="B13" s="169" t="s">
        <v>27</v>
      </c>
      <c r="C13" s="170"/>
      <c r="D13" s="170"/>
    </row>
    <row r="14" spans="1:12" ht="16">
      <c r="A14" s="173">
        <v>2.1</v>
      </c>
      <c r="B14" s="169" t="s">
        <v>27</v>
      </c>
      <c r="C14" s="170"/>
      <c r="D14" s="170"/>
    </row>
    <row r="15" spans="1:12" ht="16">
      <c r="A15" s="173">
        <v>2.2000000000000002</v>
      </c>
      <c r="B15" s="169" t="s">
        <v>27</v>
      </c>
      <c r="C15" s="170"/>
      <c r="D15" s="170"/>
    </row>
    <row r="16" spans="1:12" ht="16">
      <c r="A16" s="173">
        <v>2.2999999999999998</v>
      </c>
      <c r="B16" s="169" t="s">
        <v>27</v>
      </c>
      <c r="C16" s="170"/>
      <c r="D16" s="170"/>
    </row>
    <row r="17" spans="1:4" ht="16">
      <c r="A17" s="173">
        <v>2.4</v>
      </c>
      <c r="B17" s="169" t="s">
        <v>27</v>
      </c>
      <c r="C17" s="170"/>
      <c r="D17" s="170"/>
    </row>
    <row r="18" spans="1:4" ht="16">
      <c r="A18" s="173">
        <v>2.5</v>
      </c>
      <c r="B18" s="169" t="s">
        <v>27</v>
      </c>
      <c r="C18" s="170"/>
      <c r="D18" s="170"/>
    </row>
    <row r="19" spans="1:4" ht="16">
      <c r="A19" s="173">
        <v>2.6</v>
      </c>
      <c r="B19" s="169" t="s">
        <v>27</v>
      </c>
      <c r="C19" s="170"/>
      <c r="D19" s="170"/>
    </row>
    <row r="20" spans="1:4" ht="16">
      <c r="A20" s="174">
        <v>3</v>
      </c>
      <c r="B20" s="169" t="s">
        <v>27</v>
      </c>
      <c r="C20" s="170"/>
      <c r="D20" s="170"/>
    </row>
    <row r="21" spans="1:4" ht="16">
      <c r="A21" s="301">
        <v>3.1</v>
      </c>
      <c r="B21" s="169" t="s">
        <v>27</v>
      </c>
      <c r="C21" s="170"/>
      <c r="D21" s="170"/>
    </row>
    <row r="22" spans="1:4" ht="16">
      <c r="A22" s="301">
        <v>3.2</v>
      </c>
      <c r="B22" s="169" t="s">
        <v>27</v>
      </c>
      <c r="C22" s="170"/>
      <c r="D22" s="170"/>
    </row>
    <row r="23" spans="1:4" ht="16">
      <c r="A23" s="301">
        <v>3.3</v>
      </c>
      <c r="B23" s="169" t="s">
        <v>27</v>
      </c>
      <c r="C23" s="170"/>
      <c r="D23" s="170"/>
    </row>
    <row r="24" spans="1:4" ht="16">
      <c r="A24" s="301">
        <v>3.4</v>
      </c>
      <c r="B24" s="169" t="s">
        <v>27</v>
      </c>
      <c r="C24" s="170"/>
      <c r="D24" s="170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65"/>
  <sheetViews>
    <sheetView topLeftCell="C1" zoomScale="70" zoomScaleNormal="70" zoomScalePageLayoutView="70" workbookViewId="0">
      <pane ySplit="4" topLeftCell="A5" activePane="bottomLeft" state="frozen"/>
      <selection pane="bottomLeft" activeCell="F66" sqref="F66"/>
    </sheetView>
  </sheetViews>
  <sheetFormatPr baseColWidth="10" defaultColWidth="8.7109375" defaultRowHeight="23" x14ac:dyDescent="0"/>
  <cols>
    <col min="1" max="2" width="0" style="305" hidden="1" customWidth="1"/>
    <col min="3" max="3" width="14.42578125" style="305" bestFit="1" customWidth="1"/>
    <col min="4" max="4" width="16.28515625" style="341" customWidth="1"/>
    <col min="5" max="5" width="39.85546875" style="342" customWidth="1"/>
    <col min="6" max="6" width="16.28515625" style="343" customWidth="1"/>
    <col min="7" max="7" width="18.42578125" style="305" customWidth="1"/>
    <col min="8" max="8" width="55.42578125" style="344" customWidth="1"/>
    <col min="9" max="10" width="35.5703125" style="344" customWidth="1"/>
    <col min="11" max="12" width="16.42578125" style="345" customWidth="1"/>
    <col min="13" max="13" width="18.7109375" style="345" bestFit="1" customWidth="1"/>
    <col min="14" max="27" width="8.7109375" style="306"/>
    <col min="28" max="28" width="8" style="306" customWidth="1"/>
    <col min="29" max="54" width="8.7109375" style="306"/>
    <col min="55" max="16384" width="8.7109375" style="305"/>
  </cols>
  <sheetData>
    <row r="1" spans="1:54" ht="37.5" customHeight="1">
      <c r="C1" s="413" t="s">
        <v>139</v>
      </c>
      <c r="D1" s="414"/>
      <c r="E1" s="414"/>
      <c r="F1" s="414"/>
      <c r="G1" s="414"/>
      <c r="H1" s="414"/>
      <c r="I1" s="414"/>
      <c r="J1" s="414"/>
      <c r="K1" s="414"/>
      <c r="L1" s="414"/>
      <c r="M1" s="415"/>
    </row>
    <row r="2" spans="1:54" ht="30" customHeight="1">
      <c r="C2" s="416" t="s">
        <v>70</v>
      </c>
      <c r="D2" s="416"/>
      <c r="E2" s="417"/>
      <c r="F2" s="417"/>
      <c r="G2" s="417"/>
      <c r="H2" s="417"/>
      <c r="I2" s="417"/>
      <c r="J2" s="417"/>
      <c r="K2" s="417"/>
      <c r="L2" s="417"/>
      <c r="M2" s="417"/>
    </row>
    <row r="3" spans="1:54" ht="30" customHeight="1">
      <c r="C3" s="416" t="s">
        <v>71</v>
      </c>
      <c r="D3" s="416"/>
      <c r="E3" s="417"/>
      <c r="F3" s="417"/>
      <c r="G3" s="417"/>
      <c r="H3" s="417"/>
      <c r="I3" s="417"/>
      <c r="J3" s="417"/>
      <c r="K3" s="417"/>
      <c r="L3" s="417"/>
      <c r="M3" s="417"/>
    </row>
    <row r="4" spans="1:54" s="314" customFormat="1" ht="40">
      <c r="A4" s="307" t="s">
        <v>72</v>
      </c>
      <c r="B4" s="308" t="s">
        <v>73</v>
      </c>
      <c r="C4" s="309" t="s">
        <v>72</v>
      </c>
      <c r="D4" s="310" t="s">
        <v>190</v>
      </c>
      <c r="E4" s="309" t="s">
        <v>191</v>
      </c>
      <c r="F4" s="311" t="s">
        <v>74</v>
      </c>
      <c r="G4" s="309" t="s">
        <v>75</v>
      </c>
      <c r="H4" s="309" t="s">
        <v>76</v>
      </c>
      <c r="I4" s="309" t="s">
        <v>77</v>
      </c>
      <c r="J4" s="309" t="s">
        <v>78</v>
      </c>
      <c r="K4" s="312" t="s">
        <v>79</v>
      </c>
      <c r="L4" s="312" t="s">
        <v>80</v>
      </c>
      <c r="M4" s="312" t="s">
        <v>81</v>
      </c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</row>
    <row r="5" spans="1:54" ht="23.25" customHeight="1">
      <c r="A5" s="315"/>
      <c r="B5" s="316" t="s">
        <v>82</v>
      </c>
      <c r="C5" s="418" t="s">
        <v>83</v>
      </c>
      <c r="D5" s="317">
        <v>1</v>
      </c>
      <c r="E5" s="318" t="s">
        <v>84</v>
      </c>
      <c r="F5" s="319">
        <f>SUM(F6:F11)</f>
        <v>0</v>
      </c>
      <c r="G5" s="320" t="s">
        <v>85</v>
      </c>
      <c r="H5" s="318" t="s">
        <v>86</v>
      </c>
      <c r="I5" s="318" t="s">
        <v>87</v>
      </c>
      <c r="J5" s="318" t="s">
        <v>87</v>
      </c>
      <c r="K5" s="321" t="s">
        <v>88</v>
      </c>
      <c r="L5" s="321" t="s">
        <v>88</v>
      </c>
      <c r="M5" s="321" t="s">
        <v>88</v>
      </c>
    </row>
    <row r="6" spans="1:54" ht="23.25" customHeight="1">
      <c r="A6" s="315"/>
      <c r="B6" s="316" t="s">
        <v>82</v>
      </c>
      <c r="C6" s="419"/>
      <c r="D6" s="322">
        <v>1.1000000000000001</v>
      </c>
      <c r="E6" s="323" t="s">
        <v>89</v>
      </c>
      <c r="F6" s="324">
        <v>0</v>
      </c>
      <c r="G6" s="315" t="s">
        <v>90</v>
      </c>
      <c r="H6" s="323" t="s">
        <v>86</v>
      </c>
      <c r="I6" s="323" t="s">
        <v>87</v>
      </c>
      <c r="J6" s="323" t="s">
        <v>87</v>
      </c>
      <c r="K6" s="325" t="s">
        <v>88</v>
      </c>
      <c r="L6" s="325" t="s">
        <v>88</v>
      </c>
      <c r="M6" s="325" t="s">
        <v>88</v>
      </c>
    </row>
    <row r="7" spans="1:54" ht="23.25" customHeight="1">
      <c r="A7" s="326"/>
      <c r="B7" s="326"/>
      <c r="C7" s="419"/>
      <c r="D7" s="322">
        <v>1.2</v>
      </c>
      <c r="E7" s="323" t="s">
        <v>89</v>
      </c>
      <c r="F7" s="324">
        <v>0</v>
      </c>
      <c r="G7" s="315" t="s">
        <v>90</v>
      </c>
      <c r="H7" s="323" t="s">
        <v>86</v>
      </c>
      <c r="I7" s="323" t="s">
        <v>87</v>
      </c>
      <c r="J7" s="323" t="s">
        <v>87</v>
      </c>
      <c r="K7" s="325" t="s">
        <v>88</v>
      </c>
      <c r="L7" s="325" t="s">
        <v>88</v>
      </c>
      <c r="M7" s="325" t="s">
        <v>88</v>
      </c>
    </row>
    <row r="8" spans="1:54" ht="23.25" customHeight="1">
      <c r="A8" s="326"/>
      <c r="B8" s="326"/>
      <c r="C8" s="419"/>
      <c r="D8" s="322">
        <v>1.3</v>
      </c>
      <c r="E8" s="323" t="s">
        <v>89</v>
      </c>
      <c r="F8" s="324">
        <v>0</v>
      </c>
      <c r="G8" s="315" t="s">
        <v>91</v>
      </c>
      <c r="H8" s="323" t="s">
        <v>86</v>
      </c>
      <c r="I8" s="323" t="s">
        <v>87</v>
      </c>
      <c r="J8" s="323" t="s">
        <v>87</v>
      </c>
      <c r="K8" s="325" t="s">
        <v>88</v>
      </c>
      <c r="L8" s="325" t="s">
        <v>88</v>
      </c>
      <c r="M8" s="325" t="s">
        <v>88</v>
      </c>
    </row>
    <row r="9" spans="1:54" ht="23.25" customHeight="1">
      <c r="A9" s="326"/>
      <c r="B9" s="326"/>
      <c r="C9" s="419"/>
      <c r="D9" s="322">
        <v>1.4</v>
      </c>
      <c r="E9" s="323" t="s">
        <v>89</v>
      </c>
      <c r="F9" s="324">
        <v>0</v>
      </c>
      <c r="G9" s="315" t="s">
        <v>90</v>
      </c>
      <c r="H9" s="323" t="s">
        <v>86</v>
      </c>
      <c r="I9" s="323" t="s">
        <v>87</v>
      </c>
      <c r="J9" s="323" t="s">
        <v>87</v>
      </c>
      <c r="K9" s="325" t="s">
        <v>88</v>
      </c>
      <c r="L9" s="325" t="s">
        <v>88</v>
      </c>
      <c r="M9" s="325" t="s">
        <v>88</v>
      </c>
    </row>
    <row r="10" spans="1:54" ht="23.25" customHeight="1">
      <c r="A10" s="326"/>
      <c r="B10" s="326"/>
      <c r="C10" s="419"/>
      <c r="D10" s="322">
        <v>1.5</v>
      </c>
      <c r="E10" s="323" t="s">
        <v>89</v>
      </c>
      <c r="F10" s="324">
        <v>0</v>
      </c>
      <c r="G10" s="315" t="s">
        <v>90</v>
      </c>
      <c r="H10" s="323" t="s">
        <v>86</v>
      </c>
      <c r="I10" s="323" t="s">
        <v>87</v>
      </c>
      <c r="J10" s="323" t="s">
        <v>87</v>
      </c>
      <c r="K10" s="325" t="s">
        <v>88</v>
      </c>
      <c r="L10" s="325" t="s">
        <v>88</v>
      </c>
      <c r="M10" s="325" t="s">
        <v>88</v>
      </c>
    </row>
    <row r="11" spans="1:54" ht="23.25" customHeight="1">
      <c r="A11" s="326"/>
      <c r="B11" s="326"/>
      <c r="C11" s="419"/>
      <c r="D11" s="322">
        <v>1.6</v>
      </c>
      <c r="E11" s="323" t="s">
        <v>89</v>
      </c>
      <c r="F11" s="324">
        <v>0</v>
      </c>
      <c r="G11" s="315" t="s">
        <v>91</v>
      </c>
      <c r="H11" s="323" t="s">
        <v>86</v>
      </c>
      <c r="I11" s="323" t="s">
        <v>87</v>
      </c>
      <c r="J11" s="323" t="s">
        <v>87</v>
      </c>
      <c r="K11" s="325" t="s">
        <v>88</v>
      </c>
      <c r="L11" s="325" t="s">
        <v>88</v>
      </c>
      <c r="M11" s="325" t="s">
        <v>88</v>
      </c>
    </row>
    <row r="12" spans="1:54" ht="23.25" customHeight="1">
      <c r="A12" s="326"/>
      <c r="B12" s="326"/>
      <c r="C12" s="419"/>
      <c r="D12" s="317">
        <v>2</v>
      </c>
      <c r="E12" s="318"/>
      <c r="F12" s="319">
        <f>SUM(F13:F18)</f>
        <v>0</v>
      </c>
      <c r="G12" s="320"/>
      <c r="H12" s="318"/>
      <c r="I12" s="318"/>
      <c r="J12" s="318"/>
      <c r="K12" s="321"/>
      <c r="L12" s="321"/>
      <c r="M12" s="321"/>
    </row>
    <row r="13" spans="1:54" ht="23.25" customHeight="1">
      <c r="A13" s="326"/>
      <c r="B13" s="326"/>
      <c r="C13" s="419"/>
      <c r="D13" s="322">
        <v>2.1</v>
      </c>
      <c r="E13" s="323"/>
      <c r="F13" s="324">
        <v>0</v>
      </c>
      <c r="G13" s="315"/>
      <c r="H13" s="323"/>
      <c r="I13" s="323"/>
      <c r="J13" s="323"/>
      <c r="K13" s="325"/>
      <c r="L13" s="325"/>
      <c r="M13" s="325"/>
    </row>
    <row r="14" spans="1:54" ht="23.25" customHeight="1">
      <c r="A14" s="326"/>
      <c r="B14" s="326"/>
      <c r="C14" s="419"/>
      <c r="D14" s="322">
        <v>2.2000000000000002</v>
      </c>
      <c r="E14" s="323"/>
      <c r="F14" s="324">
        <v>0</v>
      </c>
      <c r="G14" s="315"/>
      <c r="H14" s="323"/>
      <c r="I14" s="323"/>
      <c r="J14" s="323"/>
      <c r="K14" s="325"/>
      <c r="L14" s="325"/>
      <c r="M14" s="325"/>
    </row>
    <row r="15" spans="1:54" ht="23.25" customHeight="1">
      <c r="A15" s="326"/>
      <c r="B15" s="326"/>
      <c r="C15" s="419"/>
      <c r="D15" s="322">
        <v>2.2999999999999998</v>
      </c>
      <c r="E15" s="323"/>
      <c r="F15" s="324">
        <v>0</v>
      </c>
      <c r="G15" s="315"/>
      <c r="H15" s="323"/>
      <c r="I15" s="323"/>
      <c r="J15" s="323"/>
      <c r="K15" s="325"/>
      <c r="L15" s="325"/>
      <c r="M15" s="325"/>
    </row>
    <row r="16" spans="1:54" ht="23.25" customHeight="1">
      <c r="A16" s="326"/>
      <c r="B16" s="326"/>
      <c r="C16" s="419"/>
      <c r="D16" s="322">
        <v>2.4</v>
      </c>
      <c r="E16" s="323"/>
      <c r="F16" s="324">
        <v>0</v>
      </c>
      <c r="G16" s="315"/>
      <c r="H16" s="323"/>
      <c r="I16" s="323"/>
      <c r="J16" s="323"/>
      <c r="K16" s="325"/>
      <c r="L16" s="325"/>
      <c r="M16" s="325"/>
    </row>
    <row r="17" spans="1:13" ht="23.25" customHeight="1">
      <c r="A17" s="326"/>
      <c r="B17" s="326"/>
      <c r="C17" s="419"/>
      <c r="D17" s="322">
        <v>2.5</v>
      </c>
      <c r="E17" s="323"/>
      <c r="F17" s="324">
        <v>0</v>
      </c>
      <c r="G17" s="315"/>
      <c r="H17" s="323"/>
      <c r="I17" s="323"/>
      <c r="J17" s="323"/>
      <c r="K17" s="325"/>
      <c r="L17" s="325"/>
      <c r="M17" s="325"/>
    </row>
    <row r="18" spans="1:13" ht="23.25" customHeight="1">
      <c r="A18" s="326"/>
      <c r="B18" s="326"/>
      <c r="C18" s="419"/>
      <c r="D18" s="322">
        <v>2.6</v>
      </c>
      <c r="E18" s="323"/>
      <c r="F18" s="324">
        <v>0</v>
      </c>
      <c r="G18" s="315"/>
      <c r="H18" s="323"/>
      <c r="I18" s="323"/>
      <c r="J18" s="323"/>
      <c r="K18" s="325"/>
      <c r="L18" s="325"/>
      <c r="M18" s="325"/>
    </row>
    <row r="19" spans="1:13" ht="23.25" customHeight="1">
      <c r="A19" s="326"/>
      <c r="B19" s="326"/>
      <c r="C19" s="419"/>
      <c r="D19" s="317">
        <v>3</v>
      </c>
      <c r="E19" s="318"/>
      <c r="F19" s="319">
        <f>SUM(F20:F23)</f>
        <v>0</v>
      </c>
      <c r="G19" s="320"/>
      <c r="H19" s="318"/>
      <c r="I19" s="318"/>
      <c r="J19" s="318"/>
      <c r="K19" s="321"/>
      <c r="L19" s="321"/>
      <c r="M19" s="321"/>
    </row>
    <row r="20" spans="1:13" ht="23.25" customHeight="1">
      <c r="A20" s="326"/>
      <c r="B20" s="326"/>
      <c r="C20" s="419"/>
      <c r="D20" s="322">
        <v>3.1</v>
      </c>
      <c r="E20" s="323"/>
      <c r="F20" s="324">
        <v>0</v>
      </c>
      <c r="G20" s="315"/>
      <c r="H20" s="323"/>
      <c r="I20" s="323"/>
      <c r="J20" s="323"/>
      <c r="K20" s="325"/>
      <c r="L20" s="325"/>
      <c r="M20" s="325"/>
    </row>
    <row r="21" spans="1:13" ht="23.25" customHeight="1">
      <c r="A21" s="326"/>
      <c r="B21" s="326"/>
      <c r="C21" s="419"/>
      <c r="D21" s="322">
        <v>3.2</v>
      </c>
      <c r="E21" s="323"/>
      <c r="F21" s="324">
        <v>0</v>
      </c>
      <c r="G21" s="315"/>
      <c r="H21" s="323"/>
      <c r="I21" s="323"/>
      <c r="J21" s="323"/>
      <c r="K21" s="325"/>
      <c r="L21" s="325"/>
      <c r="M21" s="325"/>
    </row>
    <row r="22" spans="1:13" s="306" customFormat="1" ht="23.25" customHeight="1">
      <c r="A22" s="326"/>
      <c r="B22" s="326"/>
      <c r="C22" s="419"/>
      <c r="D22" s="322">
        <v>3.3</v>
      </c>
      <c r="E22" s="323"/>
      <c r="F22" s="324">
        <v>0</v>
      </c>
      <c r="G22" s="315"/>
      <c r="H22" s="323"/>
      <c r="I22" s="323"/>
      <c r="J22" s="323"/>
      <c r="K22" s="325"/>
      <c r="L22" s="325"/>
      <c r="M22" s="325"/>
    </row>
    <row r="23" spans="1:13" s="306" customFormat="1" ht="23.25" customHeight="1">
      <c r="A23" s="326"/>
      <c r="B23" s="326"/>
      <c r="C23" s="327"/>
      <c r="D23" s="322">
        <v>3.4</v>
      </c>
      <c r="E23" s="323"/>
      <c r="F23" s="324">
        <v>0</v>
      </c>
      <c r="G23" s="315"/>
      <c r="H23" s="323"/>
      <c r="I23" s="323"/>
      <c r="J23" s="323"/>
      <c r="K23" s="325"/>
      <c r="L23" s="325"/>
      <c r="M23" s="325"/>
    </row>
    <row r="24" spans="1:13" s="306" customFormat="1" ht="32" customHeight="1">
      <c r="A24" s="328"/>
      <c r="B24" s="326"/>
      <c r="C24" s="397" t="s">
        <v>92</v>
      </c>
      <c r="D24" s="398"/>
      <c r="E24" s="399"/>
      <c r="F24" s="400">
        <f>SUM(F5,F12,F19)</f>
        <v>0</v>
      </c>
      <c r="G24" s="400"/>
      <c r="H24" s="401"/>
      <c r="I24" s="402"/>
      <c r="J24" s="402"/>
      <c r="K24" s="402"/>
      <c r="L24" s="402"/>
      <c r="M24" s="403"/>
    </row>
    <row r="25" spans="1:13" ht="23.25" customHeight="1">
      <c r="A25" s="315"/>
      <c r="B25" s="316" t="s">
        <v>82</v>
      </c>
      <c r="C25" s="411" t="s">
        <v>93</v>
      </c>
      <c r="D25" s="329">
        <v>1</v>
      </c>
      <c r="E25" s="330"/>
      <c r="F25" s="331">
        <f>SUM(F26:F31)</f>
        <v>0</v>
      </c>
      <c r="G25" s="332"/>
      <c r="H25" s="330"/>
      <c r="I25" s="330"/>
      <c r="J25" s="330"/>
      <c r="K25" s="333"/>
      <c r="L25" s="333"/>
      <c r="M25" s="333"/>
    </row>
    <row r="26" spans="1:13" ht="23.25" customHeight="1">
      <c r="A26" s="315"/>
      <c r="B26" s="316" t="s">
        <v>82</v>
      </c>
      <c r="C26" s="412"/>
      <c r="D26" s="322">
        <v>1.1000000000000001</v>
      </c>
      <c r="E26" s="323"/>
      <c r="F26" s="324">
        <v>0</v>
      </c>
      <c r="G26" s="315"/>
      <c r="H26" s="323"/>
      <c r="I26" s="323"/>
      <c r="J26" s="323"/>
      <c r="K26" s="325"/>
      <c r="L26" s="325"/>
      <c r="M26" s="325"/>
    </row>
    <row r="27" spans="1:13" ht="23.25" customHeight="1">
      <c r="A27" s="326"/>
      <c r="B27" s="326"/>
      <c r="C27" s="412"/>
      <c r="D27" s="322">
        <v>1.2</v>
      </c>
      <c r="E27" s="323"/>
      <c r="F27" s="324">
        <v>0</v>
      </c>
      <c r="G27" s="315"/>
      <c r="H27" s="323"/>
      <c r="I27" s="323"/>
      <c r="J27" s="323"/>
      <c r="K27" s="325"/>
      <c r="L27" s="325"/>
      <c r="M27" s="325"/>
    </row>
    <row r="28" spans="1:13" ht="23.25" customHeight="1">
      <c r="A28" s="326"/>
      <c r="B28" s="326"/>
      <c r="C28" s="412"/>
      <c r="D28" s="322">
        <v>1.3</v>
      </c>
      <c r="E28" s="323"/>
      <c r="F28" s="324">
        <v>0</v>
      </c>
      <c r="G28" s="315"/>
      <c r="H28" s="323"/>
      <c r="I28" s="323"/>
      <c r="J28" s="323"/>
      <c r="K28" s="325"/>
      <c r="L28" s="325"/>
      <c r="M28" s="325"/>
    </row>
    <row r="29" spans="1:13" ht="23.25" customHeight="1">
      <c r="A29" s="326"/>
      <c r="B29" s="326"/>
      <c r="C29" s="412"/>
      <c r="D29" s="322">
        <v>1.4</v>
      </c>
      <c r="E29" s="323"/>
      <c r="F29" s="324">
        <v>0</v>
      </c>
      <c r="G29" s="315"/>
      <c r="H29" s="323"/>
      <c r="I29" s="323"/>
      <c r="J29" s="323"/>
      <c r="K29" s="325"/>
      <c r="L29" s="325"/>
      <c r="M29" s="325"/>
    </row>
    <row r="30" spans="1:13" ht="23.25" customHeight="1">
      <c r="A30" s="326"/>
      <c r="B30" s="326"/>
      <c r="C30" s="412"/>
      <c r="D30" s="322">
        <v>1.5</v>
      </c>
      <c r="E30" s="323"/>
      <c r="F30" s="324">
        <v>0</v>
      </c>
      <c r="G30" s="315"/>
      <c r="H30" s="323"/>
      <c r="I30" s="323"/>
      <c r="J30" s="323"/>
      <c r="K30" s="325"/>
      <c r="L30" s="325"/>
      <c r="M30" s="325"/>
    </row>
    <row r="31" spans="1:13" ht="23.25" customHeight="1">
      <c r="A31" s="326"/>
      <c r="B31" s="326"/>
      <c r="C31" s="412"/>
      <c r="D31" s="322">
        <v>1.6</v>
      </c>
      <c r="E31" s="323"/>
      <c r="F31" s="324">
        <v>0</v>
      </c>
      <c r="G31" s="315"/>
      <c r="H31" s="323"/>
      <c r="I31" s="323"/>
      <c r="J31" s="323"/>
      <c r="K31" s="325"/>
      <c r="L31" s="325"/>
      <c r="M31" s="325"/>
    </row>
    <row r="32" spans="1:13" ht="23.25" customHeight="1">
      <c r="A32" s="326"/>
      <c r="B32" s="326"/>
      <c r="C32" s="412"/>
      <c r="D32" s="329">
        <v>2</v>
      </c>
      <c r="E32" s="330"/>
      <c r="F32" s="331">
        <f>SUM(F33:F38)</f>
        <v>0</v>
      </c>
      <c r="G32" s="332"/>
      <c r="H32" s="330"/>
      <c r="I32" s="330"/>
      <c r="J32" s="330"/>
      <c r="K32" s="333"/>
      <c r="L32" s="333"/>
      <c r="M32" s="333"/>
    </row>
    <row r="33" spans="1:13" ht="23.25" customHeight="1">
      <c r="A33" s="326"/>
      <c r="B33" s="326"/>
      <c r="C33" s="412"/>
      <c r="D33" s="322">
        <v>2.1</v>
      </c>
      <c r="E33" s="323"/>
      <c r="F33" s="324">
        <v>0</v>
      </c>
      <c r="G33" s="315"/>
      <c r="H33" s="323"/>
      <c r="I33" s="323"/>
      <c r="J33" s="323"/>
      <c r="K33" s="325"/>
      <c r="L33" s="325"/>
      <c r="M33" s="325"/>
    </row>
    <row r="34" spans="1:13" ht="23.25" customHeight="1">
      <c r="A34" s="326"/>
      <c r="B34" s="326"/>
      <c r="C34" s="412"/>
      <c r="D34" s="322">
        <v>2.2000000000000002</v>
      </c>
      <c r="E34" s="323"/>
      <c r="F34" s="324">
        <v>0</v>
      </c>
      <c r="G34" s="315"/>
      <c r="H34" s="323"/>
      <c r="I34" s="323"/>
      <c r="J34" s="323"/>
      <c r="K34" s="325"/>
      <c r="L34" s="325"/>
      <c r="M34" s="325"/>
    </row>
    <row r="35" spans="1:13" ht="23.25" customHeight="1">
      <c r="A35" s="326"/>
      <c r="B35" s="326"/>
      <c r="C35" s="412"/>
      <c r="D35" s="322">
        <v>2.2999999999999998</v>
      </c>
      <c r="E35" s="323"/>
      <c r="F35" s="324">
        <v>0</v>
      </c>
      <c r="G35" s="315"/>
      <c r="H35" s="323"/>
      <c r="I35" s="323"/>
      <c r="J35" s="323"/>
      <c r="K35" s="325"/>
      <c r="L35" s="325"/>
      <c r="M35" s="325"/>
    </row>
    <row r="36" spans="1:13" ht="23.25" customHeight="1">
      <c r="A36" s="326"/>
      <c r="B36" s="326"/>
      <c r="C36" s="412"/>
      <c r="D36" s="322">
        <v>2.4</v>
      </c>
      <c r="E36" s="323"/>
      <c r="F36" s="324">
        <v>0</v>
      </c>
      <c r="G36" s="315"/>
      <c r="H36" s="323"/>
      <c r="I36" s="323"/>
      <c r="J36" s="323"/>
      <c r="K36" s="325"/>
      <c r="L36" s="325"/>
      <c r="M36" s="325"/>
    </row>
    <row r="37" spans="1:13" ht="23.25" customHeight="1">
      <c r="A37" s="326"/>
      <c r="B37" s="326"/>
      <c r="C37" s="412"/>
      <c r="D37" s="322">
        <v>2.5</v>
      </c>
      <c r="E37" s="323"/>
      <c r="F37" s="324">
        <v>0</v>
      </c>
      <c r="G37" s="315"/>
      <c r="H37" s="323"/>
      <c r="I37" s="323"/>
      <c r="J37" s="323"/>
      <c r="K37" s="325"/>
      <c r="L37" s="325"/>
      <c r="M37" s="325"/>
    </row>
    <row r="38" spans="1:13" ht="23.25" customHeight="1">
      <c r="A38" s="326"/>
      <c r="B38" s="326"/>
      <c r="C38" s="412"/>
      <c r="D38" s="322">
        <v>2.6</v>
      </c>
      <c r="E38" s="323"/>
      <c r="F38" s="324">
        <v>0</v>
      </c>
      <c r="G38" s="315"/>
      <c r="H38" s="323"/>
      <c r="I38" s="323"/>
      <c r="J38" s="323"/>
      <c r="K38" s="325"/>
      <c r="L38" s="325"/>
      <c r="M38" s="325"/>
    </row>
    <row r="39" spans="1:13" ht="23.25" customHeight="1">
      <c r="A39" s="326"/>
      <c r="B39" s="326"/>
      <c r="C39" s="412"/>
      <c r="D39" s="329">
        <v>3</v>
      </c>
      <c r="E39" s="330"/>
      <c r="F39" s="331">
        <f>SUM(F40:F43)</f>
        <v>0</v>
      </c>
      <c r="G39" s="332"/>
      <c r="H39" s="330"/>
      <c r="I39" s="330"/>
      <c r="J39" s="330"/>
      <c r="K39" s="333"/>
      <c r="L39" s="333"/>
      <c r="M39" s="333"/>
    </row>
    <row r="40" spans="1:13" ht="23.25" customHeight="1">
      <c r="A40" s="326"/>
      <c r="B40" s="326"/>
      <c r="C40" s="412"/>
      <c r="D40" s="322">
        <v>3.1</v>
      </c>
      <c r="E40" s="323"/>
      <c r="F40" s="324">
        <v>0</v>
      </c>
      <c r="G40" s="315"/>
      <c r="H40" s="323"/>
      <c r="I40" s="323"/>
      <c r="J40" s="323"/>
      <c r="K40" s="325"/>
      <c r="L40" s="325"/>
      <c r="M40" s="325"/>
    </row>
    <row r="41" spans="1:13" ht="23.25" customHeight="1">
      <c r="A41" s="326"/>
      <c r="B41" s="326"/>
      <c r="C41" s="412"/>
      <c r="D41" s="322">
        <v>3.2</v>
      </c>
      <c r="E41" s="323"/>
      <c r="F41" s="324">
        <v>0</v>
      </c>
      <c r="G41" s="315"/>
      <c r="H41" s="323"/>
      <c r="I41" s="323"/>
      <c r="J41" s="323"/>
      <c r="K41" s="325"/>
      <c r="L41" s="325"/>
      <c r="M41" s="325"/>
    </row>
    <row r="42" spans="1:13" s="306" customFormat="1" ht="23.25" customHeight="1">
      <c r="A42" s="326"/>
      <c r="B42" s="326"/>
      <c r="C42" s="412"/>
      <c r="D42" s="322">
        <v>3.3</v>
      </c>
      <c r="E42" s="323"/>
      <c r="F42" s="324">
        <v>0</v>
      </c>
      <c r="G42" s="315"/>
      <c r="H42" s="323"/>
      <c r="I42" s="323"/>
      <c r="J42" s="323"/>
      <c r="K42" s="325"/>
      <c r="L42" s="325"/>
      <c r="M42" s="325"/>
    </row>
    <row r="43" spans="1:13" s="306" customFormat="1" ht="23.25" customHeight="1">
      <c r="A43" s="326"/>
      <c r="B43" s="326"/>
      <c r="C43" s="334"/>
      <c r="D43" s="322">
        <v>3.4</v>
      </c>
      <c r="E43" s="323"/>
      <c r="F43" s="324">
        <v>0</v>
      </c>
      <c r="G43" s="315"/>
      <c r="H43" s="323"/>
      <c r="I43" s="323"/>
      <c r="J43" s="323"/>
      <c r="K43" s="325"/>
      <c r="L43" s="325"/>
      <c r="M43" s="325"/>
    </row>
    <row r="44" spans="1:13" s="306" customFormat="1" ht="32" customHeight="1">
      <c r="A44" s="328"/>
      <c r="B44" s="326"/>
      <c r="C44" s="397" t="s">
        <v>94</v>
      </c>
      <c r="D44" s="398"/>
      <c r="E44" s="399"/>
      <c r="F44" s="400">
        <f>SUM(F25,F32,F39)</f>
        <v>0</v>
      </c>
      <c r="G44" s="400"/>
      <c r="H44" s="401"/>
      <c r="I44" s="402"/>
      <c r="J44" s="402"/>
      <c r="K44" s="402"/>
      <c r="L44" s="402"/>
      <c r="M44" s="403"/>
    </row>
    <row r="45" spans="1:13" ht="23.25" customHeight="1">
      <c r="A45" s="315"/>
      <c r="B45" s="316" t="s">
        <v>82</v>
      </c>
      <c r="C45" s="395" t="s">
        <v>95</v>
      </c>
      <c r="D45" s="335">
        <v>1</v>
      </c>
      <c r="E45" s="336"/>
      <c r="F45" s="337">
        <f>SUM(F46:F51)</f>
        <v>0</v>
      </c>
      <c r="G45" s="338"/>
      <c r="H45" s="336"/>
      <c r="I45" s="336"/>
      <c r="J45" s="336"/>
      <c r="K45" s="339"/>
      <c r="L45" s="339"/>
      <c r="M45" s="339"/>
    </row>
    <row r="46" spans="1:13" ht="23.25" customHeight="1">
      <c r="A46" s="315"/>
      <c r="B46" s="316" t="s">
        <v>82</v>
      </c>
      <c r="C46" s="396"/>
      <c r="D46" s="322">
        <v>1.1000000000000001</v>
      </c>
      <c r="E46" s="323"/>
      <c r="F46" s="324">
        <v>0</v>
      </c>
      <c r="G46" s="315"/>
      <c r="H46" s="323"/>
      <c r="I46" s="323"/>
      <c r="J46" s="323"/>
      <c r="K46" s="325"/>
      <c r="L46" s="325"/>
      <c r="M46" s="325"/>
    </row>
    <row r="47" spans="1:13" ht="23.25" customHeight="1">
      <c r="A47" s="326"/>
      <c r="B47" s="326"/>
      <c r="C47" s="396"/>
      <c r="D47" s="322">
        <v>1.2</v>
      </c>
      <c r="E47" s="323"/>
      <c r="F47" s="324">
        <v>0</v>
      </c>
      <c r="G47" s="315"/>
      <c r="H47" s="323"/>
      <c r="I47" s="323"/>
      <c r="J47" s="323"/>
      <c r="K47" s="325"/>
      <c r="L47" s="325"/>
      <c r="M47" s="325"/>
    </row>
    <row r="48" spans="1:13" ht="23.25" customHeight="1">
      <c r="A48" s="326"/>
      <c r="B48" s="326"/>
      <c r="C48" s="396"/>
      <c r="D48" s="322">
        <v>1.3</v>
      </c>
      <c r="E48" s="323"/>
      <c r="F48" s="324">
        <v>0</v>
      </c>
      <c r="G48" s="315"/>
      <c r="H48" s="323"/>
      <c r="I48" s="323"/>
      <c r="J48" s="323"/>
      <c r="K48" s="325"/>
      <c r="L48" s="325"/>
      <c r="M48" s="325"/>
    </row>
    <row r="49" spans="1:13" ht="23.25" customHeight="1">
      <c r="A49" s="326"/>
      <c r="B49" s="326"/>
      <c r="C49" s="396"/>
      <c r="D49" s="322">
        <v>1.4</v>
      </c>
      <c r="E49" s="323"/>
      <c r="F49" s="324">
        <v>0</v>
      </c>
      <c r="G49" s="315"/>
      <c r="H49" s="323"/>
      <c r="I49" s="323"/>
      <c r="J49" s="323"/>
      <c r="K49" s="325"/>
      <c r="L49" s="325"/>
      <c r="M49" s="325"/>
    </row>
    <row r="50" spans="1:13" ht="23.25" customHeight="1">
      <c r="A50" s="326"/>
      <c r="B50" s="326"/>
      <c r="C50" s="396"/>
      <c r="D50" s="322">
        <v>1.5</v>
      </c>
      <c r="E50" s="323"/>
      <c r="F50" s="324">
        <v>0</v>
      </c>
      <c r="G50" s="315"/>
      <c r="H50" s="323"/>
      <c r="I50" s="323"/>
      <c r="J50" s="323"/>
      <c r="K50" s="325"/>
      <c r="L50" s="325"/>
      <c r="M50" s="325"/>
    </row>
    <row r="51" spans="1:13" ht="23.25" customHeight="1">
      <c r="A51" s="326"/>
      <c r="B51" s="326"/>
      <c r="C51" s="396"/>
      <c r="D51" s="322">
        <v>1.6</v>
      </c>
      <c r="E51" s="323"/>
      <c r="F51" s="324">
        <v>0</v>
      </c>
      <c r="G51" s="315"/>
      <c r="H51" s="323"/>
      <c r="I51" s="323"/>
      <c r="J51" s="323"/>
      <c r="K51" s="325"/>
      <c r="L51" s="325"/>
      <c r="M51" s="325"/>
    </row>
    <row r="52" spans="1:13" ht="23.25" customHeight="1">
      <c r="A52" s="326"/>
      <c r="B52" s="326"/>
      <c r="C52" s="396"/>
      <c r="D52" s="335">
        <v>2</v>
      </c>
      <c r="E52" s="336"/>
      <c r="F52" s="337">
        <f>SUM(F53:F58)</f>
        <v>0</v>
      </c>
      <c r="G52" s="338"/>
      <c r="H52" s="336"/>
      <c r="I52" s="336"/>
      <c r="J52" s="336"/>
      <c r="K52" s="339"/>
      <c r="L52" s="339"/>
      <c r="M52" s="339"/>
    </row>
    <row r="53" spans="1:13" ht="23.25" customHeight="1">
      <c r="A53" s="326"/>
      <c r="B53" s="326"/>
      <c r="C53" s="396"/>
      <c r="D53" s="322">
        <v>2.1</v>
      </c>
      <c r="E53" s="323"/>
      <c r="F53" s="324">
        <v>0</v>
      </c>
      <c r="G53" s="315"/>
      <c r="H53" s="323"/>
      <c r="I53" s="323"/>
      <c r="J53" s="323"/>
      <c r="K53" s="325"/>
      <c r="L53" s="325"/>
      <c r="M53" s="325"/>
    </row>
    <row r="54" spans="1:13" ht="23.25" customHeight="1">
      <c r="A54" s="326"/>
      <c r="B54" s="326"/>
      <c r="C54" s="396"/>
      <c r="D54" s="322">
        <v>2.2000000000000002</v>
      </c>
      <c r="E54" s="323"/>
      <c r="F54" s="324">
        <v>0</v>
      </c>
      <c r="G54" s="315"/>
      <c r="H54" s="323"/>
      <c r="I54" s="323"/>
      <c r="J54" s="323"/>
      <c r="K54" s="325"/>
      <c r="L54" s="325"/>
      <c r="M54" s="325"/>
    </row>
    <row r="55" spans="1:13" ht="23.25" customHeight="1">
      <c r="A55" s="326"/>
      <c r="B55" s="326"/>
      <c r="C55" s="396"/>
      <c r="D55" s="322">
        <v>2.2999999999999998</v>
      </c>
      <c r="E55" s="323"/>
      <c r="F55" s="324">
        <v>0</v>
      </c>
      <c r="G55" s="315"/>
      <c r="H55" s="323"/>
      <c r="I55" s="323"/>
      <c r="J55" s="323"/>
      <c r="K55" s="325"/>
      <c r="L55" s="325"/>
      <c r="M55" s="325"/>
    </row>
    <row r="56" spans="1:13" ht="23.25" customHeight="1">
      <c r="A56" s="326"/>
      <c r="B56" s="326"/>
      <c r="C56" s="396"/>
      <c r="D56" s="322">
        <v>2.4</v>
      </c>
      <c r="E56" s="323"/>
      <c r="F56" s="324">
        <v>0</v>
      </c>
      <c r="G56" s="315"/>
      <c r="H56" s="323"/>
      <c r="I56" s="323"/>
      <c r="J56" s="323"/>
      <c r="K56" s="325"/>
      <c r="L56" s="325"/>
      <c r="M56" s="325"/>
    </row>
    <row r="57" spans="1:13" ht="23.25" customHeight="1">
      <c r="A57" s="326"/>
      <c r="B57" s="326"/>
      <c r="C57" s="396"/>
      <c r="D57" s="322">
        <v>2.5</v>
      </c>
      <c r="E57" s="323"/>
      <c r="F57" s="324">
        <v>0</v>
      </c>
      <c r="G57" s="315"/>
      <c r="H57" s="323"/>
      <c r="I57" s="323"/>
      <c r="J57" s="323"/>
      <c r="K57" s="325"/>
      <c r="L57" s="325"/>
      <c r="M57" s="325"/>
    </row>
    <row r="58" spans="1:13" ht="23.25" customHeight="1">
      <c r="A58" s="326"/>
      <c r="B58" s="326"/>
      <c r="C58" s="396"/>
      <c r="D58" s="322">
        <v>2.6</v>
      </c>
      <c r="E58" s="323"/>
      <c r="F58" s="324">
        <v>0</v>
      </c>
      <c r="G58" s="315"/>
      <c r="H58" s="323"/>
      <c r="I58" s="323"/>
      <c r="J58" s="323"/>
      <c r="K58" s="325"/>
      <c r="L58" s="325"/>
      <c r="M58" s="325"/>
    </row>
    <row r="59" spans="1:13" ht="23.25" customHeight="1">
      <c r="A59" s="326"/>
      <c r="B59" s="326"/>
      <c r="C59" s="396"/>
      <c r="D59" s="335">
        <v>3</v>
      </c>
      <c r="E59" s="336"/>
      <c r="F59" s="337">
        <f>SUM(F60:F63)</f>
        <v>0</v>
      </c>
      <c r="G59" s="338"/>
      <c r="H59" s="336"/>
      <c r="I59" s="336"/>
      <c r="J59" s="336"/>
      <c r="K59" s="339"/>
      <c r="L59" s="339"/>
      <c r="M59" s="339"/>
    </row>
    <row r="60" spans="1:13" ht="23.25" customHeight="1">
      <c r="A60" s="326"/>
      <c r="B60" s="326"/>
      <c r="C60" s="396"/>
      <c r="D60" s="322">
        <v>3.1</v>
      </c>
      <c r="E60" s="323"/>
      <c r="F60" s="324">
        <v>0</v>
      </c>
      <c r="G60" s="315"/>
      <c r="H60" s="323"/>
      <c r="I60" s="323"/>
      <c r="J60" s="323"/>
      <c r="K60" s="325"/>
      <c r="L60" s="325"/>
      <c r="M60" s="325"/>
    </row>
    <row r="61" spans="1:13" ht="23.25" customHeight="1">
      <c r="A61" s="326"/>
      <c r="B61" s="326"/>
      <c r="C61" s="396"/>
      <c r="D61" s="322">
        <v>3.2</v>
      </c>
      <c r="E61" s="323"/>
      <c r="F61" s="324">
        <v>0</v>
      </c>
      <c r="G61" s="315"/>
      <c r="H61" s="323"/>
      <c r="I61" s="323"/>
      <c r="J61" s="323"/>
      <c r="K61" s="325"/>
      <c r="L61" s="325"/>
      <c r="M61" s="325"/>
    </row>
    <row r="62" spans="1:13" s="306" customFormat="1" ht="23.25" customHeight="1">
      <c r="A62" s="326"/>
      <c r="B62" s="326"/>
      <c r="C62" s="396"/>
      <c r="D62" s="322">
        <v>3.3</v>
      </c>
      <c r="E62" s="323"/>
      <c r="F62" s="324">
        <v>0</v>
      </c>
      <c r="G62" s="315"/>
      <c r="H62" s="323"/>
      <c r="I62" s="323"/>
      <c r="J62" s="323"/>
      <c r="K62" s="325"/>
      <c r="L62" s="325"/>
      <c r="M62" s="325"/>
    </row>
    <row r="63" spans="1:13" s="306" customFormat="1" ht="23.25" customHeight="1">
      <c r="A63" s="326"/>
      <c r="B63" s="326"/>
      <c r="C63" s="340"/>
      <c r="D63" s="322">
        <v>3.4</v>
      </c>
      <c r="E63" s="323"/>
      <c r="F63" s="324">
        <v>0</v>
      </c>
      <c r="G63" s="315"/>
      <c r="H63" s="323"/>
      <c r="I63" s="323"/>
      <c r="J63" s="323"/>
      <c r="K63" s="325"/>
      <c r="L63" s="325"/>
      <c r="M63" s="325"/>
    </row>
    <row r="64" spans="1:13" s="306" customFormat="1" ht="31.5" customHeight="1">
      <c r="A64" s="328"/>
      <c r="B64" s="326"/>
      <c r="C64" s="397" t="s">
        <v>96</v>
      </c>
      <c r="D64" s="398"/>
      <c r="E64" s="399"/>
      <c r="F64" s="400">
        <f>SUM(F45,F52,F59)</f>
        <v>0</v>
      </c>
      <c r="G64" s="400"/>
      <c r="H64" s="401"/>
      <c r="I64" s="402"/>
      <c r="J64" s="402"/>
      <c r="K64" s="402"/>
      <c r="L64" s="402"/>
      <c r="M64" s="403"/>
    </row>
    <row r="65" spans="3:13" ht="45" customHeight="1">
      <c r="C65" s="404" t="s">
        <v>99</v>
      </c>
      <c r="D65" s="405"/>
      <c r="E65" s="406"/>
      <c r="F65" s="407">
        <f>SUM(F24,F44,F64)</f>
        <v>0</v>
      </c>
      <c r="G65" s="407"/>
      <c r="H65" s="408"/>
      <c r="I65" s="409"/>
      <c r="J65" s="409"/>
      <c r="K65" s="409"/>
      <c r="L65" s="409"/>
      <c r="M65" s="410"/>
    </row>
  </sheetData>
  <mergeCells count="20">
    <mergeCell ref="C5:C22"/>
    <mergeCell ref="C1:M1"/>
    <mergeCell ref="C2:D2"/>
    <mergeCell ref="E2:M2"/>
    <mergeCell ref="C3:D3"/>
    <mergeCell ref="E3:M3"/>
    <mergeCell ref="C24:E24"/>
    <mergeCell ref="F24:G24"/>
    <mergeCell ref="H24:M24"/>
    <mergeCell ref="C25:C42"/>
    <mergeCell ref="C44:E44"/>
    <mergeCell ref="F44:G44"/>
    <mergeCell ref="H44:M44"/>
    <mergeCell ref="C45:C62"/>
    <mergeCell ref="C64:E64"/>
    <mergeCell ref="F64:G64"/>
    <mergeCell ref="H64:M64"/>
    <mergeCell ref="C65:E65"/>
    <mergeCell ref="F65:G65"/>
    <mergeCell ref="H65:M65"/>
  </mergeCells>
  <pageMargins left="0.25" right="0.25" top="0.75" bottom="0.75" header="0.3" footer="0.3"/>
  <pageSetup scale="31" fitToHeight="2"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5"/>
  <sheetViews>
    <sheetView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6" bestFit="1" customWidth="1"/>
    <col min="6" max="7" width="16" style="146" hidden="1" customWidth="1"/>
    <col min="8" max="8" width="16" style="146" bestFit="1" customWidth="1"/>
    <col min="9" max="9" width="2" style="41" customWidth="1"/>
    <col min="10" max="10" width="17.42578125" style="146" bestFit="1" customWidth="1"/>
    <col min="11" max="16384" width="11" style="36"/>
  </cols>
  <sheetData>
    <row r="1" spans="1:10" ht="23">
      <c r="A1" s="34" t="str">
        <f>'Summary by Task'!A1</f>
        <v>University of Floirda</v>
      </c>
      <c r="B1" s="35"/>
      <c r="C1" s="35"/>
    </row>
    <row r="2" spans="1:10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44"/>
      <c r="J2" s="146"/>
    </row>
    <row r="3" spans="1:10" s="37" customFormat="1" ht="23">
      <c r="A3" s="46" t="s">
        <v>135</v>
      </c>
      <c r="D3" s="44"/>
      <c r="E3" s="147"/>
      <c r="F3" s="147"/>
      <c r="G3" s="147"/>
      <c r="H3" s="245"/>
      <c r="I3" s="44"/>
      <c r="J3" s="146"/>
    </row>
    <row r="4" spans="1:10">
      <c r="H4" s="239"/>
    </row>
    <row r="5" spans="1:10" s="37" customFormat="1" ht="16">
      <c r="B5" s="126" t="s">
        <v>10</v>
      </c>
      <c r="D5" s="50"/>
      <c r="E5" s="148" t="s">
        <v>174</v>
      </c>
      <c r="F5" s="149" t="s">
        <v>174</v>
      </c>
      <c r="G5" s="150" t="s">
        <v>174</v>
      </c>
      <c r="H5" s="220" t="s">
        <v>129</v>
      </c>
      <c r="I5" s="151"/>
      <c r="J5" s="152"/>
    </row>
    <row r="6" spans="1:10" s="37" customFormat="1" ht="16">
      <c r="B6" s="126" t="s">
        <v>11</v>
      </c>
      <c r="D6" s="50"/>
      <c r="E6" s="148" t="s">
        <v>105</v>
      </c>
      <c r="F6" s="149">
        <v>2</v>
      </c>
      <c r="G6" s="150">
        <v>3</v>
      </c>
      <c r="H6" s="220" t="s">
        <v>175</v>
      </c>
      <c r="I6" s="151"/>
      <c r="J6" s="152"/>
    </row>
    <row r="7" spans="1:10" ht="17" thickBot="1">
      <c r="B7" s="53"/>
      <c r="C7" s="54"/>
      <c r="D7" s="56"/>
      <c r="E7" s="153" t="str">
        <f>'Summary by Task'!C7</f>
        <v>All Tasks</v>
      </c>
      <c r="F7" s="153" t="str">
        <f>'Summary by Task'!C8</f>
        <v>Short TA text identifier</v>
      </c>
      <c r="G7" s="153" t="str">
        <f>'Summary by Task'!C9</f>
        <v>Short TA text identifier</v>
      </c>
      <c r="H7" s="153"/>
      <c r="I7" s="154"/>
      <c r="J7" s="155" t="s">
        <v>30</v>
      </c>
    </row>
    <row r="8" spans="1:10" s="61" customFormat="1" ht="17" thickBot="1">
      <c r="B8" s="156" t="s">
        <v>100</v>
      </c>
      <c r="C8" s="63"/>
      <c r="D8" s="64"/>
      <c r="E8" s="157"/>
      <c r="F8" s="157"/>
      <c r="G8" s="157"/>
      <c r="H8" s="157"/>
      <c r="I8" s="63"/>
      <c r="J8" s="157"/>
    </row>
    <row r="9" spans="1:10" s="61" customFormat="1">
      <c r="B9" s="63"/>
      <c r="C9" s="70" t="s">
        <v>20</v>
      </c>
      <c r="D9" s="64"/>
      <c r="E9" s="158">
        <f>'Phase I'!$BD$9</f>
        <v>262539.69412999984</v>
      </c>
      <c r="F9" s="158">
        <f>'Phase I'!$BF$9</f>
        <v>0</v>
      </c>
      <c r="G9" s="158">
        <f>'Phase I'!$BH$9</f>
        <v>0</v>
      </c>
      <c r="H9" s="158">
        <v>0</v>
      </c>
      <c r="I9" s="63"/>
      <c r="J9" s="159">
        <f>'Phase I'!$BM$9</f>
        <v>262539.69412999984</v>
      </c>
    </row>
    <row r="10" spans="1:10" s="61" customFormat="1">
      <c r="B10" s="63"/>
      <c r="C10" s="70" t="s">
        <v>37</v>
      </c>
      <c r="D10" s="64"/>
      <c r="E10" s="160">
        <f>'Phase I'!$BD$10</f>
        <v>41000</v>
      </c>
      <c r="F10" s="160">
        <f>'Phase I'!$BF$10</f>
        <v>0</v>
      </c>
      <c r="G10" s="160">
        <f>'Phase I'!$BH$10</f>
        <v>0</v>
      </c>
      <c r="H10" s="160">
        <v>0</v>
      </c>
      <c r="I10" s="63"/>
      <c r="J10" s="161">
        <f>'Phase I'!$BM$10</f>
        <v>41000</v>
      </c>
    </row>
    <row r="11" spans="1:10" s="61" customFormat="1">
      <c r="B11" s="63"/>
      <c r="C11" s="70" t="s">
        <v>38</v>
      </c>
      <c r="D11" s="64"/>
      <c r="E11" s="160">
        <f>'Phase I'!$BD$11</f>
        <v>0</v>
      </c>
      <c r="F11" s="160">
        <f>'Phase I'!$BF$11</f>
        <v>0</v>
      </c>
      <c r="G11" s="160">
        <f>'Phase I'!$BH$11</f>
        <v>0</v>
      </c>
      <c r="H11" s="160">
        <v>0</v>
      </c>
      <c r="I11" s="63"/>
      <c r="J11" s="161">
        <f>'Phase I'!$BM$11</f>
        <v>0</v>
      </c>
    </row>
    <row r="12" spans="1:10" s="61" customFormat="1">
      <c r="B12" s="63"/>
      <c r="C12" s="199" t="s">
        <v>116</v>
      </c>
      <c r="D12" s="64"/>
      <c r="E12" s="160">
        <f>'Phase I'!$BD$13</f>
        <v>231862</v>
      </c>
      <c r="F12" s="160">
        <f>'Phase I'!$BF$13</f>
        <v>0</v>
      </c>
      <c r="G12" s="160">
        <f>'Phase I'!$BH$13</f>
        <v>0</v>
      </c>
      <c r="H12" s="160">
        <v>0</v>
      </c>
      <c r="I12" s="63"/>
      <c r="J12" s="161">
        <f>'Phase I'!$BM$13</f>
        <v>231862</v>
      </c>
    </row>
    <row r="13" spans="1:10" s="80" customFormat="1">
      <c r="B13" s="63"/>
      <c r="C13" s="81" t="s">
        <v>24</v>
      </c>
      <c r="D13" s="64"/>
      <c r="E13" s="162">
        <f>'Phase I'!$BD$14</f>
        <v>535401.69412999984</v>
      </c>
      <c r="F13" s="162">
        <f>'Phase I'!$BF$14</f>
        <v>0</v>
      </c>
      <c r="G13" s="162">
        <f>'Phase I'!$BH$14</f>
        <v>0</v>
      </c>
      <c r="H13" s="162">
        <f>'Phase I'!$AY$14</f>
        <v>67884</v>
      </c>
      <c r="I13" s="63"/>
      <c r="J13" s="163">
        <f>'Phase I'!$BM$14</f>
        <v>603285.69412999984</v>
      </c>
    </row>
    <row r="14" spans="1:10" s="80" customFormat="1">
      <c r="B14" s="63"/>
      <c r="C14" s="70" t="s">
        <v>22</v>
      </c>
      <c r="D14" s="64"/>
      <c r="E14" s="160">
        <f>'Phase I'!$BD$20</f>
        <v>328539.69412999984</v>
      </c>
      <c r="F14" s="160">
        <f>'Phase I'!$BF$20</f>
        <v>0</v>
      </c>
      <c r="G14" s="160">
        <f>'Phase I'!$BH$20</f>
        <v>0</v>
      </c>
      <c r="H14" s="160">
        <f>'Phase I'!$BJ$20</f>
        <v>67884</v>
      </c>
      <c r="I14" s="63"/>
      <c r="J14" s="161">
        <f>'Phase I'!$BM$20</f>
        <v>396423.69412999984</v>
      </c>
    </row>
    <row r="15" spans="1:10" s="80" customFormat="1" ht="14" thickBot="1">
      <c r="B15" s="63"/>
      <c r="C15" s="81" t="s">
        <v>23</v>
      </c>
      <c r="D15" s="64"/>
      <c r="E15" s="164">
        <f>'Phase I'!$BD$21</f>
        <v>179054.13330084994</v>
      </c>
      <c r="F15" s="164">
        <f>'Phase I'!$BF$21</f>
        <v>0</v>
      </c>
      <c r="G15" s="164">
        <f>'Phase I'!$BH$21</f>
        <v>0</v>
      </c>
      <c r="H15" s="164">
        <f>'Phase I'!$BJ$21</f>
        <v>9265</v>
      </c>
      <c r="I15" s="63"/>
      <c r="J15" s="165">
        <f>'Phase I'!$BM$21</f>
        <v>188319.13330084994</v>
      </c>
    </row>
    <row r="16" spans="1:10" s="61" customFormat="1" ht="17" thickBot="1">
      <c r="B16" s="63"/>
      <c r="C16" s="84" t="s">
        <v>21</v>
      </c>
      <c r="D16" s="64"/>
      <c r="E16" s="166">
        <f>'Phase I'!$BD$22</f>
        <v>714455.82743084978</v>
      </c>
      <c r="F16" s="166">
        <f>'Phase I'!$BF$22</f>
        <v>0</v>
      </c>
      <c r="G16" s="166">
        <f>'Phase I'!$BH$22</f>
        <v>0</v>
      </c>
      <c r="H16" s="166">
        <f>'Phase I'!$BJ$22</f>
        <v>77149</v>
      </c>
      <c r="I16" s="63"/>
      <c r="J16" s="166">
        <f>'Phase I'!$BM$22</f>
        <v>791604.82743084978</v>
      </c>
    </row>
    <row r="17" spans="2:10" s="61" customFormat="1" ht="14" thickBot="1">
      <c r="B17" s="63"/>
      <c r="C17" s="63"/>
      <c r="D17" s="64"/>
      <c r="E17" s="157"/>
      <c r="F17" s="157"/>
      <c r="G17" s="157"/>
      <c r="H17" s="157"/>
      <c r="I17" s="63"/>
      <c r="J17" s="157"/>
    </row>
    <row r="18" spans="2:10" s="61" customFormat="1" ht="17" thickBot="1">
      <c r="B18" s="156" t="s">
        <v>68</v>
      </c>
      <c r="C18" s="63"/>
      <c r="D18" s="64"/>
      <c r="E18" s="157"/>
      <c r="F18" s="157"/>
      <c r="G18" s="157"/>
      <c r="H18" s="157"/>
      <c r="I18" s="63"/>
      <c r="J18" s="157"/>
    </row>
    <row r="19" spans="2:10" s="61" customFormat="1">
      <c r="B19" s="63"/>
      <c r="C19" s="70" t="s">
        <v>20</v>
      </c>
      <c r="D19" s="64"/>
      <c r="E19" s="158">
        <f>'Phase II'!$BD$9</f>
        <v>206656.62283699989</v>
      </c>
      <c r="F19" s="158">
        <f>'Phase II'!$BF$9</f>
        <v>0</v>
      </c>
      <c r="G19" s="158">
        <f>'Phase II'!$BH$9</f>
        <v>0</v>
      </c>
      <c r="H19" s="158">
        <v>0</v>
      </c>
      <c r="I19" s="63"/>
      <c r="J19" s="159">
        <f>'Phase II'!$BM$9</f>
        <v>206656.62283699989</v>
      </c>
    </row>
    <row r="20" spans="2:10" s="61" customFormat="1">
      <c r="B20" s="63"/>
      <c r="C20" s="70" t="s">
        <v>37</v>
      </c>
      <c r="D20" s="64"/>
      <c r="E20" s="160">
        <f>'Phase II'!$BD$10</f>
        <v>38000</v>
      </c>
      <c r="F20" s="160">
        <f>'Phase II'!$BF$10</f>
        <v>0</v>
      </c>
      <c r="G20" s="160">
        <f>'Phase II'!$BH$10</f>
        <v>0</v>
      </c>
      <c r="H20" s="160">
        <v>0</v>
      </c>
      <c r="I20" s="63"/>
      <c r="J20" s="161">
        <f>'Phase II'!$BM$10</f>
        <v>38000</v>
      </c>
    </row>
    <row r="21" spans="2:10" s="61" customFormat="1">
      <c r="B21" s="63"/>
      <c r="C21" s="70" t="s">
        <v>38</v>
      </c>
      <c r="D21" s="64"/>
      <c r="E21" s="160">
        <f>'Phase II'!$BD$11</f>
        <v>0</v>
      </c>
      <c r="F21" s="160">
        <f>'Phase II'!$BF$11</f>
        <v>0</v>
      </c>
      <c r="G21" s="160">
        <f>'Phase II'!$BH$11</f>
        <v>0</v>
      </c>
      <c r="H21" s="160">
        <v>0</v>
      </c>
      <c r="I21" s="63"/>
      <c r="J21" s="161">
        <f>'Phase II'!$BM$11</f>
        <v>0</v>
      </c>
    </row>
    <row r="22" spans="2:10" s="61" customFormat="1">
      <c r="B22" s="63"/>
      <c r="C22" s="199" t="s">
        <v>116</v>
      </c>
      <c r="D22" s="64"/>
      <c r="E22" s="160">
        <f>'Phase II'!$BD$13</f>
        <v>192366</v>
      </c>
      <c r="F22" s="160">
        <f>'Phase II'!$BF$13</f>
        <v>0</v>
      </c>
      <c r="G22" s="160">
        <f>'Phase II'!$BH$13</f>
        <v>0</v>
      </c>
      <c r="H22" s="160">
        <v>0</v>
      </c>
      <c r="I22" s="63"/>
      <c r="J22" s="161">
        <f>'Phase II'!$BM$13</f>
        <v>192366</v>
      </c>
    </row>
    <row r="23" spans="2:10" s="80" customFormat="1">
      <c r="B23" s="63"/>
      <c r="C23" s="81" t="s">
        <v>24</v>
      </c>
      <c r="D23" s="64"/>
      <c r="E23" s="162">
        <f>'Phase II'!$BD$14</f>
        <v>437022.62283699989</v>
      </c>
      <c r="F23" s="162">
        <f>'Phase II'!$BF$14</f>
        <v>0</v>
      </c>
      <c r="G23" s="162">
        <f>'Phase II'!$BH$14</f>
        <v>0</v>
      </c>
      <c r="H23" s="162">
        <f>'Phase II'!$AY$14</f>
        <v>49618</v>
      </c>
      <c r="I23" s="63"/>
      <c r="J23" s="163">
        <f>'Phase II'!$BM$14</f>
        <v>486640.62283699989</v>
      </c>
    </row>
    <row r="24" spans="2:10" s="80" customFormat="1">
      <c r="B24" s="63"/>
      <c r="C24" s="70" t="s">
        <v>22</v>
      </c>
      <c r="D24" s="64"/>
      <c r="E24" s="160">
        <f>'Phase II'!$BD$20</f>
        <v>244656.62283699989</v>
      </c>
      <c r="F24" s="160">
        <f>'Phase II'!$BF$20</f>
        <v>0</v>
      </c>
      <c r="G24" s="160">
        <f>'Phase II'!$BH$20</f>
        <v>0</v>
      </c>
      <c r="H24" s="160">
        <f>'Phase II'!$BJ$20</f>
        <v>49618</v>
      </c>
      <c r="I24" s="63"/>
      <c r="J24" s="161">
        <f>'Phase II'!$BM$20</f>
        <v>294274.62283699989</v>
      </c>
    </row>
    <row r="25" spans="2:10" s="80" customFormat="1" ht="14" thickBot="1">
      <c r="B25" s="63"/>
      <c r="C25" s="81" t="s">
        <v>23</v>
      </c>
      <c r="D25" s="64"/>
      <c r="E25" s="164">
        <f>'Phase II'!$BD$21</f>
        <v>133337.85944616495</v>
      </c>
      <c r="F25" s="164">
        <f>'Phase II'!$BF$21</f>
        <v>0</v>
      </c>
      <c r="G25" s="164">
        <f>'Phase II'!$BH$21</f>
        <v>0</v>
      </c>
      <c r="H25" s="164">
        <f>'Phase II'!$BJ$21</f>
        <v>7630.0000000000009</v>
      </c>
      <c r="I25" s="63"/>
      <c r="J25" s="165">
        <f>'Phase II'!$BM$21</f>
        <v>140967.85944616495</v>
      </c>
    </row>
    <row r="26" spans="2:10" s="61" customFormat="1" ht="17" thickBot="1">
      <c r="B26" s="63"/>
      <c r="C26" s="84" t="s">
        <v>21</v>
      </c>
      <c r="D26" s="64"/>
      <c r="E26" s="166">
        <f>'Phase II'!$BD$22</f>
        <v>570360.48228316486</v>
      </c>
      <c r="F26" s="166">
        <f>'Phase II'!$BF$22</f>
        <v>0</v>
      </c>
      <c r="G26" s="166">
        <f>'Phase II'!$BH$22</f>
        <v>0</v>
      </c>
      <c r="H26" s="166">
        <f>'Phase II'!$BJ$22</f>
        <v>57248</v>
      </c>
      <c r="I26" s="63"/>
      <c r="J26" s="166">
        <f>'Phase II'!$BM$22</f>
        <v>627608.48228316486</v>
      </c>
    </row>
    <row r="27" spans="2:10" s="61" customFormat="1" ht="14" thickBot="1">
      <c r="B27" s="63"/>
      <c r="C27" s="63"/>
      <c r="D27" s="64"/>
      <c r="E27" s="157"/>
      <c r="F27" s="157"/>
      <c r="G27" s="157"/>
      <c r="H27" s="157"/>
      <c r="I27" s="63"/>
      <c r="J27" s="157"/>
    </row>
    <row r="28" spans="2:10" s="61" customFormat="1" ht="17" thickBot="1">
      <c r="B28" s="156" t="s">
        <v>69</v>
      </c>
      <c r="C28" s="63"/>
      <c r="D28" s="64"/>
      <c r="E28" s="157"/>
      <c r="F28" s="157"/>
      <c r="G28" s="157"/>
      <c r="H28" s="157"/>
      <c r="I28" s="63"/>
      <c r="J28" s="157"/>
    </row>
    <row r="29" spans="2:10" s="61" customFormat="1">
      <c r="B29" s="63"/>
      <c r="C29" s="70" t="s">
        <v>20</v>
      </c>
      <c r="D29" s="64"/>
      <c r="E29" s="158">
        <f>'Phase III'!$BD$9</f>
        <v>212856.32152210991</v>
      </c>
      <c r="F29" s="158">
        <f>'Phase III'!$BF$9</f>
        <v>0</v>
      </c>
      <c r="G29" s="158">
        <f>'Phase III'!$BH$9</f>
        <v>0</v>
      </c>
      <c r="H29" s="158">
        <v>0</v>
      </c>
      <c r="I29" s="63"/>
      <c r="J29" s="159">
        <f>'Phase III'!$BM$9</f>
        <v>212856.32152210991</v>
      </c>
    </row>
    <row r="30" spans="2:10" s="61" customFormat="1">
      <c r="B30" s="63"/>
      <c r="C30" s="70" t="s">
        <v>37</v>
      </c>
      <c r="D30" s="64"/>
      <c r="E30" s="160">
        <f>'Phase III'!$BD$10</f>
        <v>38000</v>
      </c>
      <c r="F30" s="160">
        <f>'Phase III'!$BF$10</f>
        <v>0</v>
      </c>
      <c r="G30" s="160">
        <f>'Phase III'!$BH$10</f>
        <v>0</v>
      </c>
      <c r="H30" s="160">
        <v>0</v>
      </c>
      <c r="I30" s="63"/>
      <c r="J30" s="161">
        <f>'Phase III'!$BM$10</f>
        <v>38000</v>
      </c>
    </row>
    <row r="31" spans="2:10" s="61" customFormat="1">
      <c r="B31" s="63"/>
      <c r="C31" s="70" t="s">
        <v>38</v>
      </c>
      <c r="D31" s="64"/>
      <c r="E31" s="160">
        <f>'Phase III'!$BD$11</f>
        <v>0</v>
      </c>
      <c r="F31" s="160">
        <f>'Phase III'!$BF$11</f>
        <v>0</v>
      </c>
      <c r="G31" s="160">
        <f>'Phase III'!$BH$11</f>
        <v>0</v>
      </c>
      <c r="H31" s="160">
        <v>0</v>
      </c>
      <c r="I31" s="63"/>
      <c r="J31" s="161">
        <f>'Phase III'!$BM$11</f>
        <v>0</v>
      </c>
    </row>
    <row r="32" spans="2:10" s="61" customFormat="1">
      <c r="B32" s="63"/>
      <c r="C32" s="199" t="s">
        <v>116</v>
      </c>
      <c r="D32" s="64"/>
      <c r="E32" s="160">
        <f>'Phase III'!$BD$13</f>
        <v>199098</v>
      </c>
      <c r="F32" s="160">
        <f>'Phase III'!$BF$13</f>
        <v>0</v>
      </c>
      <c r="G32" s="160">
        <f>'Phase III'!$BH$13</f>
        <v>0</v>
      </c>
      <c r="H32" s="160">
        <v>0</v>
      </c>
      <c r="I32" s="63"/>
      <c r="J32" s="161">
        <f>'Phase III'!$BM$13</f>
        <v>199098</v>
      </c>
    </row>
    <row r="33" spans="2:10" s="80" customFormat="1">
      <c r="B33" s="63"/>
      <c r="C33" s="81" t="s">
        <v>24</v>
      </c>
      <c r="D33" s="64"/>
      <c r="E33" s="162">
        <f>'Phase III'!$BD$14</f>
        <v>449954.32152210991</v>
      </c>
      <c r="F33" s="162">
        <f>'Phase III'!$BF$14</f>
        <v>0</v>
      </c>
      <c r="G33" s="162">
        <f>'Phase III'!$BH$14</f>
        <v>0</v>
      </c>
      <c r="H33" s="162">
        <f>'Phase III'!$AY$14</f>
        <v>51399</v>
      </c>
      <c r="I33" s="63"/>
      <c r="J33" s="163">
        <f>'Phase III'!$BM$14</f>
        <v>501353.32152210991</v>
      </c>
    </row>
    <row r="34" spans="2:10" s="80" customFormat="1">
      <c r="B34" s="63"/>
      <c r="C34" s="70" t="s">
        <v>22</v>
      </c>
      <c r="D34" s="64"/>
      <c r="E34" s="160">
        <f>'Phase III'!$BD$20</f>
        <v>250856.32152210991</v>
      </c>
      <c r="F34" s="160">
        <f>'Phase III'!$BF$20</f>
        <v>0</v>
      </c>
      <c r="G34" s="160">
        <f>'Phase III'!$BH$20</f>
        <v>0</v>
      </c>
      <c r="H34" s="160">
        <f>'Phase III'!$BJ$20</f>
        <v>51399</v>
      </c>
      <c r="I34" s="63"/>
      <c r="J34" s="161">
        <f>'Phase III'!$BM$20</f>
        <v>302255.32152210991</v>
      </c>
    </row>
    <row r="35" spans="2:10" s="80" customFormat="1" ht="14" thickBot="1">
      <c r="B35" s="63"/>
      <c r="C35" s="81" t="s">
        <v>23</v>
      </c>
      <c r="D35" s="64"/>
      <c r="E35" s="164">
        <f>'Phase III'!$BD$21</f>
        <v>136716.69522954992</v>
      </c>
      <c r="F35" s="164">
        <f>'Phase III'!$BF$21</f>
        <v>0</v>
      </c>
      <c r="G35" s="164">
        <f>'Phase III'!$BH$21</f>
        <v>0</v>
      </c>
      <c r="H35" s="164">
        <f>'Phase III'!$BJ$21</f>
        <v>7630.0000000000009</v>
      </c>
      <c r="I35" s="63"/>
      <c r="J35" s="165">
        <f>'Phase III'!$BM$21</f>
        <v>144346.69522954992</v>
      </c>
    </row>
    <row r="36" spans="2:10" s="61" customFormat="1" ht="17" thickBot="1">
      <c r="B36" s="63"/>
      <c r="C36" s="84" t="s">
        <v>21</v>
      </c>
      <c r="D36" s="64"/>
      <c r="E36" s="166">
        <f>'Phase III'!$BD$22</f>
        <v>586671.0167516598</v>
      </c>
      <c r="F36" s="166">
        <f>'Phase III'!$BF$22</f>
        <v>0</v>
      </c>
      <c r="G36" s="166">
        <f>'Phase III'!$BH$22</f>
        <v>0</v>
      </c>
      <c r="H36" s="166">
        <f>'Phase III'!$BJ$22</f>
        <v>59029</v>
      </c>
      <c r="I36" s="63"/>
      <c r="J36" s="166">
        <f>'Phase III'!$BM$22</f>
        <v>645700.0167516598</v>
      </c>
    </row>
    <row r="37" spans="2:10" s="61" customFormat="1" ht="14" thickBot="1">
      <c r="B37" s="63"/>
      <c r="C37" s="63"/>
      <c r="D37" s="64"/>
      <c r="E37" s="157"/>
      <c r="F37" s="157"/>
      <c r="G37" s="157"/>
      <c r="H37" s="157"/>
      <c r="I37" s="63"/>
      <c r="J37" s="157"/>
    </row>
    <row r="38" spans="2:10" ht="17" thickBot="1">
      <c r="B38" s="156" t="s">
        <v>101</v>
      </c>
      <c r="E38" s="167"/>
      <c r="F38" s="167"/>
      <c r="G38" s="167"/>
      <c r="H38" s="167"/>
      <c r="I38" s="144"/>
      <c r="J38" s="167"/>
    </row>
    <row r="39" spans="2:10" ht="17" thickBot="1">
      <c r="C39" s="84" t="s">
        <v>21</v>
      </c>
      <c r="D39" s="64"/>
      <c r="E39" s="86">
        <f>E16+E26+E36</f>
        <v>1871487.3264656744</v>
      </c>
      <c r="F39" s="86">
        <f>F16+F26+F36</f>
        <v>0</v>
      </c>
      <c r="G39" s="86">
        <f>G16+G26+G36</f>
        <v>0</v>
      </c>
      <c r="H39" s="86">
        <f>H16+H26+H36</f>
        <v>193426</v>
      </c>
      <c r="I39" s="63"/>
      <c r="J39" s="86">
        <f>J16+J26+J36</f>
        <v>2064913.3264656744</v>
      </c>
    </row>
    <row r="43" spans="2:10">
      <c r="E43" s="239"/>
    </row>
    <row r="44" spans="2:10">
      <c r="E44" s="239"/>
    </row>
    <row r="45" spans="2:10">
      <c r="E45" s="239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7" sqref="D17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170</v>
      </c>
      <c r="F3" s="6" t="s">
        <v>2</v>
      </c>
      <c r="H3" s="363" t="s">
        <v>44</v>
      </c>
      <c r="I3" s="363" t="s">
        <v>32</v>
      </c>
      <c r="J3" s="364" t="s">
        <v>45</v>
      </c>
      <c r="K3" s="365" t="s">
        <v>32</v>
      </c>
      <c r="L3" s="366" t="s">
        <v>49</v>
      </c>
      <c r="M3" s="366" t="s">
        <v>32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170</v>
      </c>
      <c r="U3" s="352" t="s">
        <v>34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6</v>
      </c>
      <c r="I6" s="9" t="s">
        <v>33</v>
      </c>
      <c r="J6" s="254" t="s">
        <v>6</v>
      </c>
      <c r="K6" s="255" t="s">
        <v>33</v>
      </c>
      <c r="L6" s="1" t="s">
        <v>6</v>
      </c>
      <c r="M6" s="2" t="s">
        <v>33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6</v>
      </c>
      <c r="U6" s="3" t="s">
        <v>35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13</v>
      </c>
      <c r="BE6" s="379" t="s">
        <v>166</v>
      </c>
      <c r="BF6" s="51" t="s">
        <v>13</v>
      </c>
      <c r="BG6" s="379" t="s">
        <v>166</v>
      </c>
      <c r="BH6" s="51" t="s">
        <v>13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14</v>
      </c>
      <c r="BE7" s="380"/>
      <c r="BF7" s="60" t="s">
        <v>14</v>
      </c>
      <c r="BG7" s="380"/>
      <c r="BH7" s="60" t="s">
        <v>14</v>
      </c>
      <c r="BI7" s="380"/>
      <c r="BJ7" s="60" t="s">
        <v>7</v>
      </c>
      <c r="BL7" s="246" t="s">
        <v>147</v>
      </c>
      <c r="BM7" s="60" t="s">
        <v>14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3511.1459999999997</v>
      </c>
      <c r="I9" s="72">
        <f>I32+I42</f>
        <v>109554.04407799988</v>
      </c>
      <c r="J9" s="71">
        <f>J32</f>
        <v>3183.5474999999997</v>
      </c>
      <c r="K9" s="72">
        <f>K32+K42</f>
        <v>113604.69593249995</v>
      </c>
      <c r="L9" s="71">
        <f>L32</f>
        <v>0</v>
      </c>
      <c r="M9" s="72">
        <f>M32+M42</f>
        <v>0</v>
      </c>
      <c r="N9" s="71">
        <f>N32</f>
        <v>1181.4165</v>
      </c>
      <c r="O9" s="72">
        <f>O32+O42</f>
        <v>39380.954119499969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7876.11</v>
      </c>
      <c r="U9" s="275">
        <f>U32+U42</f>
        <v>262539.69412999984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7876.11</v>
      </c>
      <c r="BD9" s="75">
        <f>BD32+BD42</f>
        <v>262539.69412999984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7876.11</v>
      </c>
      <c r="BM9" s="79">
        <f>BM32+BM42</f>
        <v>262539.69412999984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12750</v>
      </c>
      <c r="J10" s="71"/>
      <c r="K10" s="72">
        <f>K56</f>
        <v>22100</v>
      </c>
      <c r="L10" s="71"/>
      <c r="M10" s="72">
        <f>M56</f>
        <v>0</v>
      </c>
      <c r="N10" s="71"/>
      <c r="O10" s="72">
        <f>O56</f>
        <v>6150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41000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41000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41000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197082.69999999998</v>
      </c>
      <c r="N13" s="71"/>
      <c r="O13" s="72">
        <f>O71</f>
        <v>34779.299999999996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231862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231862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231862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122304.04407799988</v>
      </c>
      <c r="J14" s="71"/>
      <c r="K14" s="72">
        <f>SUM(K9:K13)</f>
        <v>135704.69593249995</v>
      </c>
      <c r="L14" s="71"/>
      <c r="M14" s="72">
        <f>SUM(M9:M13)</f>
        <v>197082.69999999998</v>
      </c>
      <c r="N14" s="71"/>
      <c r="O14" s="72">
        <f>SUM(O9:O13)</f>
        <v>80310.254119499965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535401.69412999984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Travel!P9</f>
        <v>15000</v>
      </c>
      <c r="AX14" s="214">
        <f>'Program-Admin Costs (ODCs)'!B9</f>
        <v>52884</v>
      </c>
      <c r="AY14" s="74">
        <f>SUM(AW14:AX14)</f>
        <v>67884</v>
      </c>
      <c r="BA14" s="59"/>
      <c r="BC14" s="68"/>
      <c r="BD14" s="75">
        <f>SUM(BD9:BD13)</f>
        <v>535401.69412999984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67884</v>
      </c>
      <c r="BL14" s="78"/>
      <c r="BM14" s="79">
        <f>SUM(BM9:BM13,BJ14)</f>
        <v>603285.69412999984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M13-25000</f>
        <v>172082.69999999998</v>
      </c>
      <c r="N18" s="244"/>
      <c r="O18" s="260">
        <f>O13</f>
        <v>34779.299999999996</v>
      </c>
      <c r="P18" s="244"/>
      <c r="Q18" s="260"/>
      <c r="R18" s="244"/>
      <c r="S18" s="260"/>
      <c r="T18" s="73"/>
      <c r="U18" s="275">
        <f>(SUM(I18,K18,M18,O18,Q18,S18))</f>
        <v>206861.99999999997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206861.99999999997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206861.99999999997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172082.69999999998</v>
      </c>
      <c r="N19" s="244"/>
      <c r="O19" s="244">
        <f>SUM(O16:O18)</f>
        <v>34779.299999999996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206861.99999999997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206861.99999999997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206861.99999999997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122304.04407799988</v>
      </c>
      <c r="J20" s="72"/>
      <c r="K20" s="72">
        <f t="shared" ref="K20:S20" si="1">K14-K19</f>
        <v>135704.69593249995</v>
      </c>
      <c r="L20" s="72"/>
      <c r="M20" s="72">
        <f t="shared" si="1"/>
        <v>25000</v>
      </c>
      <c r="N20" s="72"/>
      <c r="O20" s="72">
        <f t="shared" si="1"/>
        <v>45530.954119499969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328539.69412999984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15000</v>
      </c>
      <c r="AX20" s="74">
        <f>AX14-AX11</f>
        <v>52884</v>
      </c>
      <c r="AY20" s="74">
        <f>AY14-AY11</f>
        <v>67884</v>
      </c>
      <c r="BA20" s="59"/>
      <c r="BC20" s="68"/>
      <c r="BD20" s="75">
        <f>BD14-BD19</f>
        <v>328539.69412999984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67884</v>
      </c>
      <c r="BL20" s="78"/>
      <c r="BM20" s="79">
        <f>SUM(BD20,BF20,BH20,BJ20)</f>
        <v>396423.69412999984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66655.704022509934</v>
      </c>
      <c r="J21" s="72"/>
      <c r="K21" s="72">
        <f t="shared" ref="K21:S21" si="14">K20*$E$21</f>
        <v>73959.059283212482</v>
      </c>
      <c r="L21" s="72"/>
      <c r="M21" s="72">
        <f t="shared" si="14"/>
        <v>13625.000000000002</v>
      </c>
      <c r="N21" s="72"/>
      <c r="O21" s="72">
        <f t="shared" si="14"/>
        <v>24814.369995127487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179054.13330084994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8175.0000000000009</v>
      </c>
      <c r="AX21" s="74">
        <f>AX13*E21</f>
        <v>1090</v>
      </c>
      <c r="AY21" s="74">
        <f>AW21+AX21</f>
        <v>9265</v>
      </c>
      <c r="BA21" s="59"/>
      <c r="BC21" s="68"/>
      <c r="BD21" s="75">
        <f t="shared" ref="BD21" si="26">BD20*$E$21</f>
        <v>179054.13330084994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9265</v>
      </c>
      <c r="BL21" s="78"/>
      <c r="BM21" s="79">
        <f>SUM(BD21,BF21,BH21,BJ21)</f>
        <v>188319.13330084994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188959.74810050981</v>
      </c>
      <c r="J22" s="71"/>
      <c r="K22" s="86">
        <f>K21+K14</f>
        <v>209663.75521571242</v>
      </c>
      <c r="L22" s="71"/>
      <c r="M22" s="86">
        <f>M21+M14</f>
        <v>210707.69999999998</v>
      </c>
      <c r="N22" s="71"/>
      <c r="O22" s="86">
        <f>O21+O14</f>
        <v>105124.62411462746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714455.82743084978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23175</v>
      </c>
      <c r="AX22" s="87">
        <f t="shared" si="29"/>
        <v>53974</v>
      </c>
      <c r="AY22" s="87">
        <f>AW22+AX22</f>
        <v>77149</v>
      </c>
      <c r="BA22" s="59"/>
      <c r="BC22" s="68"/>
      <c r="BD22" s="88">
        <f>BD21+BD14</f>
        <v>714455.82743084978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77149</v>
      </c>
      <c r="BL22" s="78"/>
      <c r="BM22" s="91">
        <f>BM21+BM14</f>
        <v>791604.82743084978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420"/>
      <c r="E25" s="93">
        <v>87.419540229885001</v>
      </c>
      <c r="F25" s="93" t="s">
        <v>194</v>
      </c>
      <c r="G25" s="94"/>
      <c r="H25" s="95">
        <v>147.9</v>
      </c>
      <c r="I25" s="72">
        <f>$E25*H25</f>
        <v>12929.349999999993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26.1</v>
      </c>
      <c r="O25" s="72">
        <f>$E25*N25</f>
        <v>2281.6499999999987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174</v>
      </c>
      <c r="U25" s="276">
        <f>$E25*T25</f>
        <v>15210.999999999991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174</v>
      </c>
      <c r="BD25" s="75">
        <f>$E25*BC25</f>
        <v>15210.999999999991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174</v>
      </c>
      <c r="BM25" s="79">
        <f t="shared" ref="BM25:BM31" si="32">$E25*BL25</f>
        <v>15210.999999999991</v>
      </c>
    </row>
    <row r="26" spans="2:65">
      <c r="B26" s="35" t="s">
        <v>195</v>
      </c>
      <c r="C26" s="35" t="s">
        <v>196</v>
      </c>
      <c r="D26" s="420"/>
      <c r="E26" s="93">
        <v>39.0402298850574</v>
      </c>
      <c r="F26" s="93" t="s">
        <v>194</v>
      </c>
      <c r="G26" s="94"/>
      <c r="H26" s="95">
        <v>701.04600000000005</v>
      </c>
      <c r="I26" s="72">
        <f t="shared" ref="I26:I31" si="33">$E26*H26</f>
        <v>27368.996999999952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123.714</v>
      </c>
      <c r="O26" s="72">
        <f t="shared" ref="O26:O31" si="36">$E26*N26</f>
        <v>4829.8229999999912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824.76</v>
      </c>
      <c r="U26" s="276">
        <f t="shared" ref="U26:U31" si="40">$E26*T26</f>
        <v>32198.819999999942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824.76</v>
      </c>
      <c r="BD26" s="75">
        <f t="shared" ref="BD26:BD31" si="42">$E26*BC26</f>
        <v>32198.819999999942</v>
      </c>
      <c r="BE26" s="98">
        <f t="shared" ref="BE26:BE30" si="43">$AI26</f>
        <v>0</v>
      </c>
      <c r="BF26" s="76">
        <f t="shared" si="30"/>
        <v>0</v>
      </c>
      <c r="BG26" s="98">
        <f t="shared" ref="BG26:BG30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824.76</v>
      </c>
      <c r="BM26" s="79">
        <f t="shared" si="32"/>
        <v>32198.819999999942</v>
      </c>
    </row>
    <row r="27" spans="2:65">
      <c r="B27" s="35" t="s">
        <v>197</v>
      </c>
      <c r="C27" s="35" t="s">
        <v>196</v>
      </c>
      <c r="D27" s="420"/>
      <c r="E27" s="93">
        <v>65.270114942528707</v>
      </c>
      <c r="F27" s="93" t="s">
        <v>194</v>
      </c>
      <c r="G27" s="94"/>
      <c r="H27" s="95">
        <v>0</v>
      </c>
      <c r="I27" s="72">
        <f t="shared" si="33"/>
        <v>0</v>
      </c>
      <c r="J27" s="95">
        <v>521.34749999999997</v>
      </c>
      <c r="K27" s="72">
        <f t="shared" si="34"/>
        <v>34028.411249999983</v>
      </c>
      <c r="L27" s="95">
        <v>0</v>
      </c>
      <c r="M27" s="72">
        <f t="shared" si="35"/>
        <v>0</v>
      </c>
      <c r="N27" s="95">
        <v>92.002499999999998</v>
      </c>
      <c r="O27" s="72">
        <f t="shared" si="36"/>
        <v>6005.0137499999973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613.34999999999991</v>
      </c>
      <c r="U27" s="276">
        <f t="shared" si="40"/>
        <v>40033.424999999974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613.34999999999991</v>
      </c>
      <c r="BD27" s="75">
        <f t="shared" si="42"/>
        <v>40033.424999999974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613.34999999999991</v>
      </c>
      <c r="BM27" s="79">
        <f t="shared" si="32"/>
        <v>40033.424999999974</v>
      </c>
    </row>
    <row r="28" spans="2:65">
      <c r="B28" s="35" t="s">
        <v>198</v>
      </c>
      <c r="C28" s="35" t="s">
        <v>199</v>
      </c>
      <c r="D28" s="420"/>
      <c r="E28" s="93">
        <v>23.946360153256698</v>
      </c>
      <c r="F28" s="93" t="s">
        <v>194</v>
      </c>
      <c r="G28" s="94"/>
      <c r="H28" s="95">
        <v>1331.1</v>
      </c>
      <c r="I28" s="72">
        <f t="shared" si="33"/>
        <v>31874.999999999989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234.9</v>
      </c>
      <c r="O28" s="72">
        <f t="shared" si="36"/>
        <v>5624.9999999999982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1566</v>
      </c>
      <c r="U28" s="276">
        <f t="shared" si="40"/>
        <v>37499.999999999993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1566</v>
      </c>
      <c r="BD28" s="75">
        <f t="shared" si="42"/>
        <v>37499.999999999993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1566</v>
      </c>
      <c r="BM28" s="79">
        <f t="shared" si="32"/>
        <v>37499.999999999993</v>
      </c>
    </row>
    <row r="29" spans="2:65">
      <c r="B29" s="35" t="s">
        <v>198</v>
      </c>
      <c r="C29" s="35" t="s">
        <v>200</v>
      </c>
      <c r="D29" s="420"/>
      <c r="E29" s="93">
        <v>23.946360153256698</v>
      </c>
      <c r="F29" s="93" t="s">
        <v>194</v>
      </c>
      <c r="G29" s="94"/>
      <c r="H29" s="95">
        <v>0</v>
      </c>
      <c r="I29" s="72">
        <f t="shared" si="33"/>
        <v>0</v>
      </c>
      <c r="J29" s="95">
        <v>1331.1</v>
      </c>
      <c r="K29" s="72">
        <f t="shared" si="34"/>
        <v>31874.999999999989</v>
      </c>
      <c r="L29" s="95">
        <v>0</v>
      </c>
      <c r="M29" s="72">
        <f t="shared" si="35"/>
        <v>0</v>
      </c>
      <c r="N29" s="95">
        <v>234.9</v>
      </c>
      <c r="O29" s="72">
        <f t="shared" si="36"/>
        <v>5624.9999999999982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1566</v>
      </c>
      <c r="U29" s="276">
        <f t="shared" si="40"/>
        <v>37499.999999999993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1566</v>
      </c>
      <c r="BD29" s="75">
        <f t="shared" si="42"/>
        <v>37499.999999999993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1566</v>
      </c>
      <c r="BM29" s="79">
        <f t="shared" si="32"/>
        <v>37499.999999999993</v>
      </c>
    </row>
    <row r="30" spans="2:65">
      <c r="B30" s="35" t="s">
        <v>198</v>
      </c>
      <c r="C30" s="35" t="s">
        <v>200</v>
      </c>
      <c r="D30" s="420"/>
      <c r="E30" s="93">
        <v>23.946360153256698</v>
      </c>
      <c r="F30" s="93" t="s">
        <v>194</v>
      </c>
      <c r="G30" s="94"/>
      <c r="H30" s="95">
        <v>0</v>
      </c>
      <c r="I30" s="72">
        <f t="shared" si="33"/>
        <v>0</v>
      </c>
      <c r="J30" s="95">
        <v>1331.1</v>
      </c>
      <c r="K30" s="72">
        <f t="shared" si="34"/>
        <v>31874.999999999989</v>
      </c>
      <c r="L30" s="95">
        <v>0</v>
      </c>
      <c r="M30" s="72">
        <f t="shared" si="35"/>
        <v>0</v>
      </c>
      <c r="N30" s="95">
        <v>234.9</v>
      </c>
      <c r="O30" s="72">
        <f t="shared" si="36"/>
        <v>5624.9999999999982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1566</v>
      </c>
      <c r="U30" s="276">
        <f t="shared" si="40"/>
        <v>37499.999999999993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1566</v>
      </c>
      <c r="BD30" s="75">
        <f t="shared" si="42"/>
        <v>37499.999999999993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1566</v>
      </c>
      <c r="BM30" s="79">
        <f t="shared" si="32"/>
        <v>37499.999999999993</v>
      </c>
    </row>
    <row r="31" spans="2:65">
      <c r="B31" s="35" t="s">
        <v>201</v>
      </c>
      <c r="C31" s="35" t="s">
        <v>202</v>
      </c>
      <c r="D31" s="420"/>
      <c r="E31" s="93">
        <v>17.241379310344801</v>
      </c>
      <c r="F31" s="93" t="s">
        <v>194</v>
      </c>
      <c r="G31" s="94"/>
      <c r="H31" s="95">
        <v>1331.1</v>
      </c>
      <c r="I31" s="72">
        <f t="shared" si="33"/>
        <v>22949.999999999964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234.9</v>
      </c>
      <c r="O31" s="72">
        <f t="shared" si="36"/>
        <v>4049.9999999999936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1566</v>
      </c>
      <c r="U31" s="276">
        <f t="shared" si="40"/>
        <v>26999.999999999956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1566</v>
      </c>
      <c r="BD31" s="75">
        <f t="shared" si="42"/>
        <v>26999.999999999956</v>
      </c>
      <c r="BE31" s="98">
        <f t="shared" ref="BE31" si="57">$AI31</f>
        <v>0</v>
      </c>
      <c r="BF31" s="76">
        <f t="shared" si="30"/>
        <v>0</v>
      </c>
      <c r="BG31" s="98">
        <f t="shared" ref="BG31" si="58">$AT31</f>
        <v>0</v>
      </c>
      <c r="BH31" s="77">
        <f t="shared" si="31"/>
        <v>0</v>
      </c>
      <c r="BI31" s="216"/>
      <c r="BJ31" s="205"/>
      <c r="BK31" s="61"/>
      <c r="BL31" s="78">
        <f t="shared" si="45"/>
        <v>1566</v>
      </c>
      <c r="BM31" s="79">
        <f t="shared" si="32"/>
        <v>26999.999999999956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9">SUM(H25:H31)</f>
        <v>3511.1459999999997</v>
      </c>
      <c r="I32" s="102">
        <f t="shared" si="59"/>
        <v>95123.346999999892</v>
      </c>
      <c r="J32" s="101">
        <f t="shared" si="59"/>
        <v>3183.5474999999997</v>
      </c>
      <c r="K32" s="102">
        <f t="shared" si="59"/>
        <v>97778.411249999961</v>
      </c>
      <c r="L32" s="101">
        <f t="shared" si="59"/>
        <v>0</v>
      </c>
      <c r="M32" s="102">
        <f t="shared" si="59"/>
        <v>0</v>
      </c>
      <c r="N32" s="101">
        <f t="shared" si="59"/>
        <v>1181.4165</v>
      </c>
      <c r="O32" s="102">
        <f t="shared" si="59"/>
        <v>34041.486749999975</v>
      </c>
      <c r="P32" s="101">
        <f t="shared" si="59"/>
        <v>0</v>
      </c>
      <c r="Q32" s="102">
        <f t="shared" si="59"/>
        <v>0</v>
      </c>
      <c r="R32" s="101">
        <f t="shared" si="59"/>
        <v>0</v>
      </c>
      <c r="S32" s="102">
        <f t="shared" si="59"/>
        <v>0</v>
      </c>
      <c r="T32" s="101">
        <f>H32+J32+L32+N32+P32+R32</f>
        <v>7876.11</v>
      </c>
      <c r="U32" s="278">
        <f>SUM(U25:U31)</f>
        <v>226943.24499999988</v>
      </c>
      <c r="V32" s="99"/>
      <c r="W32" s="101">
        <f t="shared" ref="W32:AH32" si="60">SUM(W25:W31)</f>
        <v>0</v>
      </c>
      <c r="X32" s="102">
        <f t="shared" si="60"/>
        <v>0</v>
      </c>
      <c r="Y32" s="101">
        <f t="shared" si="60"/>
        <v>0</v>
      </c>
      <c r="Z32" s="102">
        <f t="shared" si="60"/>
        <v>0</v>
      </c>
      <c r="AA32" s="101">
        <f t="shared" si="60"/>
        <v>0</v>
      </c>
      <c r="AB32" s="102">
        <f t="shared" si="60"/>
        <v>0</v>
      </c>
      <c r="AC32" s="101">
        <f t="shared" si="60"/>
        <v>0</v>
      </c>
      <c r="AD32" s="102">
        <f t="shared" si="60"/>
        <v>0</v>
      </c>
      <c r="AE32" s="101">
        <f t="shared" si="60"/>
        <v>0</v>
      </c>
      <c r="AF32" s="102">
        <f t="shared" si="60"/>
        <v>0</v>
      </c>
      <c r="AG32" s="101">
        <f t="shared" si="60"/>
        <v>0</v>
      </c>
      <c r="AH32" s="102">
        <f t="shared" si="60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61">SUM(AL25:AL31)</f>
        <v>0</v>
      </c>
      <c r="AM32" s="102">
        <f t="shared" si="61"/>
        <v>0</v>
      </c>
      <c r="AN32" s="101">
        <f t="shared" si="61"/>
        <v>0</v>
      </c>
      <c r="AO32" s="102">
        <f t="shared" si="61"/>
        <v>0</v>
      </c>
      <c r="AP32" s="101">
        <f t="shared" si="61"/>
        <v>0</v>
      </c>
      <c r="AQ32" s="102">
        <f t="shared" si="61"/>
        <v>0</v>
      </c>
      <c r="AR32" s="101">
        <f t="shared" si="61"/>
        <v>0</v>
      </c>
      <c r="AS32" s="102">
        <f t="shared" si="61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2">SUM(BC25:BC31)</f>
        <v>7876.11</v>
      </c>
      <c r="BD32" s="105">
        <f t="shared" si="62"/>
        <v>226943.24499999988</v>
      </c>
      <c r="BE32" s="104">
        <f t="shared" si="62"/>
        <v>0</v>
      </c>
      <c r="BF32" s="106">
        <f t="shared" si="62"/>
        <v>0</v>
      </c>
      <c r="BG32" s="104">
        <f t="shared" si="62"/>
        <v>0</v>
      </c>
      <c r="BH32" s="107">
        <f t="shared" si="62"/>
        <v>0</v>
      </c>
      <c r="BI32" s="216"/>
      <c r="BJ32" s="205"/>
      <c r="BK32" s="61"/>
      <c r="BL32" s="108">
        <f>SUM(BL25:BL31)</f>
        <v>7876.11</v>
      </c>
      <c r="BM32" s="109">
        <f>SUM(BM25:BM31)</f>
        <v>226943.24499999988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3542.6418999999983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625.17209999999966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4167.8139999999976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4167.8139999999976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4167.8139999999976</v>
      </c>
    </row>
    <row r="36" spans="2:65">
      <c r="B36" s="35" t="str">
        <f t="shared" ref="B36:C41" si="63">B26</f>
        <v>Dr. Casanova</v>
      </c>
      <c r="C36" s="35" t="str">
        <f t="shared" si="63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4">I26*$E36</f>
        <v>7499.1051779999871</v>
      </c>
      <c r="J36" s="98"/>
      <c r="K36" s="72">
        <f t="shared" ref="K36:K41" si="65">K26*$E36</f>
        <v>0</v>
      </c>
      <c r="L36" s="98"/>
      <c r="M36" s="72">
        <f t="shared" ref="M36:M41" si="66">M26*$E36</f>
        <v>0</v>
      </c>
      <c r="N36" s="39"/>
      <c r="O36" s="72">
        <f t="shared" ref="O36:O41" si="67">O26*$E36</f>
        <v>1323.3715019999977</v>
      </c>
      <c r="P36" s="98"/>
      <c r="Q36" s="72">
        <f t="shared" ref="Q36:Q41" si="68">Q26*$E36</f>
        <v>0</v>
      </c>
      <c r="R36" s="98"/>
      <c r="S36" s="72">
        <f t="shared" ref="S36:S41" si="69">S26*$E36</f>
        <v>0</v>
      </c>
      <c r="T36" s="98"/>
      <c r="U36" s="276">
        <f t="shared" ref="U36:U41" si="70">U26*$E36</f>
        <v>8822.4766799999852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71">BD26*$E36</f>
        <v>8822.4766799999852</v>
      </c>
      <c r="BE36" s="68"/>
      <c r="BF36" s="76">
        <f t="shared" ref="BF36:BF41" si="72">BF26*$E36</f>
        <v>0</v>
      </c>
      <c r="BG36" s="68"/>
      <c r="BH36" s="77">
        <f t="shared" ref="BH36:BH41" si="73">BH26*$E36</f>
        <v>0</v>
      </c>
      <c r="BI36" s="215"/>
      <c r="BJ36" s="205"/>
      <c r="BK36" s="61"/>
      <c r="BL36" s="112"/>
      <c r="BM36" s="79">
        <f t="shared" ref="BM36:BM41" si="74">BM26*$E36</f>
        <v>8822.4766799999852</v>
      </c>
    </row>
    <row r="37" spans="2:65">
      <c r="B37" s="35" t="str">
        <f t="shared" si="63"/>
        <v>Dr. Yoon</v>
      </c>
      <c r="C37" s="35" t="str">
        <f t="shared" si="63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4"/>
        <v>0</v>
      </c>
      <c r="J37" s="98"/>
      <c r="K37" s="72">
        <f t="shared" si="65"/>
        <v>9323.7846824999961</v>
      </c>
      <c r="L37" s="98"/>
      <c r="M37" s="72">
        <f t="shared" si="66"/>
        <v>0</v>
      </c>
      <c r="N37" s="39"/>
      <c r="O37" s="72">
        <f t="shared" si="67"/>
        <v>1645.3737674999993</v>
      </c>
      <c r="P37" s="98"/>
      <c r="Q37" s="72">
        <f t="shared" si="68"/>
        <v>0</v>
      </c>
      <c r="R37" s="98"/>
      <c r="S37" s="72">
        <f t="shared" si="69"/>
        <v>0</v>
      </c>
      <c r="T37" s="98"/>
      <c r="U37" s="276">
        <f t="shared" si="70"/>
        <v>10969.158449999994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71"/>
        <v>10969.158449999994</v>
      </c>
      <c r="BE37" s="68"/>
      <c r="BF37" s="76">
        <f t="shared" si="72"/>
        <v>0</v>
      </c>
      <c r="BG37" s="68"/>
      <c r="BH37" s="77">
        <f t="shared" si="73"/>
        <v>0</v>
      </c>
      <c r="BI37" s="215"/>
      <c r="BJ37" s="205"/>
      <c r="BK37" s="61"/>
      <c r="BL37" s="112"/>
      <c r="BM37" s="79">
        <f t="shared" si="74"/>
        <v>10969.158449999994</v>
      </c>
    </row>
    <row r="38" spans="2:65">
      <c r="B38" s="35" t="str">
        <f t="shared" si="63"/>
        <v>Graduate Student</v>
      </c>
      <c r="C38" s="35" t="str">
        <f t="shared" si="63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4"/>
        <v>3251.2499999999986</v>
      </c>
      <c r="J38" s="98"/>
      <c r="K38" s="72">
        <f t="shared" si="65"/>
        <v>0</v>
      </c>
      <c r="L38" s="98"/>
      <c r="M38" s="72">
        <f t="shared" si="66"/>
        <v>0</v>
      </c>
      <c r="N38" s="39"/>
      <c r="O38" s="72">
        <f t="shared" si="67"/>
        <v>573.74999999999977</v>
      </c>
      <c r="P38" s="98"/>
      <c r="Q38" s="72">
        <f t="shared" si="68"/>
        <v>0</v>
      </c>
      <c r="R38" s="98"/>
      <c r="S38" s="72">
        <f t="shared" si="69"/>
        <v>0</v>
      </c>
      <c r="T38" s="98"/>
      <c r="U38" s="276">
        <f t="shared" si="70"/>
        <v>3824.9999999999991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71"/>
        <v>3824.9999999999991</v>
      </c>
      <c r="BE38" s="68"/>
      <c r="BF38" s="76">
        <f t="shared" si="72"/>
        <v>0</v>
      </c>
      <c r="BG38" s="68"/>
      <c r="BH38" s="77">
        <f t="shared" si="73"/>
        <v>0</v>
      </c>
      <c r="BI38" s="215"/>
      <c r="BJ38" s="205"/>
      <c r="BK38" s="61"/>
      <c r="BL38" s="112"/>
      <c r="BM38" s="79">
        <f t="shared" si="74"/>
        <v>3824.9999999999991</v>
      </c>
    </row>
    <row r="39" spans="2:65">
      <c r="B39" s="35" t="str">
        <f t="shared" si="63"/>
        <v>Graduate Student</v>
      </c>
      <c r="C39" s="35" t="str">
        <f t="shared" si="63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4"/>
        <v>0</v>
      </c>
      <c r="J39" s="98"/>
      <c r="K39" s="72">
        <f t="shared" si="65"/>
        <v>3251.2499999999986</v>
      </c>
      <c r="L39" s="98"/>
      <c r="M39" s="72">
        <f t="shared" si="66"/>
        <v>0</v>
      </c>
      <c r="N39" s="39"/>
      <c r="O39" s="72">
        <f t="shared" si="67"/>
        <v>573.74999999999977</v>
      </c>
      <c r="P39" s="98"/>
      <c r="Q39" s="72">
        <f t="shared" si="68"/>
        <v>0</v>
      </c>
      <c r="R39" s="98"/>
      <c r="S39" s="72">
        <f t="shared" si="69"/>
        <v>0</v>
      </c>
      <c r="T39" s="98"/>
      <c r="U39" s="276">
        <f t="shared" si="70"/>
        <v>3824.9999999999991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71"/>
        <v>3824.9999999999991</v>
      </c>
      <c r="BE39" s="68"/>
      <c r="BF39" s="76">
        <f t="shared" si="72"/>
        <v>0</v>
      </c>
      <c r="BG39" s="68"/>
      <c r="BH39" s="77">
        <f t="shared" si="73"/>
        <v>0</v>
      </c>
      <c r="BI39" s="215"/>
      <c r="BJ39" s="205"/>
      <c r="BK39" s="61"/>
      <c r="BL39" s="112"/>
      <c r="BM39" s="79">
        <f t="shared" si="74"/>
        <v>3824.9999999999991</v>
      </c>
    </row>
    <row r="40" spans="2:65">
      <c r="B40" s="35" t="str">
        <f t="shared" si="63"/>
        <v>Graduate Student</v>
      </c>
      <c r="C40" s="35" t="str">
        <f t="shared" si="63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4"/>
        <v>0</v>
      </c>
      <c r="J40" s="98"/>
      <c r="K40" s="72">
        <f t="shared" si="65"/>
        <v>3251.2499999999986</v>
      </c>
      <c r="L40" s="98"/>
      <c r="M40" s="72">
        <f t="shared" si="66"/>
        <v>0</v>
      </c>
      <c r="N40" s="39"/>
      <c r="O40" s="72">
        <f t="shared" si="67"/>
        <v>573.74999999999977</v>
      </c>
      <c r="P40" s="98"/>
      <c r="Q40" s="72">
        <f t="shared" si="68"/>
        <v>0</v>
      </c>
      <c r="R40" s="98"/>
      <c r="S40" s="72">
        <f t="shared" si="69"/>
        <v>0</v>
      </c>
      <c r="T40" s="98"/>
      <c r="U40" s="276">
        <f t="shared" si="70"/>
        <v>3824.9999999999991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71"/>
        <v>3824.9999999999991</v>
      </c>
      <c r="BE40" s="68"/>
      <c r="BF40" s="76">
        <f t="shared" si="72"/>
        <v>0</v>
      </c>
      <c r="BG40" s="68"/>
      <c r="BH40" s="77">
        <f t="shared" si="73"/>
        <v>0</v>
      </c>
      <c r="BI40" s="215"/>
      <c r="BJ40" s="205"/>
      <c r="BK40" s="61"/>
      <c r="BL40" s="112"/>
      <c r="BM40" s="79">
        <f t="shared" si="74"/>
        <v>3824.9999999999991</v>
      </c>
    </row>
    <row r="41" spans="2:65">
      <c r="B41" s="35" t="str">
        <f t="shared" si="63"/>
        <v>Undergraduate Student</v>
      </c>
      <c r="C41" s="35" t="str">
        <f t="shared" si="63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4"/>
        <v>137.69999999999979</v>
      </c>
      <c r="J41" s="98"/>
      <c r="K41" s="72">
        <f t="shared" si="65"/>
        <v>0</v>
      </c>
      <c r="L41" s="98"/>
      <c r="M41" s="72">
        <f t="shared" si="66"/>
        <v>0</v>
      </c>
      <c r="N41" s="39"/>
      <c r="O41" s="72">
        <f t="shared" si="67"/>
        <v>24.299999999999962</v>
      </c>
      <c r="P41" s="98"/>
      <c r="Q41" s="72">
        <f t="shared" si="68"/>
        <v>0</v>
      </c>
      <c r="R41" s="98"/>
      <c r="S41" s="72">
        <f t="shared" si="69"/>
        <v>0</v>
      </c>
      <c r="T41" s="98"/>
      <c r="U41" s="276">
        <f t="shared" si="70"/>
        <v>161.99999999999974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71"/>
        <v>161.99999999999974</v>
      </c>
      <c r="BE41" s="68"/>
      <c r="BF41" s="76">
        <f t="shared" si="72"/>
        <v>0</v>
      </c>
      <c r="BG41" s="68"/>
      <c r="BH41" s="77">
        <f t="shared" si="73"/>
        <v>0</v>
      </c>
      <c r="BI41" s="215"/>
      <c r="BJ41" s="205"/>
      <c r="BK41" s="61"/>
      <c r="BL41" s="78"/>
      <c r="BM41" s="79">
        <f t="shared" si="74"/>
        <v>161.99999999999974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14430.697077999983</v>
      </c>
      <c r="J42" s="114"/>
      <c r="K42" s="102">
        <f>SUM(K35:K41)</f>
        <v>15826.284682499992</v>
      </c>
      <c r="L42" s="114"/>
      <c r="M42" s="102">
        <f>SUM(M35:M41)</f>
        <v>0</v>
      </c>
      <c r="N42" s="99"/>
      <c r="O42" s="102">
        <f>SUM(O35:O41)</f>
        <v>5339.4673694999965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35596.449129999979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35596.449129999979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35596.449129999979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181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0.85</v>
      </c>
      <c r="K45" s="72">
        <f>$E45*J45</f>
        <v>5100</v>
      </c>
      <c r="L45" s="115">
        <v>0</v>
      </c>
      <c r="M45" s="72">
        <f>$E45*L45</f>
        <v>0</v>
      </c>
      <c r="N45" s="115">
        <v>0.15</v>
      </c>
      <c r="O45" s="72">
        <f>$E45*N45</f>
        <v>900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5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6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7">$E45*AT45</f>
        <v>0</v>
      </c>
      <c r="BA45" s="97"/>
      <c r="BC45" s="98">
        <f>$T45</f>
        <v>1</v>
      </c>
      <c r="BD45" s="75">
        <f t="shared" ref="BD45:BD55" si="78">$E45*BC45</f>
        <v>6000</v>
      </c>
      <c r="BE45" s="98">
        <f>$AI45</f>
        <v>0</v>
      </c>
      <c r="BF45" s="76">
        <f t="shared" ref="BF45:BF55" si="79">$E45*BE45</f>
        <v>0</v>
      </c>
      <c r="BG45" s="98">
        <f>$AT45</f>
        <v>0</v>
      </c>
      <c r="BH45" s="77">
        <f t="shared" ref="BH45:BH55" si="80">$E45*BG45</f>
        <v>0</v>
      </c>
      <c r="BI45" s="216"/>
      <c r="BJ45" s="205"/>
      <c r="BK45" s="61"/>
      <c r="BL45" s="78">
        <f>BC45+BE45+BG45</f>
        <v>1</v>
      </c>
      <c r="BM45" s="79">
        <f t="shared" ref="BM45:BM55" si="81">$E45*BL45</f>
        <v>6000</v>
      </c>
    </row>
    <row r="46" spans="2:65">
      <c r="B46" s="35" t="s">
        <v>205</v>
      </c>
      <c r="C46" s="35" t="s">
        <v>181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4" si="82">$E46*H46</f>
        <v>0</v>
      </c>
      <c r="J46" s="115">
        <v>0.85</v>
      </c>
      <c r="K46" s="72">
        <f t="shared" ref="K46:K55" si="83">$E46*J46</f>
        <v>17000</v>
      </c>
      <c r="L46" s="115">
        <v>0</v>
      </c>
      <c r="M46" s="72">
        <f t="shared" ref="M46:M55" si="84">$E46*L46</f>
        <v>0</v>
      </c>
      <c r="N46" s="115">
        <v>0.15</v>
      </c>
      <c r="O46" s="72">
        <f t="shared" ref="O46:O55" si="85">$E46*N46</f>
        <v>3000</v>
      </c>
      <c r="P46" s="115"/>
      <c r="Q46" s="72"/>
      <c r="R46" s="115"/>
      <c r="S46" s="72"/>
      <c r="T46" s="98">
        <f t="shared" ref="T46:T55" si="86">H46+J46+L46+N46+P46+R46</f>
        <v>1</v>
      </c>
      <c r="U46" s="276">
        <f t="shared" si="75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7">$T46</f>
        <v>1</v>
      </c>
      <c r="BD46" s="75">
        <f t="shared" si="78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8">BC46+BE46+BG46</f>
        <v>1</v>
      </c>
      <c r="BM46" s="79">
        <f t="shared" si="81"/>
        <v>20000</v>
      </c>
    </row>
    <row r="47" spans="2:65">
      <c r="B47" s="35" t="s">
        <v>206</v>
      </c>
      <c r="C47" s="35" t="s">
        <v>181</v>
      </c>
      <c r="D47" s="224" t="s">
        <v>130</v>
      </c>
      <c r="E47" s="92">
        <v>10000</v>
      </c>
      <c r="F47" s="93"/>
      <c r="G47" s="94"/>
      <c r="H47" s="115">
        <v>0.85</v>
      </c>
      <c r="I47" s="72">
        <f t="shared" si="82"/>
        <v>8500</v>
      </c>
      <c r="J47" s="115">
        <v>0</v>
      </c>
      <c r="K47" s="72">
        <f t="shared" si="83"/>
        <v>0</v>
      </c>
      <c r="L47" s="115">
        <v>0</v>
      </c>
      <c r="M47" s="72">
        <f t="shared" si="84"/>
        <v>0</v>
      </c>
      <c r="N47" s="115">
        <v>0.15</v>
      </c>
      <c r="O47" s="72">
        <f t="shared" si="85"/>
        <v>1500</v>
      </c>
      <c r="P47" s="115"/>
      <c r="Q47" s="72"/>
      <c r="R47" s="115"/>
      <c r="S47" s="72"/>
      <c r="T47" s="98">
        <f t="shared" si="86"/>
        <v>1</v>
      </c>
      <c r="U47" s="276">
        <f t="shared" si="75"/>
        <v>10000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7"/>
        <v>1</v>
      </c>
      <c r="BD47" s="75">
        <f t="shared" si="78"/>
        <v>10000</v>
      </c>
      <c r="BE47" s="98"/>
      <c r="BF47" s="76"/>
      <c r="BG47" s="98"/>
      <c r="BH47" s="77"/>
      <c r="BI47" s="216"/>
      <c r="BJ47" s="205"/>
      <c r="BK47" s="61"/>
      <c r="BL47" s="78">
        <f t="shared" si="88"/>
        <v>1</v>
      </c>
      <c r="BM47" s="79">
        <f t="shared" si="81"/>
        <v>10000</v>
      </c>
    </row>
    <row r="48" spans="2:65">
      <c r="B48" s="35" t="s">
        <v>207</v>
      </c>
      <c r="C48" s="35" t="s">
        <v>181</v>
      </c>
      <c r="D48" s="224" t="s">
        <v>130</v>
      </c>
      <c r="E48" s="92">
        <v>5000</v>
      </c>
      <c r="F48" s="93"/>
      <c r="G48" s="94"/>
      <c r="H48" s="115">
        <v>0.85</v>
      </c>
      <c r="I48" s="72">
        <f t="shared" si="82"/>
        <v>4250</v>
      </c>
      <c r="J48" s="115">
        <v>0</v>
      </c>
      <c r="K48" s="72">
        <f t="shared" si="83"/>
        <v>0</v>
      </c>
      <c r="L48" s="115">
        <v>0</v>
      </c>
      <c r="M48" s="72">
        <f t="shared" si="84"/>
        <v>0</v>
      </c>
      <c r="N48" s="115">
        <v>0.15</v>
      </c>
      <c r="O48" s="72">
        <f t="shared" si="85"/>
        <v>750</v>
      </c>
      <c r="P48" s="115"/>
      <c r="Q48" s="72"/>
      <c r="R48" s="115"/>
      <c r="S48" s="72"/>
      <c r="T48" s="98">
        <f t="shared" si="86"/>
        <v>1</v>
      </c>
      <c r="U48" s="276">
        <f t="shared" si="75"/>
        <v>5000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7"/>
        <v>1</v>
      </c>
      <c r="BD48" s="75">
        <f t="shared" si="78"/>
        <v>5000</v>
      </c>
      <c r="BE48" s="98"/>
      <c r="BF48" s="76"/>
      <c r="BG48" s="98"/>
      <c r="BH48" s="77"/>
      <c r="BI48" s="216"/>
      <c r="BJ48" s="205"/>
      <c r="BK48" s="61"/>
      <c r="BL48" s="78">
        <f t="shared" si="88"/>
        <v>1</v>
      </c>
      <c r="BM48" s="79">
        <f t="shared" si="81"/>
        <v>5000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82"/>
        <v>0</v>
      </c>
      <c r="J49" s="115">
        <v>0</v>
      </c>
      <c r="K49" s="72">
        <f t="shared" si="83"/>
        <v>0</v>
      </c>
      <c r="L49" s="115">
        <v>0</v>
      </c>
      <c r="M49" s="72">
        <f t="shared" si="84"/>
        <v>0</v>
      </c>
      <c r="N49" s="115">
        <v>0</v>
      </c>
      <c r="O49" s="72">
        <f t="shared" si="85"/>
        <v>0</v>
      </c>
      <c r="P49" s="115"/>
      <c r="Q49" s="72"/>
      <c r="R49" s="115"/>
      <c r="S49" s="72"/>
      <c r="T49" s="98">
        <f t="shared" si="86"/>
        <v>0</v>
      </c>
      <c r="U49" s="276">
        <f t="shared" si="75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7"/>
        <v>0</v>
      </c>
      <c r="BD49" s="75">
        <f t="shared" si="78"/>
        <v>0</v>
      </c>
      <c r="BE49" s="98"/>
      <c r="BF49" s="76"/>
      <c r="BG49" s="98"/>
      <c r="BH49" s="77"/>
      <c r="BI49" s="216"/>
      <c r="BJ49" s="205"/>
      <c r="BK49" s="61"/>
      <c r="BL49" s="78">
        <f t="shared" si="88"/>
        <v>0</v>
      </c>
      <c r="BM49" s="79">
        <f t="shared" si="81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82"/>
        <v>0</v>
      </c>
      <c r="J50" s="115">
        <v>0</v>
      </c>
      <c r="K50" s="72">
        <f t="shared" si="83"/>
        <v>0</v>
      </c>
      <c r="L50" s="115">
        <v>0</v>
      </c>
      <c r="M50" s="72">
        <f t="shared" si="84"/>
        <v>0</v>
      </c>
      <c r="N50" s="115">
        <v>0</v>
      </c>
      <c r="O50" s="72">
        <f t="shared" si="85"/>
        <v>0</v>
      </c>
      <c r="P50" s="115"/>
      <c r="Q50" s="72"/>
      <c r="R50" s="115"/>
      <c r="S50" s="72"/>
      <c r="T50" s="98">
        <f t="shared" si="86"/>
        <v>0</v>
      </c>
      <c r="U50" s="276">
        <f t="shared" si="75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7"/>
        <v>0</v>
      </c>
      <c r="BD50" s="75">
        <f t="shared" si="78"/>
        <v>0</v>
      </c>
      <c r="BE50" s="98"/>
      <c r="BF50" s="76"/>
      <c r="BG50" s="98"/>
      <c r="BH50" s="77"/>
      <c r="BI50" s="216"/>
      <c r="BJ50" s="205"/>
      <c r="BK50" s="61"/>
      <c r="BL50" s="78">
        <f t="shared" si="88"/>
        <v>0</v>
      </c>
      <c r="BM50" s="79">
        <f t="shared" si="81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82"/>
        <v>0</v>
      </c>
      <c r="J51" s="115">
        <v>0</v>
      </c>
      <c r="K51" s="72">
        <f t="shared" si="83"/>
        <v>0</v>
      </c>
      <c r="L51" s="115">
        <v>0</v>
      </c>
      <c r="M51" s="72">
        <f t="shared" si="84"/>
        <v>0</v>
      </c>
      <c r="N51" s="115">
        <v>0</v>
      </c>
      <c r="O51" s="72">
        <f t="shared" si="85"/>
        <v>0</v>
      </c>
      <c r="P51" s="115"/>
      <c r="Q51" s="72"/>
      <c r="R51" s="115"/>
      <c r="S51" s="72"/>
      <c r="T51" s="98">
        <f t="shared" si="86"/>
        <v>0</v>
      </c>
      <c r="U51" s="276">
        <f t="shared" si="75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7"/>
        <v>0</v>
      </c>
      <c r="BD51" s="75">
        <f t="shared" si="78"/>
        <v>0</v>
      </c>
      <c r="BE51" s="98"/>
      <c r="BF51" s="76"/>
      <c r="BG51" s="98"/>
      <c r="BH51" s="77"/>
      <c r="BI51" s="216"/>
      <c r="BJ51" s="205"/>
      <c r="BK51" s="61"/>
      <c r="BL51" s="78">
        <f t="shared" si="88"/>
        <v>0</v>
      </c>
      <c r="BM51" s="79">
        <f t="shared" si="81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82"/>
        <v>0</v>
      </c>
      <c r="J52" s="115">
        <v>0</v>
      </c>
      <c r="K52" s="72">
        <f t="shared" si="83"/>
        <v>0</v>
      </c>
      <c r="L52" s="115">
        <v>0</v>
      </c>
      <c r="M52" s="72">
        <f t="shared" si="84"/>
        <v>0</v>
      </c>
      <c r="N52" s="115">
        <v>0</v>
      </c>
      <c r="O52" s="72">
        <f t="shared" si="85"/>
        <v>0</v>
      </c>
      <c r="P52" s="115"/>
      <c r="Q52" s="72"/>
      <c r="R52" s="115"/>
      <c r="S52" s="72"/>
      <c r="T52" s="98">
        <f t="shared" si="86"/>
        <v>0</v>
      </c>
      <c r="U52" s="276">
        <f t="shared" si="75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7"/>
        <v>0</v>
      </c>
      <c r="BD52" s="75">
        <f t="shared" si="78"/>
        <v>0</v>
      </c>
      <c r="BE52" s="98"/>
      <c r="BF52" s="76"/>
      <c r="BG52" s="98"/>
      <c r="BH52" s="77"/>
      <c r="BI52" s="216"/>
      <c r="BJ52" s="205"/>
      <c r="BK52" s="61"/>
      <c r="BL52" s="78">
        <f t="shared" si="88"/>
        <v>0</v>
      </c>
      <c r="BM52" s="79">
        <f t="shared" si="81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82"/>
        <v>0</v>
      </c>
      <c r="J53" s="115">
        <v>0</v>
      </c>
      <c r="K53" s="72">
        <f t="shared" si="83"/>
        <v>0</v>
      </c>
      <c r="L53" s="115">
        <v>0</v>
      </c>
      <c r="M53" s="72">
        <f t="shared" si="84"/>
        <v>0</v>
      </c>
      <c r="N53" s="115">
        <v>0</v>
      </c>
      <c r="O53" s="72">
        <f t="shared" si="85"/>
        <v>0</v>
      </c>
      <c r="P53" s="115"/>
      <c r="Q53" s="72"/>
      <c r="R53" s="115"/>
      <c r="S53" s="72"/>
      <c r="T53" s="98">
        <f t="shared" si="86"/>
        <v>0</v>
      </c>
      <c r="U53" s="276">
        <f t="shared" si="75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7"/>
        <v>0</v>
      </c>
      <c r="BD53" s="75">
        <f t="shared" si="78"/>
        <v>0</v>
      </c>
      <c r="BE53" s="98"/>
      <c r="BF53" s="76"/>
      <c r="BG53" s="98"/>
      <c r="BH53" s="77"/>
      <c r="BI53" s="216"/>
      <c r="BJ53" s="205"/>
      <c r="BK53" s="61"/>
      <c r="BL53" s="78">
        <f t="shared" si="88"/>
        <v>0</v>
      </c>
      <c r="BM53" s="79">
        <f t="shared" si="81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82"/>
        <v>0</v>
      </c>
      <c r="J54" s="115">
        <v>0</v>
      </c>
      <c r="K54" s="72">
        <f t="shared" si="83"/>
        <v>0</v>
      </c>
      <c r="L54" s="115">
        <v>0</v>
      </c>
      <c r="M54" s="72">
        <f t="shared" si="84"/>
        <v>0</v>
      </c>
      <c r="N54" s="115">
        <v>0</v>
      </c>
      <c r="O54" s="72">
        <f t="shared" si="85"/>
        <v>0</v>
      </c>
      <c r="P54" s="115"/>
      <c r="Q54" s="72"/>
      <c r="R54" s="115"/>
      <c r="S54" s="72"/>
      <c r="T54" s="98">
        <f t="shared" si="86"/>
        <v>0</v>
      </c>
      <c r="U54" s="276">
        <f t="shared" si="75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7"/>
        <v>0</v>
      </c>
      <c r="BD54" s="75">
        <f t="shared" si="78"/>
        <v>0</v>
      </c>
      <c r="BE54" s="98"/>
      <c r="BF54" s="76"/>
      <c r="BG54" s="98"/>
      <c r="BH54" s="77"/>
      <c r="BI54" s="216"/>
      <c r="BJ54" s="205"/>
      <c r="BK54" s="61"/>
      <c r="BL54" s="78">
        <f t="shared" si="88"/>
        <v>0</v>
      </c>
      <c r="BM54" s="79">
        <f t="shared" si="81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ref="I55:K55" si="89">$E55*H55</f>
        <v>0</v>
      </c>
      <c r="J55" s="115">
        <v>0</v>
      </c>
      <c r="K55" s="72">
        <f t="shared" si="83"/>
        <v>0</v>
      </c>
      <c r="L55" s="115">
        <v>0</v>
      </c>
      <c r="M55" s="72">
        <f t="shared" si="84"/>
        <v>0</v>
      </c>
      <c r="N55" s="115">
        <v>0</v>
      </c>
      <c r="O55" s="72">
        <f t="shared" si="85"/>
        <v>0</v>
      </c>
      <c r="P55" s="115">
        <v>0</v>
      </c>
      <c r="Q55" s="72">
        <f t="shared" ref="Q55" si="90">$E55*P55</f>
        <v>0</v>
      </c>
      <c r="R55" s="115">
        <v>0</v>
      </c>
      <c r="S55" s="72">
        <f t="shared" ref="S55" si="91">$E55*R55</f>
        <v>0</v>
      </c>
      <c r="T55" s="98">
        <f t="shared" si="86"/>
        <v>0</v>
      </c>
      <c r="U55" s="276">
        <f t="shared" si="75"/>
        <v>0</v>
      </c>
      <c r="W55" s="115">
        <v>0</v>
      </c>
      <c r="X55" s="72">
        <f t="shared" ref="X55" si="92">$E55*W55</f>
        <v>0</v>
      </c>
      <c r="Y55" s="115">
        <v>0</v>
      </c>
      <c r="Z55" s="72">
        <f t="shared" ref="Z55" si="93">$E55*Y55</f>
        <v>0</v>
      </c>
      <c r="AA55" s="115">
        <v>0</v>
      </c>
      <c r="AB55" s="72">
        <f t="shared" ref="AB55" si="94">$E55*AA55</f>
        <v>0</v>
      </c>
      <c r="AC55" s="115">
        <v>0</v>
      </c>
      <c r="AD55" s="72">
        <f t="shared" ref="AD55" si="95">$E55*AC55</f>
        <v>0</v>
      </c>
      <c r="AE55" s="115">
        <v>0</v>
      </c>
      <c r="AF55" s="72">
        <f t="shared" ref="AF55" si="96">$E55*AE55</f>
        <v>0</v>
      </c>
      <c r="AG55" s="115">
        <v>0</v>
      </c>
      <c r="AH55" s="72">
        <f t="shared" ref="AH55" si="97">$E55*AG55</f>
        <v>0</v>
      </c>
      <c r="AI55" s="98">
        <f>W55+Y55+AA55+AC55+AE55+AG55</f>
        <v>0</v>
      </c>
      <c r="AJ55" s="290">
        <f t="shared" si="76"/>
        <v>0</v>
      </c>
      <c r="AL55" s="115">
        <v>0</v>
      </c>
      <c r="AM55" s="72">
        <f t="shared" ref="AM55" si="98">$E55*AL55</f>
        <v>0</v>
      </c>
      <c r="AN55" s="115">
        <v>0</v>
      </c>
      <c r="AO55" s="72">
        <f t="shared" ref="AO55" si="99">$E55*AN55</f>
        <v>0</v>
      </c>
      <c r="AP55" s="115">
        <v>0</v>
      </c>
      <c r="AQ55" s="72">
        <f t="shared" ref="AQ55" si="100">$E55*AP55</f>
        <v>0</v>
      </c>
      <c r="AR55" s="115">
        <v>0</v>
      </c>
      <c r="AS55" s="72">
        <f t="shared" ref="AS55" si="101">$E55*AR55</f>
        <v>0</v>
      </c>
      <c r="AT55" s="98">
        <f t="shared" ref="AT55" si="102">AL55+AN55+AP55+AR55</f>
        <v>0</v>
      </c>
      <c r="AU55" s="283">
        <f t="shared" si="77"/>
        <v>0</v>
      </c>
      <c r="BA55" s="97"/>
      <c r="BC55" s="98">
        <f t="shared" si="87"/>
        <v>0</v>
      </c>
      <c r="BD55" s="75">
        <f t="shared" si="78"/>
        <v>0</v>
      </c>
      <c r="BE55" s="98">
        <f t="shared" ref="BE55" si="103">$AI55</f>
        <v>0</v>
      </c>
      <c r="BF55" s="76">
        <f t="shared" si="79"/>
        <v>0</v>
      </c>
      <c r="BG55" s="98">
        <f t="shared" ref="BG55" si="104">$AT55</f>
        <v>0</v>
      </c>
      <c r="BH55" s="77">
        <f t="shared" si="80"/>
        <v>0</v>
      </c>
      <c r="BI55" s="216"/>
      <c r="BJ55" s="205"/>
      <c r="BK55" s="61"/>
      <c r="BL55" s="78">
        <f t="shared" ref="BL55" si="105">BC55+BE55+BG55</f>
        <v>0</v>
      </c>
      <c r="BM55" s="79">
        <f t="shared" si="81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12750</v>
      </c>
      <c r="J56" s="117"/>
      <c r="K56" s="102">
        <f>SUM(K45:K55)</f>
        <v>22100</v>
      </c>
      <c r="L56" s="117"/>
      <c r="M56" s="102">
        <f>SUM(M45:M55)</f>
        <v>0</v>
      </c>
      <c r="N56" s="117"/>
      <c r="O56" s="102">
        <f>SUM(O45:O55)</f>
        <v>6150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41000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41000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41000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42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" si="106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7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8">$E59*AT59</f>
        <v>0</v>
      </c>
      <c r="BA59" s="97"/>
      <c r="BC59" s="98">
        <f>$T59</f>
        <v>0</v>
      </c>
      <c r="BD59" s="75">
        <f t="shared" ref="BD59" si="109">$E59*BC59</f>
        <v>0</v>
      </c>
      <c r="BE59" s="98">
        <f>$AI59</f>
        <v>0</v>
      </c>
      <c r="BF59" s="76">
        <f t="shared" ref="BF59:BF60" si="110">$E59*BE59</f>
        <v>0</v>
      </c>
      <c r="BG59" s="98">
        <f>$AT59</f>
        <v>0</v>
      </c>
      <c r="BH59" s="77">
        <f t="shared" ref="BH59:BH60" si="111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12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13">$E60*H60</f>
        <v>0</v>
      </c>
      <c r="J60" s="115">
        <v>0</v>
      </c>
      <c r="K60" s="72">
        <f t="shared" si="113"/>
        <v>0</v>
      </c>
      <c r="L60" s="115">
        <v>0</v>
      </c>
      <c r="M60" s="72">
        <f t="shared" ref="M60" si="114">$E60*L60</f>
        <v>0</v>
      </c>
      <c r="N60" s="115">
        <v>0</v>
      </c>
      <c r="O60" s="72">
        <f t="shared" ref="O60" si="115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6">$E60*R60</f>
        <v>0</v>
      </c>
      <c r="T60" s="98">
        <f t="shared" ref="T60" si="117">H60+J60+L60+N60+P60+R60</f>
        <v>0</v>
      </c>
      <c r="U60" s="276">
        <f t="shared" ref="U60" si="118">$E60*T60</f>
        <v>0</v>
      </c>
      <c r="W60" s="115">
        <v>0</v>
      </c>
      <c r="X60" s="72">
        <f t="shared" ref="X60" si="119">$E60*W60</f>
        <v>0</v>
      </c>
      <c r="Y60" s="115">
        <v>0</v>
      </c>
      <c r="Z60" s="72">
        <f t="shared" ref="Z60" si="120">$E60*Y60</f>
        <v>0</v>
      </c>
      <c r="AA60" s="115">
        <v>0</v>
      </c>
      <c r="AB60" s="72">
        <f t="shared" ref="AB60" si="121">$E60*AA60</f>
        <v>0</v>
      </c>
      <c r="AC60" s="115">
        <v>0</v>
      </c>
      <c r="AD60" s="72">
        <f t="shared" ref="AD60" si="122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23">$E60*AG60</f>
        <v>0</v>
      </c>
      <c r="AI60" s="98">
        <f>W60+Y60+AA60+AC60+AE60+AG60</f>
        <v>0</v>
      </c>
      <c r="AJ60" s="290">
        <f t="shared" si="107"/>
        <v>0</v>
      </c>
      <c r="AL60" s="115">
        <v>0</v>
      </c>
      <c r="AM60" s="72">
        <f t="shared" ref="AM60" si="124">$E60*AL60</f>
        <v>0</v>
      </c>
      <c r="AN60" s="115">
        <v>0</v>
      </c>
      <c r="AO60" s="72">
        <f t="shared" ref="AO60" si="125">$E60*AN60</f>
        <v>0</v>
      </c>
      <c r="AP60" s="115">
        <v>0</v>
      </c>
      <c r="AQ60" s="72">
        <f t="shared" ref="AQ60" si="126">$E60*AP60</f>
        <v>0</v>
      </c>
      <c r="AR60" s="115">
        <v>0</v>
      </c>
      <c r="AS60" s="72">
        <f t="shared" ref="AS60" si="127">$E60*AR60</f>
        <v>0</v>
      </c>
      <c r="AT60" s="98">
        <f t="shared" ref="AT60" si="128">AL60+AN60+AP60+AR60</f>
        <v>0</v>
      </c>
      <c r="AU60" s="283">
        <f t="shared" si="108"/>
        <v>0</v>
      </c>
      <c r="BA60" s="97"/>
      <c r="BC60" s="98">
        <f t="shared" ref="BC60" si="129">$T60</f>
        <v>0</v>
      </c>
      <c r="BD60" s="75">
        <f>$E60*BC60</f>
        <v>0</v>
      </c>
      <c r="BE60" s="98">
        <f t="shared" ref="BE60" si="130">$AI60</f>
        <v>0</v>
      </c>
      <c r="BF60" s="76">
        <f t="shared" si="110"/>
        <v>0</v>
      </c>
      <c r="BG60" s="98">
        <f t="shared" ref="BG60" si="131">$AT60</f>
        <v>0</v>
      </c>
      <c r="BH60" s="77">
        <f t="shared" si="111"/>
        <v>0</v>
      </c>
      <c r="BI60" s="216"/>
      <c r="BJ60" s="205"/>
      <c r="BK60" s="61"/>
      <c r="BL60" s="78">
        <f t="shared" ref="BL60" si="132">BC60+BE60+BG60</f>
        <v>0</v>
      </c>
      <c r="BM60" s="79">
        <f t="shared" si="112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" si="133">$E64*BC64</f>
        <v>0</v>
      </c>
      <c r="BE64" s="98">
        <f>$AI64</f>
        <v>0</v>
      </c>
      <c r="BF64" s="76">
        <f t="shared" ref="BF64" si="134">$E64*BE64</f>
        <v>0</v>
      </c>
      <c r="BG64" s="98">
        <f>$AT64</f>
        <v>0</v>
      </c>
      <c r="BH64" s="77">
        <f t="shared" ref="BH64:BH65" si="135">$E64*BG64</f>
        <v>0</v>
      </c>
      <c r="BI64" s="215"/>
      <c r="BJ64" s="205"/>
      <c r="BK64" s="61"/>
      <c r="BL64" s="78">
        <f t="shared" ref="BL64:BL65" si="136">BC64+BE64+BG64</f>
        <v>0</v>
      </c>
      <c r="BM64" s="79">
        <f t="shared" ref="BM64:BM65" si="137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8">H65+J65+L65+N65+P65+R65</f>
        <v>0</v>
      </c>
      <c r="U65" s="276">
        <f t="shared" ref="U65" si="139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40">W65+Y65+AA65+AC65+AE65+AG65</f>
        <v>0</v>
      </c>
      <c r="AJ65" s="290">
        <f t="shared" ref="AJ65" si="141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42">AL65+AN65+AP65+AR65</f>
        <v>0</v>
      </c>
      <c r="AU65" s="283">
        <f t="shared" ref="AU65" si="143">$E65*AT65</f>
        <v>0</v>
      </c>
      <c r="BA65" s="97"/>
      <c r="BC65" s="98">
        <f t="shared" ref="BC65" si="144">$T65</f>
        <v>0</v>
      </c>
      <c r="BD65" s="75">
        <f t="shared" ref="BD65" si="145">$E65*BC65</f>
        <v>0</v>
      </c>
      <c r="BE65" s="98">
        <f t="shared" ref="BE65" si="146">$AI65</f>
        <v>0</v>
      </c>
      <c r="BF65" s="76">
        <f t="shared" ref="BF65" si="147">$E65*BE65</f>
        <v>0</v>
      </c>
      <c r="BG65" s="98">
        <f t="shared" ref="BG65" si="148">$AT65</f>
        <v>0</v>
      </c>
      <c r="BH65" s="77">
        <f t="shared" si="135"/>
        <v>0</v>
      </c>
      <c r="BI65" s="215"/>
      <c r="BJ65" s="205"/>
      <c r="BK65" s="61"/>
      <c r="BL65" s="78">
        <f t="shared" si="136"/>
        <v>0</v>
      </c>
      <c r="BM65" s="79">
        <f t="shared" si="137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208</v>
      </c>
      <c r="C69" s="35" t="s">
        <v>208</v>
      </c>
      <c r="D69" s="247" t="s">
        <v>179</v>
      </c>
      <c r="E69" s="92">
        <v>231862</v>
      </c>
      <c r="F69" s="262" t="s">
        <v>163</v>
      </c>
      <c r="G69" s="94"/>
      <c r="H69" s="115">
        <v>0</v>
      </c>
      <c r="I69" s="72">
        <f t="shared" ref="I69:K70" si="149">$E69*H69</f>
        <v>0</v>
      </c>
      <c r="J69" s="115">
        <v>0</v>
      </c>
      <c r="K69" s="72">
        <f t="shared" si="149"/>
        <v>0</v>
      </c>
      <c r="L69" s="115">
        <v>0.85</v>
      </c>
      <c r="M69" s="72">
        <f t="shared" ref="M69" si="150">$E69*L69</f>
        <v>197082.69999999998</v>
      </c>
      <c r="N69" s="115">
        <v>0.15</v>
      </c>
      <c r="O69" s="72">
        <f t="shared" ref="O69:O70" si="151">$E69*N69</f>
        <v>34779.299999999996</v>
      </c>
      <c r="P69" s="115">
        <v>0</v>
      </c>
      <c r="Q69" s="72">
        <f t="shared" ref="Q69:Q70" si="152">$E69*P69</f>
        <v>0</v>
      </c>
      <c r="R69" s="115">
        <v>0</v>
      </c>
      <c r="S69" s="72">
        <f t="shared" ref="S69:S70" si="153">$E69*R69</f>
        <v>0</v>
      </c>
      <c r="T69" s="98">
        <f>H69+J69+L69+N69+P69+R69</f>
        <v>1</v>
      </c>
      <c r="U69" s="276">
        <f>$E69*T69</f>
        <v>231862</v>
      </c>
      <c r="W69" s="115">
        <v>0</v>
      </c>
      <c r="X69" s="72">
        <f t="shared" ref="X69:X70" si="154">$E69*W69</f>
        <v>0</v>
      </c>
      <c r="Y69" s="115">
        <v>0</v>
      </c>
      <c r="Z69" s="72">
        <f t="shared" ref="Z69:Z70" si="155">$E69*Y69</f>
        <v>0</v>
      </c>
      <c r="AA69" s="115">
        <v>0</v>
      </c>
      <c r="AB69" s="72">
        <f t="shared" ref="AB69:AB70" si="156">$E69*AA69</f>
        <v>0</v>
      </c>
      <c r="AC69" s="115">
        <v>0</v>
      </c>
      <c r="AD69" s="72">
        <f t="shared" ref="AD69:AD70" si="157">$E69*AC69</f>
        <v>0</v>
      </c>
      <c r="AE69" s="115">
        <v>0</v>
      </c>
      <c r="AF69" s="72">
        <f t="shared" ref="AF69:AF70" si="158">$E69*AE69</f>
        <v>0</v>
      </c>
      <c r="AG69" s="115">
        <v>0</v>
      </c>
      <c r="AH69" s="72">
        <f t="shared" ref="AH69:AH70" si="159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60">$E69*AL69</f>
        <v>0</v>
      </c>
      <c r="AN69" s="115">
        <v>0</v>
      </c>
      <c r="AO69" s="72">
        <f t="shared" ref="AO69:AO70" si="161">$E69*AN69</f>
        <v>0</v>
      </c>
      <c r="AP69" s="115">
        <v>0</v>
      </c>
      <c r="AQ69" s="72">
        <f t="shared" ref="AQ69:AQ70" si="162">$E69*AP69</f>
        <v>0</v>
      </c>
      <c r="AR69" s="115">
        <v>0</v>
      </c>
      <c r="AS69" s="72">
        <f t="shared" ref="AS69:AS70" si="163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231862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231862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9"/>
        <v>0</v>
      </c>
      <c r="J70" s="115">
        <v>0</v>
      </c>
      <c r="K70" s="72">
        <f t="shared" si="149"/>
        <v>0</v>
      </c>
      <c r="L70" s="115">
        <v>0</v>
      </c>
      <c r="M70" s="72">
        <f t="shared" ref="M70" si="164">$E70*L70</f>
        <v>0</v>
      </c>
      <c r="N70" s="115">
        <v>0</v>
      </c>
      <c r="O70" s="72">
        <f t="shared" si="151"/>
        <v>0</v>
      </c>
      <c r="P70" s="115">
        <v>0</v>
      </c>
      <c r="Q70" s="72">
        <f t="shared" si="152"/>
        <v>0</v>
      </c>
      <c r="R70" s="115">
        <v>0</v>
      </c>
      <c r="S70" s="72">
        <f t="shared" si="153"/>
        <v>0</v>
      </c>
      <c r="T70" s="98">
        <f>H70+J70+L70+N70+P70+R70</f>
        <v>0</v>
      </c>
      <c r="U70" s="276">
        <f t="shared" ref="U70" si="165">$E70*T70</f>
        <v>0</v>
      </c>
      <c r="W70" s="115">
        <v>0</v>
      </c>
      <c r="X70" s="72">
        <f t="shared" si="154"/>
        <v>0</v>
      </c>
      <c r="Y70" s="115">
        <v>0</v>
      </c>
      <c r="Z70" s="72">
        <f t="shared" si="155"/>
        <v>0</v>
      </c>
      <c r="AA70" s="115">
        <v>0</v>
      </c>
      <c r="AB70" s="72">
        <f t="shared" si="156"/>
        <v>0</v>
      </c>
      <c r="AC70" s="115">
        <v>0</v>
      </c>
      <c r="AD70" s="72">
        <f t="shared" si="157"/>
        <v>0</v>
      </c>
      <c r="AE70" s="115">
        <v>0</v>
      </c>
      <c r="AF70" s="72">
        <f t="shared" si="158"/>
        <v>0</v>
      </c>
      <c r="AG70" s="115">
        <v>0</v>
      </c>
      <c r="AH70" s="72">
        <f t="shared" si="159"/>
        <v>0</v>
      </c>
      <c r="AI70" s="98">
        <f>W70+Y70+AA70+AC70+AE70+AG70</f>
        <v>0</v>
      </c>
      <c r="AJ70" s="290">
        <f t="shared" ref="AJ70" si="166">$E70*AI70</f>
        <v>0</v>
      </c>
      <c r="AL70" s="115">
        <v>0</v>
      </c>
      <c r="AM70" s="72">
        <f t="shared" si="160"/>
        <v>0</v>
      </c>
      <c r="AN70" s="115">
        <v>0</v>
      </c>
      <c r="AO70" s="72">
        <f t="shared" si="161"/>
        <v>0</v>
      </c>
      <c r="AP70" s="115">
        <v>0</v>
      </c>
      <c r="AQ70" s="72">
        <f t="shared" si="162"/>
        <v>0</v>
      </c>
      <c r="AR70" s="115">
        <v>0</v>
      </c>
      <c r="AS70" s="72">
        <f t="shared" si="163"/>
        <v>0</v>
      </c>
      <c r="AT70" s="98">
        <f t="shared" ref="AT70" si="167">AL70+AN70+AP70+AR70</f>
        <v>0</v>
      </c>
      <c r="AU70" s="283">
        <f t="shared" ref="AU70" si="168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9">$AI70</f>
        <v>0</v>
      </c>
      <c r="BF70" s="76">
        <f>$E70*BE70</f>
        <v>0</v>
      </c>
      <c r="BG70" s="98">
        <f t="shared" ref="BG70" si="170">$AT70</f>
        <v>0</v>
      </c>
      <c r="BH70" s="77">
        <f>$E70*BG70</f>
        <v>0</v>
      </c>
      <c r="BI70" s="216"/>
      <c r="BJ70" s="205"/>
      <c r="BK70" s="61"/>
      <c r="BL70" s="78">
        <f t="shared" ref="BL70" si="171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197082.69999999998</v>
      </c>
      <c r="N71" s="99"/>
      <c r="O71" s="102">
        <f>SUM(O69:O70)</f>
        <v>34779.299999999996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231862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231862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231862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W1:AY2"/>
    <mergeCell ref="AY3:AY6"/>
    <mergeCell ref="AW3:AW6"/>
    <mergeCell ref="AX3:AX6"/>
    <mergeCell ref="BL3:BM3"/>
    <mergeCell ref="BC6:BC7"/>
    <mergeCell ref="BE6:BE7"/>
    <mergeCell ref="BG6:BG7"/>
    <mergeCell ref="BC5:BD5"/>
    <mergeCell ref="BE5:BF5"/>
    <mergeCell ref="BG5:BH5"/>
    <mergeCell ref="BI5:BJ5"/>
    <mergeCell ref="BI6:BI7"/>
    <mergeCell ref="A5:B5"/>
    <mergeCell ref="H1:U2"/>
    <mergeCell ref="H3:H5"/>
    <mergeCell ref="I3:I5"/>
    <mergeCell ref="J3:J5"/>
    <mergeCell ref="K3:K5"/>
    <mergeCell ref="L3:L5"/>
    <mergeCell ref="M3:M5"/>
    <mergeCell ref="T3:T5"/>
    <mergeCell ref="U3:U5"/>
    <mergeCell ref="N3:N5"/>
    <mergeCell ref="O3:O5"/>
    <mergeCell ref="P3:P5"/>
    <mergeCell ref="Q3:Q5"/>
    <mergeCell ref="R3:R5"/>
    <mergeCell ref="S3:S5"/>
    <mergeCell ref="W1:AJ2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L1:AU2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</mergeCells>
  <phoneticPr fontId="8" type="noConversion"/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sqref="A1:A2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171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97649.5715377999</v>
      </c>
      <c r="J9" s="71">
        <f>J32</f>
        <v>2122.3649999999998</v>
      </c>
      <c r="K9" s="72">
        <f>K32+K42</f>
        <v>78008.557873649974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30998.493425549979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206656.62283699989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206656.62283699989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206656.62283699989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10200</v>
      </c>
      <c r="J10" s="71"/>
      <c r="K10" s="72">
        <f>K56</f>
        <v>22100</v>
      </c>
      <c r="L10" s="71"/>
      <c r="M10" s="72">
        <f>M56</f>
        <v>0</v>
      </c>
      <c r="N10" s="71"/>
      <c r="O10" s="72">
        <f>O56</f>
        <v>5700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38000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38000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38000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163511.1</v>
      </c>
      <c r="N13" s="71"/>
      <c r="O13" s="72">
        <f>O71</f>
        <v>28854.899999999998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192366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192366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192366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107849.5715377999</v>
      </c>
      <c r="J14" s="71"/>
      <c r="K14" s="72">
        <f>SUM(K9:K13)</f>
        <v>100108.55787364997</v>
      </c>
      <c r="L14" s="71"/>
      <c r="M14" s="72">
        <f>SUM(M9:M13)</f>
        <v>163511.1</v>
      </c>
      <c r="N14" s="71"/>
      <c r="O14" s="72">
        <f>SUM(O9:O13)</f>
        <v>65553.393425549977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437022.62283699989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Travel!P12</f>
        <v>12000</v>
      </c>
      <c r="AX14" s="214">
        <f>'Program-Admin Costs (ODCs)'!B12</f>
        <v>37618</v>
      </c>
      <c r="AY14" s="74">
        <f>SUM(AW14:AX14)</f>
        <v>49618</v>
      </c>
      <c r="BA14" s="59"/>
      <c r="BC14" s="68"/>
      <c r="BD14" s="75">
        <f>SUM(BD9:BD13)</f>
        <v>437022.62283699989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49618</v>
      </c>
      <c r="BL14" s="78"/>
      <c r="BM14" s="79">
        <f>SUM(BM9:BM13,BJ14)</f>
        <v>486640.62283699989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M14</f>
        <v>163511.1</v>
      </c>
      <c r="N18" s="244"/>
      <c r="O18" s="260">
        <f>O13</f>
        <v>28854.899999999998</v>
      </c>
      <c r="P18" s="244"/>
      <c r="Q18" s="260"/>
      <c r="R18" s="244"/>
      <c r="S18" s="260"/>
      <c r="T18" s="73"/>
      <c r="U18" s="275">
        <f>(SUM(I18,K18,M18,O18,Q18,S18))</f>
        <v>192366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192366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192366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163511.1</v>
      </c>
      <c r="N19" s="244"/>
      <c r="O19" s="244">
        <f>SUM(O16:O18)</f>
        <v>28854.899999999998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192366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192366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192366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107849.5715377999</v>
      </c>
      <c r="J20" s="72"/>
      <c r="K20" s="72">
        <f t="shared" ref="K20:S20" si="1">K14-K19</f>
        <v>100108.55787364997</v>
      </c>
      <c r="L20" s="72"/>
      <c r="M20" s="72">
        <f t="shared" si="1"/>
        <v>0</v>
      </c>
      <c r="N20" s="72"/>
      <c r="O20" s="72">
        <f t="shared" si="1"/>
        <v>36698.493425549983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244656.62283699989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AX14-AX11</f>
        <v>37618</v>
      </c>
      <c r="AY20" s="74">
        <f>AY14-AY11</f>
        <v>49618</v>
      </c>
      <c r="BA20" s="59"/>
      <c r="BC20" s="68"/>
      <c r="BD20" s="75">
        <f>BD14-BD19</f>
        <v>244656.62283699989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49618</v>
      </c>
      <c r="BL20" s="78"/>
      <c r="BM20" s="79">
        <f>SUM(BD20,BF20,BH20,BJ20)</f>
        <v>294274.62283699989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58778.016488100948</v>
      </c>
      <c r="J21" s="72"/>
      <c r="K21" s="72">
        <f t="shared" ref="K21:S21" si="14">K20*$E$21</f>
        <v>54559.164041139236</v>
      </c>
      <c r="L21" s="72"/>
      <c r="M21" s="72">
        <f t="shared" si="14"/>
        <v>0</v>
      </c>
      <c r="N21" s="72"/>
      <c r="O21" s="72">
        <f t="shared" si="14"/>
        <v>20000.678916924742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133337.85944616495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>AX13*E21</f>
        <v>1090</v>
      </c>
      <c r="AY21" s="74">
        <f>AX21+AW21</f>
        <v>7630.0000000000009</v>
      </c>
      <c r="BA21" s="59"/>
      <c r="BC21" s="68"/>
      <c r="BD21" s="75">
        <f t="shared" ref="BD21" si="26">BD20*$E$21</f>
        <v>133337.85944616495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140967.85944616495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166627.58802590086</v>
      </c>
      <c r="J22" s="71"/>
      <c r="K22" s="86">
        <f>K21+K14</f>
        <v>154667.7219147892</v>
      </c>
      <c r="L22" s="71"/>
      <c r="M22" s="86">
        <f>M21+M14</f>
        <v>163511.1</v>
      </c>
      <c r="N22" s="71"/>
      <c r="O22" s="86">
        <f>O21+O14</f>
        <v>85554.072342474712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570360.48228316486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38708</v>
      </c>
      <c r="AY22" s="87">
        <f>AX22+AW22</f>
        <v>57248</v>
      </c>
      <c r="BA22" s="59"/>
      <c r="BC22" s="68"/>
      <c r="BD22" s="88">
        <f>BD21+BD14</f>
        <v>570360.48228316486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57248</v>
      </c>
      <c r="BL22" s="78"/>
      <c r="BM22" s="91">
        <f>BM21+BM14</f>
        <v>627608.48228316486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I'!E25*1.03</f>
        <v>90.042126436781558</v>
      </c>
      <c r="F25" s="93"/>
      <c r="G25" s="94"/>
      <c r="H25" s="95">
        <v>347.565</v>
      </c>
      <c r="I25" s="72">
        <f>$E25*H25</f>
        <v>31295.491674999983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5522.7338249999966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36818.225499999979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36818.225499999979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36818.225499999979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I'!E26*1.03</f>
        <v>40.211436781609123</v>
      </c>
      <c r="F26" s="93"/>
      <c r="G26" s="94"/>
      <c r="H26" s="95">
        <v>347.565</v>
      </c>
      <c r="I26" s="72">
        <f t="shared" ref="I26:I31" si="33">$E26*H26</f>
        <v>13976.088024999975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2466.3684749999957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16442.456499999971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16442.456499999971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16442.456499999971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I'!E27*1.03</f>
        <v>67.228218390804571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23366.17572499999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4123.4427749999986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27489.618499999986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27489.618499999986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27489.618499999986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I'!E28*1.03</f>
        <v>24.664750957854398</v>
      </c>
      <c r="F28" s="93"/>
      <c r="G28" s="94"/>
      <c r="H28" s="95">
        <v>887.4</v>
      </c>
      <c r="I28" s="72">
        <f t="shared" si="33"/>
        <v>21887.499999999993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3862.4999999999986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25749.999999999993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25749.999999999993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25749.999999999993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I'!E29*1.03</f>
        <v>24.664750957854398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21887.499999999993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3862.4999999999986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25749.999999999993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25749.999999999993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25749.999999999993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I'!E30*1.03</f>
        <v>24.664750957854398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21887.499999999993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3862.4999999999986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25749.999999999993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25749.999999999993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25749.999999999993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I'!E31*1.03</f>
        <v>17.758620689655146</v>
      </c>
      <c r="F31" s="93"/>
      <c r="G31" s="94"/>
      <c r="H31" s="95">
        <v>887.4</v>
      </c>
      <c r="I31" s="72">
        <f t="shared" si="33"/>
        <v>15758.999999999976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2780.9999999999959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18539.999999999971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18539.999999999971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18539.999999999971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82918.079699999915</v>
      </c>
      <c r="J32" s="101">
        <f t="shared" si="57"/>
        <v>2122.3649999999998</v>
      </c>
      <c r="K32" s="102">
        <f t="shared" si="57"/>
        <v>67141.175724999979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26481.045074999984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176540.3004999999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176540.3004999999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176540.3004999999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8574.9647189499956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1513.2290680499991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10088.193786999995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10088.193786999995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10088.193786999995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3829.4481188499935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675.78496214999882</v>
      </c>
      <c r="P36" s="98"/>
      <c r="Q36" s="72"/>
      <c r="R36" s="98"/>
      <c r="S36" s="72"/>
      <c r="T36" s="98"/>
      <c r="U36" s="276">
        <f t="shared" ref="U36:U41" si="66">U26*$E36</f>
        <v>4505.2330809999921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4505.2330809999921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4505.2330809999921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6402.3321486499981</v>
      </c>
      <c r="L37" s="98"/>
      <c r="M37" s="72">
        <f t="shared" si="64"/>
        <v>0</v>
      </c>
      <c r="N37" s="39"/>
      <c r="O37" s="72">
        <f t="shared" si="65"/>
        <v>1129.8233203499997</v>
      </c>
      <c r="P37" s="98"/>
      <c r="Q37" s="72"/>
      <c r="R37" s="98"/>
      <c r="S37" s="72"/>
      <c r="T37" s="98"/>
      <c r="U37" s="276">
        <f t="shared" si="66"/>
        <v>7532.1554689999966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7532.1554689999966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7532.1554689999966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2232.5249999999992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393.97499999999985</v>
      </c>
      <c r="P38" s="98"/>
      <c r="Q38" s="72"/>
      <c r="R38" s="98"/>
      <c r="S38" s="72"/>
      <c r="T38" s="98"/>
      <c r="U38" s="276">
        <f t="shared" si="66"/>
        <v>2626.4999999999991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2626.4999999999991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2626.4999999999991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2232.5249999999992</v>
      </c>
      <c r="L39" s="98"/>
      <c r="M39" s="72">
        <f t="shared" si="64"/>
        <v>0</v>
      </c>
      <c r="N39" s="39"/>
      <c r="O39" s="72">
        <f t="shared" si="65"/>
        <v>393.97499999999985</v>
      </c>
      <c r="P39" s="98"/>
      <c r="Q39" s="72"/>
      <c r="R39" s="98"/>
      <c r="S39" s="72"/>
      <c r="T39" s="98"/>
      <c r="U39" s="276">
        <f t="shared" si="66"/>
        <v>2626.4999999999991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2626.4999999999991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2626.4999999999991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2232.5249999999992</v>
      </c>
      <c r="L40" s="98"/>
      <c r="M40" s="72">
        <f t="shared" si="64"/>
        <v>0</v>
      </c>
      <c r="N40" s="39"/>
      <c r="O40" s="72">
        <f t="shared" si="65"/>
        <v>393.97499999999985</v>
      </c>
      <c r="P40" s="98"/>
      <c r="Q40" s="72"/>
      <c r="R40" s="98"/>
      <c r="S40" s="72"/>
      <c r="T40" s="98"/>
      <c r="U40" s="276">
        <f t="shared" si="66"/>
        <v>2626.4999999999991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2626.4999999999991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2626.4999999999991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94.55399999999986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16.685999999999975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111.23999999999982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111.23999999999982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78"/>
      <c r="BM41" s="79">
        <f t="shared" si="70"/>
        <v>111.23999999999982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14731.491837799989</v>
      </c>
      <c r="J42" s="114"/>
      <c r="K42" s="102">
        <f>SUM(K35:K41)</f>
        <v>10867.382148649996</v>
      </c>
      <c r="L42" s="114"/>
      <c r="M42" s="102">
        <f>SUM(M35:M41)</f>
        <v>0</v>
      </c>
      <c r="N42" s="99"/>
      <c r="O42" s="102">
        <f>SUM(O35:O41)</f>
        <v>4517.4483505499966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30116.322336999987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30116.322336999987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30116.322336999987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181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0.85</v>
      </c>
      <c r="K45" s="72">
        <f>$E45*J45</f>
        <v>5100</v>
      </c>
      <c r="L45" s="115">
        <v>0</v>
      </c>
      <c r="M45" s="72">
        <f>$E45*L45</f>
        <v>0</v>
      </c>
      <c r="N45" s="115">
        <v>0.15</v>
      </c>
      <c r="O45" s="72">
        <f>$E45*N45</f>
        <v>900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181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0.85</v>
      </c>
      <c r="K46" s="72">
        <f t="shared" ref="K46:K55" si="79">$E46*J46</f>
        <v>17000</v>
      </c>
      <c r="L46" s="115">
        <v>0</v>
      </c>
      <c r="M46" s="72">
        <f t="shared" ref="M46:M54" si="80">$E46*L46</f>
        <v>0</v>
      </c>
      <c r="N46" s="115">
        <v>0.15</v>
      </c>
      <c r="O46" s="72">
        <f t="shared" ref="O46:O55" si="81">$E46*N46</f>
        <v>3000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4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181</v>
      </c>
      <c r="D47" s="224" t="s">
        <v>130</v>
      </c>
      <c r="E47" s="92">
        <v>6000</v>
      </c>
      <c r="F47" s="93"/>
      <c r="G47" s="94"/>
      <c r="H47" s="115">
        <v>0.85</v>
      </c>
      <c r="I47" s="72">
        <f t="shared" si="78"/>
        <v>5100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0.15</v>
      </c>
      <c r="O47" s="72">
        <f t="shared" si="81"/>
        <v>900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/>
      <c r="BF47" s="76"/>
      <c r="BG47" s="98"/>
      <c r="BH47" s="77"/>
      <c r="BI47" s="216"/>
      <c r="BJ47" s="205"/>
      <c r="BK47" s="61"/>
      <c r="BL47" s="78">
        <f t="shared" si="84"/>
        <v>1</v>
      </c>
      <c r="BM47" s="79">
        <f t="shared" si="77"/>
        <v>6000</v>
      </c>
    </row>
    <row r="48" spans="2:65">
      <c r="B48" s="35" t="s">
        <v>207</v>
      </c>
      <c r="C48" s="35" t="s">
        <v>181</v>
      </c>
      <c r="D48" s="224" t="s">
        <v>130</v>
      </c>
      <c r="E48" s="92">
        <v>6000</v>
      </c>
      <c r="F48" s="93"/>
      <c r="G48" s="94"/>
      <c r="H48" s="115">
        <v>0.85</v>
      </c>
      <c r="I48" s="72">
        <f t="shared" si="78"/>
        <v>5100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0.15</v>
      </c>
      <c r="O48" s="72">
        <f t="shared" si="81"/>
        <v>900</v>
      </c>
      <c r="P48" s="115"/>
      <c r="Q48" s="72"/>
      <c r="R48" s="115"/>
      <c r="S48" s="72"/>
      <c r="T48" s="98">
        <f t="shared" si="82"/>
        <v>1</v>
      </c>
      <c r="U48" s="276">
        <f t="shared" si="71"/>
        <v>6000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1</v>
      </c>
      <c r="BD48" s="75">
        <f t="shared" si="74"/>
        <v>6000</v>
      </c>
      <c r="BE48" s="98"/>
      <c r="BF48" s="76"/>
      <c r="BG48" s="98"/>
      <c r="BH48" s="77"/>
      <c r="BI48" s="216"/>
      <c r="BJ48" s="205"/>
      <c r="BK48" s="61"/>
      <c r="BL48" s="78">
        <f t="shared" si="84"/>
        <v>1</v>
      </c>
      <c r="BM48" s="79">
        <f t="shared" si="77"/>
        <v>6000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/>
      <c r="BF49" s="76"/>
      <c r="BG49" s="98"/>
      <c r="BH49" s="77"/>
      <c r="BI49" s="216"/>
      <c r="BJ49" s="205"/>
      <c r="BK49" s="61"/>
      <c r="BL49" s="78">
        <f t="shared" si="84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/>
      <c r="BF50" s="76"/>
      <c r="BG50" s="98"/>
      <c r="BH50" s="77"/>
      <c r="BI50" s="216"/>
      <c r="BJ50" s="205"/>
      <c r="BK50" s="61"/>
      <c r="BL50" s="78">
        <f t="shared" si="84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/>
      <c r="BF51" s="76"/>
      <c r="BG51" s="98"/>
      <c r="BH51" s="77"/>
      <c r="BI51" s="216"/>
      <c r="BJ51" s="205"/>
      <c r="BK51" s="61"/>
      <c r="BL51" s="78">
        <f t="shared" si="84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/>
      <c r="BF52" s="76"/>
      <c r="BG52" s="98"/>
      <c r="BH52" s="77"/>
      <c r="BI52" s="216"/>
      <c r="BJ52" s="205"/>
      <c r="BK52" s="61"/>
      <c r="BL52" s="78">
        <f t="shared" si="84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/>
      <c r="BF53" s="76"/>
      <c r="BG53" s="98"/>
      <c r="BH53" s="77"/>
      <c r="BI53" s="216"/>
      <c r="BJ53" s="205"/>
      <c r="BK53" s="61"/>
      <c r="BL53" s="78">
        <f t="shared" si="84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/>
      <c r="BF54" s="76"/>
      <c r="BG54" s="98"/>
      <c r="BH54" s="77"/>
      <c r="BI54" s="216"/>
      <c r="BJ54" s="205"/>
      <c r="BK54" s="61"/>
      <c r="BL54" s="78">
        <f t="shared" si="84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ref="M55" si="85">$E55*L55</f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6">$E55*P55</f>
        <v>0</v>
      </c>
      <c r="R55" s="115">
        <v>0</v>
      </c>
      <c r="S55" s="72">
        <f t="shared" ref="S55" si="87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8">$E55*W55</f>
        <v>0</v>
      </c>
      <c r="Y55" s="115">
        <v>0</v>
      </c>
      <c r="Z55" s="72">
        <f t="shared" ref="Z55" si="89">$E55*Y55</f>
        <v>0</v>
      </c>
      <c r="AA55" s="115">
        <v>0</v>
      </c>
      <c r="AB55" s="72">
        <f t="shared" ref="AB55" si="90">$E55*AA55</f>
        <v>0</v>
      </c>
      <c r="AC55" s="115">
        <v>0</v>
      </c>
      <c r="AD55" s="72">
        <f t="shared" ref="AD55" si="91">$E55*AC55</f>
        <v>0</v>
      </c>
      <c r="AE55" s="115">
        <v>0</v>
      </c>
      <c r="AF55" s="72">
        <f t="shared" ref="AF55" si="92">$E55*AE55</f>
        <v>0</v>
      </c>
      <c r="AG55" s="115">
        <v>0</v>
      </c>
      <c r="AH55" s="72">
        <f t="shared" ref="AH55" si="93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4">$E55*AL55</f>
        <v>0</v>
      </c>
      <c r="AN55" s="115">
        <v>0</v>
      </c>
      <c r="AO55" s="72">
        <f t="shared" ref="AO55" si="95">$E55*AN55</f>
        <v>0</v>
      </c>
      <c r="AP55" s="115">
        <v>0</v>
      </c>
      <c r="AQ55" s="72">
        <f t="shared" ref="AQ55" si="96">$E55*AP55</f>
        <v>0</v>
      </c>
      <c r="AR55" s="115">
        <v>0</v>
      </c>
      <c r="AS55" s="72">
        <f t="shared" ref="AS55" si="97">$E55*AR55</f>
        <v>0</v>
      </c>
      <c r="AT55" s="98">
        <f t="shared" ref="AT55" si="98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99">$AI55</f>
        <v>0</v>
      </c>
      <c r="BF55" s="76">
        <f t="shared" si="75"/>
        <v>0</v>
      </c>
      <c r="BG55" s="98">
        <f t="shared" ref="BG55" si="100">$AT55</f>
        <v>0</v>
      </c>
      <c r="BH55" s="77">
        <f t="shared" si="76"/>
        <v>0</v>
      </c>
      <c r="BI55" s="216"/>
      <c r="BJ55" s="205"/>
      <c r="BK55" s="61"/>
      <c r="BL55" s="78">
        <f t="shared" ref="BL55" si="101">BC55+BE55+BG55</f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10200</v>
      </c>
      <c r="J56" s="117"/>
      <c r="K56" s="102">
        <f>SUM(K45:K55)</f>
        <v>22100</v>
      </c>
      <c r="L56" s="117"/>
      <c r="M56" s="102">
        <f>SUM(M45:M55)</f>
        <v>0</v>
      </c>
      <c r="N56" s="117"/>
      <c r="O56" s="102">
        <f>SUM(O45:O55)</f>
        <v>5700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38000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38000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38000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2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3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4">$E59*AT59</f>
        <v>0</v>
      </c>
      <c r="BA59" s="97"/>
      <c r="BC59" s="98">
        <f>$T59</f>
        <v>0</v>
      </c>
      <c r="BD59" s="75">
        <f t="shared" ref="BD59" si="105">$E59*BC59</f>
        <v>0</v>
      </c>
      <c r="BE59" s="98">
        <f>$AI59</f>
        <v>0</v>
      </c>
      <c r="BF59" s="76">
        <f t="shared" ref="BF59:BF60" si="106">$E59*BE59</f>
        <v>0</v>
      </c>
      <c r="BG59" s="98">
        <f>$AT59</f>
        <v>0</v>
      </c>
      <c r="BH59" s="77">
        <f t="shared" ref="BH59:BH60" si="107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8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9">$E60*H60</f>
        <v>0</v>
      </c>
      <c r="J60" s="115">
        <v>0</v>
      </c>
      <c r="K60" s="72">
        <f t="shared" si="109"/>
        <v>0</v>
      </c>
      <c r="L60" s="115">
        <v>0</v>
      </c>
      <c r="M60" s="72">
        <f t="shared" ref="M60" si="110">$E60*L60</f>
        <v>0</v>
      </c>
      <c r="N60" s="115">
        <v>0</v>
      </c>
      <c r="O60" s="72">
        <f t="shared" ref="O60" si="111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2">$E60*R60</f>
        <v>0</v>
      </c>
      <c r="T60" s="98">
        <f t="shared" ref="T60" si="113">H60+J60+L60+N60+P60+R60</f>
        <v>0</v>
      </c>
      <c r="U60" s="276">
        <f t="shared" si="102"/>
        <v>0</v>
      </c>
      <c r="W60" s="115">
        <v>0</v>
      </c>
      <c r="X60" s="72">
        <f t="shared" ref="X60" si="114">$E60*W60</f>
        <v>0</v>
      </c>
      <c r="Y60" s="115">
        <v>0</v>
      </c>
      <c r="Z60" s="72">
        <f t="shared" ref="Z60" si="115">$E60*Y60</f>
        <v>0</v>
      </c>
      <c r="AA60" s="115">
        <v>0</v>
      </c>
      <c r="AB60" s="72">
        <f t="shared" ref="AB60" si="116">$E60*AA60</f>
        <v>0</v>
      </c>
      <c r="AC60" s="115">
        <v>0</v>
      </c>
      <c r="AD60" s="72">
        <f t="shared" ref="AD60" si="117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8">$E60*AG60</f>
        <v>0</v>
      </c>
      <c r="AI60" s="98">
        <f>W60+Y60+AA60+AC60+AE60+AG60</f>
        <v>0</v>
      </c>
      <c r="AJ60" s="290">
        <f t="shared" si="103"/>
        <v>0</v>
      </c>
      <c r="AL60" s="115">
        <v>0</v>
      </c>
      <c r="AM60" s="72">
        <f t="shared" ref="AM60" si="119">$E60*AL60</f>
        <v>0</v>
      </c>
      <c r="AN60" s="115">
        <v>0</v>
      </c>
      <c r="AO60" s="72">
        <f t="shared" ref="AO60" si="120">$E60*AN60</f>
        <v>0</v>
      </c>
      <c r="AP60" s="115">
        <v>0</v>
      </c>
      <c r="AQ60" s="72">
        <f t="shared" ref="AQ60" si="121">$E60*AP60</f>
        <v>0</v>
      </c>
      <c r="AR60" s="115">
        <v>0</v>
      </c>
      <c r="AS60" s="72">
        <f t="shared" ref="AS60" si="122">$E60*AR60</f>
        <v>0</v>
      </c>
      <c r="AT60" s="98">
        <f t="shared" ref="AT60" si="123">AL60+AN60+AP60+AR60</f>
        <v>0</v>
      </c>
      <c r="AU60" s="283">
        <f t="shared" si="104"/>
        <v>0</v>
      </c>
      <c r="BA60" s="97"/>
      <c r="BC60" s="98">
        <f t="shared" ref="BC60" si="124">$T60</f>
        <v>0</v>
      </c>
      <c r="BD60" s="75">
        <f>$E60*BC60</f>
        <v>0</v>
      </c>
      <c r="BE60" s="98">
        <f t="shared" ref="BE60" si="125">$AI60</f>
        <v>0</v>
      </c>
      <c r="BF60" s="76">
        <f t="shared" si="106"/>
        <v>0</v>
      </c>
      <c r="BG60" s="98">
        <f t="shared" ref="BG60" si="126">$AT60</f>
        <v>0</v>
      </c>
      <c r="BH60" s="77">
        <f t="shared" si="107"/>
        <v>0</v>
      </c>
      <c r="BI60" s="216"/>
      <c r="BJ60" s="205"/>
      <c r="BK60" s="61"/>
      <c r="BL60" s="78">
        <f t="shared" ref="BL60" si="127">BC60+BE60+BG60</f>
        <v>0</v>
      </c>
      <c r="BM60" s="79">
        <f t="shared" si="108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8">$E64*BC64</f>
        <v>0</v>
      </c>
      <c r="BE64" s="98">
        <f>$AI64</f>
        <v>0</v>
      </c>
      <c r="BF64" s="76">
        <f t="shared" ref="BF64:BF65" si="129">$E64*BE64</f>
        <v>0</v>
      </c>
      <c r="BG64" s="98">
        <f>$AT64</f>
        <v>0</v>
      </c>
      <c r="BH64" s="77">
        <f t="shared" ref="BH64:BH65" si="130">$E64*BG64</f>
        <v>0</v>
      </c>
      <c r="BI64" s="215"/>
      <c r="BJ64" s="205"/>
      <c r="BK64" s="61"/>
      <c r="BL64" s="78">
        <f t="shared" ref="BL64:BL65" si="131">BC64+BE64+BG64</f>
        <v>0</v>
      </c>
      <c r="BM64" s="79">
        <f t="shared" ref="BM64:BM65" si="132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3">H65+J65+L65+N65+P65+R65</f>
        <v>0</v>
      </c>
      <c r="U65" s="276">
        <f t="shared" ref="U65" si="134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5">W65+Y65+AA65+AC65+AE65+AG65</f>
        <v>0</v>
      </c>
      <c r="AJ65" s="290">
        <f t="shared" ref="AJ65" si="136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7">AL65+AN65+AP65+AR65</f>
        <v>0</v>
      </c>
      <c r="AU65" s="283">
        <f t="shared" ref="AU65" si="138">$E65*AT65</f>
        <v>0</v>
      </c>
      <c r="BA65" s="97"/>
      <c r="BC65" s="98">
        <f t="shared" ref="BC65" si="139">$T65</f>
        <v>0</v>
      </c>
      <c r="BD65" s="75">
        <f t="shared" si="128"/>
        <v>0</v>
      </c>
      <c r="BE65" s="98">
        <f t="shared" ref="BE65" si="140">$AI65</f>
        <v>0</v>
      </c>
      <c r="BF65" s="76">
        <f t="shared" si="129"/>
        <v>0</v>
      </c>
      <c r="BG65" s="98">
        <f t="shared" ref="BG65" si="141">$AT65</f>
        <v>0</v>
      </c>
      <c r="BH65" s="77">
        <f t="shared" si="130"/>
        <v>0</v>
      </c>
      <c r="BI65" s="215"/>
      <c r="BJ65" s="205"/>
      <c r="BK65" s="61"/>
      <c r="BL65" s="78">
        <f t="shared" si="131"/>
        <v>0</v>
      </c>
      <c r="BM65" s="79">
        <f t="shared" si="132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208</v>
      </c>
      <c r="C69" s="35" t="s">
        <v>208</v>
      </c>
      <c r="D69" s="247" t="s">
        <v>179</v>
      </c>
      <c r="E69" s="92">
        <v>192366</v>
      </c>
      <c r="F69" s="262" t="s">
        <v>163</v>
      </c>
      <c r="G69" s="94"/>
      <c r="H69" s="115">
        <v>0</v>
      </c>
      <c r="I69" s="72">
        <f t="shared" ref="I69:K70" si="142">$E69*H69</f>
        <v>0</v>
      </c>
      <c r="J69" s="115">
        <v>0</v>
      </c>
      <c r="K69" s="72">
        <f t="shared" si="142"/>
        <v>0</v>
      </c>
      <c r="L69" s="115">
        <v>0.85</v>
      </c>
      <c r="M69" s="72">
        <f t="shared" ref="M69:M70" si="143">$E69*L69</f>
        <v>163511.1</v>
      </c>
      <c r="N69" s="115">
        <v>0.15</v>
      </c>
      <c r="O69" s="72">
        <f t="shared" ref="O69:O70" si="144">$E69*N69</f>
        <v>28854.899999999998</v>
      </c>
      <c r="P69" s="115">
        <v>0</v>
      </c>
      <c r="Q69" s="72">
        <f t="shared" ref="Q69:Q70" si="145">$E69*P69</f>
        <v>0</v>
      </c>
      <c r="R69" s="115">
        <v>0</v>
      </c>
      <c r="S69" s="72">
        <f t="shared" ref="S69:S70" si="146">$E69*R69</f>
        <v>0</v>
      </c>
      <c r="T69" s="98">
        <f>H69+J69+L69+N69+P69+R69</f>
        <v>1</v>
      </c>
      <c r="U69" s="276">
        <f>$E69*T69</f>
        <v>192366</v>
      </c>
      <c r="W69" s="115">
        <v>0</v>
      </c>
      <c r="X69" s="72">
        <f t="shared" ref="X69:X70" si="147">$E69*W69</f>
        <v>0</v>
      </c>
      <c r="Y69" s="115">
        <v>0</v>
      </c>
      <c r="Z69" s="72">
        <f t="shared" ref="Z69:Z70" si="148">$E69*Y69</f>
        <v>0</v>
      </c>
      <c r="AA69" s="115">
        <v>0</v>
      </c>
      <c r="AB69" s="72">
        <f t="shared" ref="AB69:AB70" si="149">$E69*AA69</f>
        <v>0</v>
      </c>
      <c r="AC69" s="115">
        <v>0</v>
      </c>
      <c r="AD69" s="72">
        <f t="shared" ref="AD69:AD70" si="150">$E69*AC69</f>
        <v>0</v>
      </c>
      <c r="AE69" s="115">
        <v>0</v>
      </c>
      <c r="AF69" s="72">
        <f t="shared" ref="AF69:AF70" si="151">$E69*AE69</f>
        <v>0</v>
      </c>
      <c r="AG69" s="115">
        <v>0</v>
      </c>
      <c r="AH69" s="72">
        <f t="shared" ref="AH69:AH70" si="152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3">$E69*AL69</f>
        <v>0</v>
      </c>
      <c r="AN69" s="115">
        <v>0</v>
      </c>
      <c r="AO69" s="72">
        <f t="shared" ref="AO69:AO70" si="154">$E69*AN69</f>
        <v>0</v>
      </c>
      <c r="AP69" s="115">
        <v>0</v>
      </c>
      <c r="AQ69" s="72">
        <f t="shared" ref="AQ69:AQ70" si="155">$E69*AP69</f>
        <v>0</v>
      </c>
      <c r="AR69" s="115">
        <v>0</v>
      </c>
      <c r="AS69" s="72">
        <f t="shared" ref="AS69:AS70" si="156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192366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192366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2"/>
        <v>0</v>
      </c>
      <c r="J70" s="115">
        <v>0</v>
      </c>
      <c r="K70" s="72">
        <f t="shared" si="142"/>
        <v>0</v>
      </c>
      <c r="L70" s="115">
        <v>0</v>
      </c>
      <c r="M70" s="72">
        <f t="shared" si="143"/>
        <v>0</v>
      </c>
      <c r="N70" s="115">
        <v>0</v>
      </c>
      <c r="O70" s="72">
        <f t="shared" si="144"/>
        <v>0</v>
      </c>
      <c r="P70" s="115">
        <v>0</v>
      </c>
      <c r="Q70" s="72">
        <f t="shared" si="145"/>
        <v>0</v>
      </c>
      <c r="R70" s="115">
        <v>0</v>
      </c>
      <c r="S70" s="72">
        <f t="shared" si="146"/>
        <v>0</v>
      </c>
      <c r="T70" s="98">
        <f>H70+J70+L70+N70+P70+R70</f>
        <v>0</v>
      </c>
      <c r="U70" s="276">
        <f t="shared" ref="U70" si="157">$E70*T70</f>
        <v>0</v>
      </c>
      <c r="W70" s="115">
        <v>0</v>
      </c>
      <c r="X70" s="72">
        <f t="shared" si="147"/>
        <v>0</v>
      </c>
      <c r="Y70" s="115">
        <v>0</v>
      </c>
      <c r="Z70" s="72">
        <f t="shared" si="148"/>
        <v>0</v>
      </c>
      <c r="AA70" s="115">
        <v>0</v>
      </c>
      <c r="AB70" s="72">
        <f t="shared" si="149"/>
        <v>0</v>
      </c>
      <c r="AC70" s="115">
        <v>0</v>
      </c>
      <c r="AD70" s="72">
        <f t="shared" si="150"/>
        <v>0</v>
      </c>
      <c r="AE70" s="115">
        <v>0</v>
      </c>
      <c r="AF70" s="72">
        <f t="shared" si="151"/>
        <v>0</v>
      </c>
      <c r="AG70" s="115">
        <v>0</v>
      </c>
      <c r="AH70" s="72">
        <f t="shared" si="152"/>
        <v>0</v>
      </c>
      <c r="AI70" s="98">
        <f>W70+Y70+AA70+AC70+AE70+AG70</f>
        <v>0</v>
      </c>
      <c r="AJ70" s="290">
        <f t="shared" ref="AJ70" si="158">$E70*AI70</f>
        <v>0</v>
      </c>
      <c r="AL70" s="115">
        <v>0</v>
      </c>
      <c r="AM70" s="72">
        <f t="shared" si="153"/>
        <v>0</v>
      </c>
      <c r="AN70" s="115">
        <v>0</v>
      </c>
      <c r="AO70" s="72">
        <f t="shared" si="154"/>
        <v>0</v>
      </c>
      <c r="AP70" s="115">
        <v>0</v>
      </c>
      <c r="AQ70" s="72">
        <f t="shared" si="155"/>
        <v>0</v>
      </c>
      <c r="AR70" s="115">
        <v>0</v>
      </c>
      <c r="AS70" s="72">
        <f t="shared" si="156"/>
        <v>0</v>
      </c>
      <c r="AT70" s="98">
        <f t="shared" ref="AT70" si="159">AL70+AN70+AP70+AR70</f>
        <v>0</v>
      </c>
      <c r="AU70" s="283">
        <f t="shared" ref="AU70" si="160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1">$AI70</f>
        <v>0</v>
      </c>
      <c r="BF70" s="76">
        <f>$E70*BE70</f>
        <v>0</v>
      </c>
      <c r="BG70" s="98">
        <f t="shared" ref="BG70" si="162">$AT70</f>
        <v>0</v>
      </c>
      <c r="BH70" s="77">
        <f>$E70*BG70</f>
        <v>0</v>
      </c>
      <c r="BI70" s="216"/>
      <c r="BJ70" s="205"/>
      <c r="BK70" s="61"/>
      <c r="BL70" s="78">
        <f t="shared" ref="BL70" si="163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163511.1</v>
      </c>
      <c r="N71" s="99"/>
      <c r="O71" s="102">
        <f>SUM(O69:O70)</f>
        <v>28854.899999999998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192366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192366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192366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20" sqref="E20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46" t="s">
        <v>157</v>
      </c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7"/>
      <c r="W1" s="346" t="s">
        <v>159</v>
      </c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L1" s="346" t="s">
        <v>164</v>
      </c>
      <c r="AM1" s="346"/>
      <c r="AN1" s="346"/>
      <c r="AO1" s="346"/>
      <c r="AP1" s="346"/>
      <c r="AQ1" s="346"/>
      <c r="AR1" s="346"/>
      <c r="AS1" s="346"/>
      <c r="AT1" s="346"/>
      <c r="AU1" s="346"/>
      <c r="AV1" s="37"/>
      <c r="AW1" s="371" t="s">
        <v>177</v>
      </c>
      <c r="AX1" s="371"/>
      <c r="AY1" s="371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W2" s="371"/>
      <c r="AX2" s="371"/>
      <c r="AY2" s="371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172</v>
      </c>
      <c r="F3" s="6" t="s">
        <v>2</v>
      </c>
      <c r="H3" s="363" t="s">
        <v>44</v>
      </c>
      <c r="I3" s="363" t="s">
        <v>4</v>
      </c>
      <c r="J3" s="364" t="s">
        <v>45</v>
      </c>
      <c r="K3" s="365" t="s">
        <v>4</v>
      </c>
      <c r="L3" s="366" t="s">
        <v>49</v>
      </c>
      <c r="M3" s="366" t="s">
        <v>4</v>
      </c>
      <c r="N3" s="367" t="s">
        <v>203</v>
      </c>
      <c r="O3" s="367" t="s">
        <v>4</v>
      </c>
      <c r="P3" s="368" t="s">
        <v>155</v>
      </c>
      <c r="Q3" s="370" t="s">
        <v>4</v>
      </c>
      <c r="R3" s="361" t="s">
        <v>156</v>
      </c>
      <c r="S3" s="361" t="s">
        <v>4</v>
      </c>
      <c r="T3" s="352" t="s">
        <v>44</v>
      </c>
      <c r="U3" s="352" t="s">
        <v>4</v>
      </c>
      <c r="W3" s="353" t="s">
        <v>46</v>
      </c>
      <c r="X3" s="353" t="s">
        <v>4</v>
      </c>
      <c r="Y3" s="354" t="s">
        <v>47</v>
      </c>
      <c r="Z3" s="355" t="s">
        <v>4</v>
      </c>
      <c r="AA3" s="356" t="s">
        <v>48</v>
      </c>
      <c r="AB3" s="356" t="s">
        <v>4</v>
      </c>
      <c r="AC3" s="357" t="s">
        <v>160</v>
      </c>
      <c r="AD3" s="357" t="s">
        <v>4</v>
      </c>
      <c r="AE3" s="358" t="s">
        <v>161</v>
      </c>
      <c r="AF3" s="360" t="s">
        <v>4</v>
      </c>
      <c r="AG3" s="361" t="s">
        <v>162</v>
      </c>
      <c r="AH3" s="361" t="s">
        <v>4</v>
      </c>
      <c r="AI3" s="352" t="s">
        <v>45</v>
      </c>
      <c r="AJ3" s="352" t="s">
        <v>4</v>
      </c>
      <c r="AK3"/>
      <c r="AL3" s="347" t="s">
        <v>50</v>
      </c>
      <c r="AM3" s="347" t="s">
        <v>4</v>
      </c>
      <c r="AN3" s="348" t="s">
        <v>51</v>
      </c>
      <c r="AO3" s="349" t="s">
        <v>4</v>
      </c>
      <c r="AP3" s="350" t="s">
        <v>52</v>
      </c>
      <c r="AQ3" s="350" t="s">
        <v>4</v>
      </c>
      <c r="AR3" s="351" t="s">
        <v>165</v>
      </c>
      <c r="AS3" s="351" t="s">
        <v>4</v>
      </c>
      <c r="AT3" s="352" t="s">
        <v>49</v>
      </c>
      <c r="AU3" s="352" t="s">
        <v>4</v>
      </c>
      <c r="AW3" s="374" t="s">
        <v>117</v>
      </c>
      <c r="AX3" s="376" t="s">
        <v>115</v>
      </c>
      <c r="AY3" s="372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78"/>
      <c r="BM3" s="378"/>
    </row>
    <row r="4" spans="1:65" s="37" customFormat="1" ht="18">
      <c r="A4" s="48"/>
      <c r="B4" s="49"/>
      <c r="C4" s="206"/>
      <c r="D4" s="206"/>
      <c r="G4" s="44"/>
      <c r="H4" s="363"/>
      <c r="I4" s="363"/>
      <c r="J4" s="364"/>
      <c r="K4" s="365"/>
      <c r="L4" s="366"/>
      <c r="M4" s="366"/>
      <c r="N4" s="367"/>
      <c r="O4" s="367"/>
      <c r="P4" s="369"/>
      <c r="Q4" s="370"/>
      <c r="R4" s="361"/>
      <c r="S4" s="361"/>
      <c r="T4" s="352"/>
      <c r="U4" s="352"/>
      <c r="V4" s="36"/>
      <c r="W4" s="353"/>
      <c r="X4" s="353"/>
      <c r="Y4" s="354"/>
      <c r="Z4" s="355"/>
      <c r="AA4" s="356"/>
      <c r="AB4" s="356"/>
      <c r="AC4" s="357"/>
      <c r="AD4" s="357"/>
      <c r="AE4" s="359"/>
      <c r="AF4" s="360"/>
      <c r="AG4" s="361"/>
      <c r="AH4" s="361"/>
      <c r="AI4" s="352"/>
      <c r="AJ4" s="352"/>
      <c r="AK4"/>
      <c r="AL4" s="347"/>
      <c r="AM4" s="347"/>
      <c r="AN4" s="348"/>
      <c r="AO4" s="349"/>
      <c r="AP4" s="350"/>
      <c r="AQ4" s="350"/>
      <c r="AR4" s="351"/>
      <c r="AS4" s="351"/>
      <c r="AT4" s="352"/>
      <c r="AU4" s="352"/>
      <c r="AV4" s="36"/>
      <c r="AW4" s="374"/>
      <c r="AX4" s="376"/>
      <c r="AY4" s="372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2"/>
      <c r="B5" s="362"/>
      <c r="C5" s="223"/>
      <c r="D5" s="206"/>
      <c r="G5" s="44"/>
      <c r="H5" s="363"/>
      <c r="I5" s="363"/>
      <c r="J5" s="364"/>
      <c r="K5" s="365"/>
      <c r="L5" s="366"/>
      <c r="M5" s="366"/>
      <c r="N5" s="367"/>
      <c r="O5" s="367"/>
      <c r="P5" s="369"/>
      <c r="Q5" s="370"/>
      <c r="R5" s="361"/>
      <c r="S5" s="361"/>
      <c r="T5" s="352"/>
      <c r="U5" s="352"/>
      <c r="V5" s="36"/>
      <c r="W5" s="353"/>
      <c r="X5" s="353"/>
      <c r="Y5" s="354"/>
      <c r="Z5" s="355"/>
      <c r="AA5" s="356"/>
      <c r="AB5" s="356"/>
      <c r="AC5" s="357"/>
      <c r="AD5" s="357"/>
      <c r="AE5" s="359"/>
      <c r="AF5" s="360"/>
      <c r="AG5" s="361"/>
      <c r="AH5" s="361"/>
      <c r="AI5" s="352"/>
      <c r="AJ5" s="352"/>
      <c r="AK5"/>
      <c r="AL5" s="347"/>
      <c r="AM5" s="347"/>
      <c r="AN5" s="348"/>
      <c r="AO5" s="349"/>
      <c r="AP5" s="350"/>
      <c r="AQ5" s="350"/>
      <c r="AR5" s="351"/>
      <c r="AS5" s="351"/>
      <c r="AT5" s="352"/>
      <c r="AU5" s="352"/>
      <c r="AV5" s="36"/>
      <c r="AW5" s="374"/>
      <c r="AX5" s="376"/>
      <c r="AY5" s="372"/>
      <c r="BA5" s="43"/>
      <c r="BC5" s="381" t="s">
        <v>168</v>
      </c>
      <c r="BD5" s="381"/>
      <c r="BE5" s="382" t="s">
        <v>153</v>
      </c>
      <c r="BF5" s="382"/>
      <c r="BG5" s="383" t="s">
        <v>154</v>
      </c>
      <c r="BH5" s="383"/>
      <c r="BI5" s="384" t="s">
        <v>167</v>
      </c>
      <c r="BJ5" s="384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5"/>
      <c r="AX6" s="377"/>
      <c r="AY6" s="373"/>
      <c r="BA6" s="43"/>
      <c r="BC6" s="379" t="s">
        <v>166</v>
      </c>
      <c r="BD6" s="51" t="s">
        <v>4</v>
      </c>
      <c r="BE6" s="379" t="s">
        <v>166</v>
      </c>
      <c r="BF6" s="51" t="s">
        <v>4</v>
      </c>
      <c r="BG6" s="379" t="s">
        <v>166</v>
      </c>
      <c r="BH6" s="51" t="s">
        <v>4</v>
      </c>
      <c r="BI6" s="379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0"/>
      <c r="BD7" s="60" t="s">
        <v>7</v>
      </c>
      <c r="BE7" s="380"/>
      <c r="BF7" s="60" t="s">
        <v>7</v>
      </c>
      <c r="BG7" s="380"/>
      <c r="BH7" s="60" t="s">
        <v>7</v>
      </c>
      <c r="BI7" s="380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100579.05868393391</v>
      </c>
      <c r="J9" s="71">
        <f>J32</f>
        <v>2122.3649999999998</v>
      </c>
      <c r="K9" s="72">
        <f>K32+K42</f>
        <v>80348.814609859459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31928.448228316483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212856.32152210991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212856.32152210991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212856.32152210991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10200</v>
      </c>
      <c r="J10" s="71"/>
      <c r="K10" s="72">
        <f>K56</f>
        <v>22100</v>
      </c>
      <c r="L10" s="71"/>
      <c r="M10" s="72">
        <f>M56</f>
        <v>0</v>
      </c>
      <c r="N10" s="71"/>
      <c r="O10" s="72">
        <f>O56</f>
        <v>5700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38000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38000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38000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169233.3</v>
      </c>
      <c r="N13" s="71"/>
      <c r="O13" s="72">
        <f>O71</f>
        <v>29864.699999999997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199098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199098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199098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110779.05868393391</v>
      </c>
      <c r="J14" s="71"/>
      <c r="K14" s="72">
        <f>SUM(K9:K13)</f>
        <v>102448.81460985946</v>
      </c>
      <c r="L14" s="71"/>
      <c r="M14" s="72">
        <f>SUM(M9:M13)</f>
        <v>169233.3</v>
      </c>
      <c r="N14" s="71"/>
      <c r="O14" s="72">
        <f>SUM(O9:O13)</f>
        <v>67493.148228316481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449954.32152210991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Travel!P15</f>
        <v>12000</v>
      </c>
      <c r="AX14" s="214">
        <f>'Program-Admin Costs (ODCs)'!B15</f>
        <v>39399</v>
      </c>
      <c r="AY14" s="74">
        <f>SUM(AW14:AX14)</f>
        <v>51399</v>
      </c>
      <c r="BA14" s="59"/>
      <c r="BC14" s="68"/>
      <c r="BD14" s="75">
        <f>SUM(BD9:BD13)</f>
        <v>449954.32152210991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51399</v>
      </c>
      <c r="BL14" s="78"/>
      <c r="BM14" s="79">
        <f>SUM(BM9:BM13,BJ14)</f>
        <v>501353.32152210991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</f>
        <v>169233.3</v>
      </c>
      <c r="N18" s="244"/>
      <c r="O18" s="260">
        <f>O13</f>
        <v>29864.699999999997</v>
      </c>
      <c r="P18" s="244"/>
      <c r="Q18" s="260"/>
      <c r="R18" s="244"/>
      <c r="S18" s="260"/>
      <c r="T18" s="73"/>
      <c r="U18" s="275">
        <f>(SUM(I18,K18,M18,O18,Q18,S18))</f>
        <v>199098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199098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199098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169233.3</v>
      </c>
      <c r="N19" s="244"/>
      <c r="O19" s="244">
        <f>SUM(O16:O18)</f>
        <v>29864.699999999997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199098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199098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199098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110779.05868393391</v>
      </c>
      <c r="J20" s="72"/>
      <c r="K20" s="72">
        <f t="shared" ref="K20:S20" si="1">K14-K19</f>
        <v>102448.81460985946</v>
      </c>
      <c r="L20" s="72"/>
      <c r="M20" s="72">
        <f t="shared" si="1"/>
        <v>0</v>
      </c>
      <c r="N20" s="72"/>
      <c r="O20" s="72">
        <f t="shared" si="1"/>
        <v>37628.448228316483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250856.32152210991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AX13</f>
        <v>2000</v>
      </c>
      <c r="AY20" s="74">
        <f>AY14-AY11</f>
        <v>51399</v>
      </c>
      <c r="BA20" s="59"/>
      <c r="BC20" s="68"/>
      <c r="BD20" s="75">
        <f>BD14-BD19</f>
        <v>250856.32152210991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51399</v>
      </c>
      <c r="BL20" s="78"/>
      <c r="BM20" s="79">
        <f>SUM(BD20,BF20,BH20,BJ20)</f>
        <v>302255.32152210991</v>
      </c>
    </row>
    <row r="21" spans="2:65" s="80" customFormat="1" ht="15" thickBot="1">
      <c r="B21" s="63"/>
      <c r="C21" s="81" t="s">
        <v>23</v>
      </c>
      <c r="D21" s="81"/>
      <c r="E21" s="421">
        <v>0.54500000000000004</v>
      </c>
      <c r="F21" s="64" t="s">
        <v>25</v>
      </c>
      <c r="G21" s="64"/>
      <c r="H21" s="71"/>
      <c r="I21" s="72">
        <f>I20*$E$21</f>
        <v>60374.586982743982</v>
      </c>
      <c r="J21" s="72"/>
      <c r="K21" s="72">
        <f t="shared" ref="K21:S21" si="14">K20*$E$21</f>
        <v>55834.60396237341</v>
      </c>
      <c r="L21" s="72"/>
      <c r="M21" s="72">
        <f t="shared" si="14"/>
        <v>0</v>
      </c>
      <c r="N21" s="72"/>
      <c r="O21" s="72">
        <f t="shared" si="14"/>
        <v>20507.504284432485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136716.69522954992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Y21" si="25">AW20*$E$21</f>
        <v>6540.0000000000009</v>
      </c>
      <c r="AX21" s="74">
        <f t="shared" si="25"/>
        <v>1090</v>
      </c>
      <c r="AY21" s="74">
        <f>AW21+AX21</f>
        <v>7630.0000000000009</v>
      </c>
      <c r="BA21" s="59"/>
      <c r="BC21" s="68"/>
      <c r="BD21" s="75">
        <f t="shared" ref="BD21" si="26">BD20*$E$21</f>
        <v>136716.69522954992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144346.69522954992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171153.64566667788</v>
      </c>
      <c r="J22" s="71"/>
      <c r="K22" s="86">
        <f>K21+K14</f>
        <v>158283.41857223288</v>
      </c>
      <c r="L22" s="71"/>
      <c r="M22" s="86">
        <f>M21+M14</f>
        <v>169233.3</v>
      </c>
      <c r="N22" s="71"/>
      <c r="O22" s="86">
        <f>O21+O14</f>
        <v>88000.652512748959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586671.0167516598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Y22" si="29">AW21+AW14</f>
        <v>18540</v>
      </c>
      <c r="AX22" s="87">
        <f t="shared" si="29"/>
        <v>40489</v>
      </c>
      <c r="AY22" s="87">
        <f>AW22+AX22</f>
        <v>59029</v>
      </c>
      <c r="BA22" s="59"/>
      <c r="BC22" s="68"/>
      <c r="BD22" s="88">
        <f>BD21+BD14</f>
        <v>586671.0167516598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59029</v>
      </c>
      <c r="BL22" s="78"/>
      <c r="BM22" s="91">
        <f>BM21+BM14</f>
        <v>645700.0167516598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II'!E25*1.03</f>
        <v>92.743390229885009</v>
      </c>
      <c r="F25" s="93"/>
      <c r="G25" s="94"/>
      <c r="H25" s="95">
        <v>347.565</v>
      </c>
      <c r="I25" s="72">
        <f>$E25*H25</f>
        <v>32234.356425249982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5688.4158397499968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37922.772264999978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37922.772264999978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37922.772264999978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II'!E26*1.03</f>
        <v>41.417779885057399</v>
      </c>
      <c r="F26" s="93"/>
      <c r="G26" s="94"/>
      <c r="H26" s="95">
        <v>347.565</v>
      </c>
      <c r="I26" s="72">
        <f t="shared" ref="I26:I31" si="33">$E26*H26</f>
        <v>14395.370665749975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2540.3595292499958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16935.730194999971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16935.730194999971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16935.730194999971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II'!E27*1.03</f>
        <v>69.245064942528714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24067.160996749994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4247.1460582499985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28314.30705499999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28314.30705499999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28314.30705499999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II'!E28*1.03</f>
        <v>25.40469348659003</v>
      </c>
      <c r="F28" s="93"/>
      <c r="G28" s="94"/>
      <c r="H28" s="95">
        <v>887.4</v>
      </c>
      <c r="I28" s="72">
        <f t="shared" si="33"/>
        <v>22544.124999999993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3978.3749999999986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26522.499999999993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26522.499999999993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26522.499999999993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II'!E29*1.03</f>
        <v>25.40469348659003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22544.124999999993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3978.3749999999986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26522.499999999993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26522.499999999993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26522.499999999993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II'!E30*1.03</f>
        <v>25.40469348659003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22544.124999999993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3978.3749999999986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26522.499999999993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26522.499999999993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26522.499999999993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II'!E31*1.03</f>
        <v>18.291379310344801</v>
      </c>
      <c r="F31" s="93"/>
      <c r="G31" s="94"/>
      <c r="H31" s="95">
        <v>887.4</v>
      </c>
      <c r="I31" s="72">
        <f t="shared" si="33"/>
        <v>16231.769999999977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2864.4299999999957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19096.199999999972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19096.199999999972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19096.199999999972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85405.622090999925</v>
      </c>
      <c r="J32" s="101">
        <f t="shared" si="57"/>
        <v>2122.3649999999998</v>
      </c>
      <c r="K32" s="102">
        <f t="shared" si="57"/>
        <v>69155.410996749968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27275.476427249985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181836.50951499993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181836.50951499993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181836.50951499993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8832.2136605184951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1558.6259400914992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10390.839600609996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10390.839600609996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10390.839600609996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3944.3315624154934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696.05851101449889</v>
      </c>
      <c r="P36" s="98"/>
      <c r="Q36" s="72"/>
      <c r="R36" s="98"/>
      <c r="S36" s="72"/>
      <c r="T36" s="98"/>
      <c r="U36" s="276">
        <f t="shared" ref="U36:U41" si="66">U26*$E36</f>
        <v>4640.3900734299923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4640.3900734299923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4640.3900734299923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6594.4021131094987</v>
      </c>
      <c r="L37" s="98"/>
      <c r="M37" s="72">
        <f t="shared" si="64"/>
        <v>0</v>
      </c>
      <c r="N37" s="39"/>
      <c r="O37" s="72">
        <f t="shared" si="65"/>
        <v>1163.7180199604998</v>
      </c>
      <c r="P37" s="98"/>
      <c r="Q37" s="72"/>
      <c r="R37" s="98"/>
      <c r="S37" s="72"/>
      <c r="T37" s="98"/>
      <c r="U37" s="276">
        <f t="shared" si="66"/>
        <v>7758.1201330699978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7758.1201330699978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7758.1201330699978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2299.5007499999992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405.79424999999986</v>
      </c>
      <c r="P38" s="98"/>
      <c r="Q38" s="72"/>
      <c r="R38" s="98"/>
      <c r="S38" s="72"/>
      <c r="T38" s="98"/>
      <c r="U38" s="276">
        <f t="shared" si="66"/>
        <v>2705.2949999999992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2705.2949999999992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2705.2949999999992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2299.5007499999992</v>
      </c>
      <c r="L39" s="98"/>
      <c r="M39" s="72">
        <f t="shared" si="64"/>
        <v>0</v>
      </c>
      <c r="N39" s="39"/>
      <c r="O39" s="72">
        <f t="shared" si="65"/>
        <v>405.79424999999986</v>
      </c>
      <c r="P39" s="98"/>
      <c r="Q39" s="72"/>
      <c r="R39" s="98"/>
      <c r="S39" s="72"/>
      <c r="T39" s="98"/>
      <c r="U39" s="276">
        <f t="shared" si="66"/>
        <v>2705.2949999999992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2705.2949999999992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2705.2949999999992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2299.5007499999992</v>
      </c>
      <c r="L40" s="98"/>
      <c r="M40" s="72">
        <f t="shared" si="64"/>
        <v>0</v>
      </c>
      <c r="N40" s="39"/>
      <c r="O40" s="72">
        <f t="shared" si="65"/>
        <v>405.79424999999986</v>
      </c>
      <c r="P40" s="98"/>
      <c r="Q40" s="72"/>
      <c r="R40" s="98"/>
      <c r="S40" s="72"/>
      <c r="T40" s="98"/>
      <c r="U40" s="276">
        <f t="shared" si="66"/>
        <v>2705.2949999999992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2705.2949999999992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2705.2949999999992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97.390619999999856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17.186579999999974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114.57719999999983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114.57719999999983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112"/>
      <c r="BM41" s="79">
        <f t="shared" si="70"/>
        <v>114.57719999999983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15173.436592933987</v>
      </c>
      <c r="J42" s="114"/>
      <c r="K42" s="102">
        <f>SUM(K35:K41)</f>
        <v>11193.403613109498</v>
      </c>
      <c r="L42" s="114"/>
      <c r="M42" s="102">
        <f>SUM(M35:M41)</f>
        <v>0</v>
      </c>
      <c r="N42" s="99"/>
      <c r="O42" s="102">
        <f>SUM(O35:O41)</f>
        <v>4652.9718010664974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31019.81200710998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31019.81200710998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31019.81200710998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181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0.85</v>
      </c>
      <c r="K45" s="72">
        <f>$E45*J45</f>
        <v>5100</v>
      </c>
      <c r="L45" s="115">
        <v>0</v>
      </c>
      <c r="M45" s="72">
        <f>$E45*L45</f>
        <v>0</v>
      </c>
      <c r="N45" s="115">
        <v>0.15</v>
      </c>
      <c r="O45" s="72">
        <f>$E45*N45</f>
        <v>900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181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0.85</v>
      </c>
      <c r="K46" s="72">
        <f t="shared" ref="K46:K55" si="79">$E46*J46</f>
        <v>17000</v>
      </c>
      <c r="L46" s="115">
        <v>0</v>
      </c>
      <c r="M46" s="72">
        <f t="shared" ref="M46:M55" si="80">$E46*L46</f>
        <v>0</v>
      </c>
      <c r="N46" s="115">
        <v>0.15</v>
      </c>
      <c r="O46" s="72">
        <f t="shared" ref="O46:O55" si="81">$E46*N46</f>
        <v>3000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>
        <f t="shared" ref="BE46:BE54" si="84">$AI46</f>
        <v>0</v>
      </c>
      <c r="BF46" s="76">
        <f t="shared" si="75"/>
        <v>0</v>
      </c>
      <c r="BG46" s="98">
        <f t="shared" ref="BG46:BG55" si="85">$AT46</f>
        <v>0</v>
      </c>
      <c r="BH46" s="77">
        <f t="shared" si="76"/>
        <v>0</v>
      </c>
      <c r="BI46" s="216"/>
      <c r="BJ46" s="205"/>
      <c r="BK46" s="61"/>
      <c r="BL46" s="78">
        <f t="shared" ref="BL46:BL55" si="86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181</v>
      </c>
      <c r="D47" s="224" t="s">
        <v>130</v>
      </c>
      <c r="E47" s="92">
        <v>6000</v>
      </c>
      <c r="F47" s="93"/>
      <c r="G47" s="94"/>
      <c r="H47" s="115">
        <v>0.85</v>
      </c>
      <c r="I47" s="72">
        <f t="shared" si="78"/>
        <v>5100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0.15</v>
      </c>
      <c r="O47" s="72">
        <f t="shared" si="81"/>
        <v>900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>
        <f t="shared" si="84"/>
        <v>0</v>
      </c>
      <c r="BF47" s="76">
        <f t="shared" si="75"/>
        <v>0</v>
      </c>
      <c r="BG47" s="98">
        <f t="shared" si="85"/>
        <v>0</v>
      </c>
      <c r="BH47" s="77">
        <f t="shared" si="76"/>
        <v>0</v>
      </c>
      <c r="BI47" s="216"/>
      <c r="BJ47" s="205"/>
      <c r="BK47" s="61"/>
      <c r="BL47" s="78">
        <f t="shared" si="86"/>
        <v>1</v>
      </c>
      <c r="BM47" s="79">
        <f t="shared" si="77"/>
        <v>6000</v>
      </c>
    </row>
    <row r="48" spans="2:65">
      <c r="B48" s="35" t="s">
        <v>207</v>
      </c>
      <c r="C48" s="35" t="s">
        <v>181</v>
      </c>
      <c r="D48" s="224" t="s">
        <v>130</v>
      </c>
      <c r="E48" s="92">
        <v>6000</v>
      </c>
      <c r="F48" s="93"/>
      <c r="G48" s="94"/>
      <c r="H48" s="115">
        <v>0.85</v>
      </c>
      <c r="I48" s="72">
        <f t="shared" si="78"/>
        <v>5100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0.15</v>
      </c>
      <c r="O48" s="72">
        <f t="shared" si="81"/>
        <v>900</v>
      </c>
      <c r="P48" s="115"/>
      <c r="Q48" s="72"/>
      <c r="R48" s="115"/>
      <c r="S48" s="72"/>
      <c r="T48" s="98">
        <f t="shared" si="82"/>
        <v>1</v>
      </c>
      <c r="U48" s="276">
        <f t="shared" si="71"/>
        <v>6000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1</v>
      </c>
      <c r="BD48" s="75">
        <f t="shared" si="74"/>
        <v>6000</v>
      </c>
      <c r="BE48" s="98">
        <f t="shared" si="84"/>
        <v>0</v>
      </c>
      <c r="BF48" s="76">
        <f t="shared" si="75"/>
        <v>0</v>
      </c>
      <c r="BG48" s="98">
        <f t="shared" si="85"/>
        <v>0</v>
      </c>
      <c r="BH48" s="77">
        <f t="shared" si="76"/>
        <v>0</v>
      </c>
      <c r="BI48" s="216"/>
      <c r="BJ48" s="205"/>
      <c r="BK48" s="61"/>
      <c r="BL48" s="78">
        <f t="shared" si="86"/>
        <v>1</v>
      </c>
      <c r="BM48" s="79">
        <f t="shared" si="77"/>
        <v>6000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>
        <f t="shared" si="84"/>
        <v>0</v>
      </c>
      <c r="BF49" s="76">
        <f t="shared" si="75"/>
        <v>0</v>
      </c>
      <c r="BG49" s="98">
        <f t="shared" si="85"/>
        <v>0</v>
      </c>
      <c r="BH49" s="77">
        <f t="shared" si="76"/>
        <v>0</v>
      </c>
      <c r="BI49" s="216"/>
      <c r="BJ49" s="205"/>
      <c r="BK49" s="61"/>
      <c r="BL49" s="78">
        <f t="shared" si="86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>
        <f t="shared" si="84"/>
        <v>0</v>
      </c>
      <c r="BF50" s="76">
        <f t="shared" si="75"/>
        <v>0</v>
      </c>
      <c r="BG50" s="98">
        <f t="shared" si="85"/>
        <v>0</v>
      </c>
      <c r="BH50" s="77">
        <f t="shared" si="76"/>
        <v>0</v>
      </c>
      <c r="BI50" s="216"/>
      <c r="BJ50" s="205"/>
      <c r="BK50" s="61"/>
      <c r="BL50" s="78">
        <f t="shared" si="86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>
        <f t="shared" si="84"/>
        <v>0</v>
      </c>
      <c r="BF51" s="76">
        <f t="shared" si="75"/>
        <v>0</v>
      </c>
      <c r="BG51" s="98">
        <f t="shared" si="85"/>
        <v>0</v>
      </c>
      <c r="BH51" s="77">
        <f t="shared" si="76"/>
        <v>0</v>
      </c>
      <c r="BI51" s="216"/>
      <c r="BJ51" s="205"/>
      <c r="BK51" s="61"/>
      <c r="BL51" s="78">
        <f t="shared" si="86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>
        <f t="shared" si="84"/>
        <v>0</v>
      </c>
      <c r="BF52" s="76">
        <f t="shared" si="75"/>
        <v>0</v>
      </c>
      <c r="BG52" s="98">
        <f t="shared" si="85"/>
        <v>0</v>
      </c>
      <c r="BH52" s="77">
        <f t="shared" si="76"/>
        <v>0</v>
      </c>
      <c r="BI52" s="216"/>
      <c r="BJ52" s="205"/>
      <c r="BK52" s="61"/>
      <c r="BL52" s="78">
        <f t="shared" si="86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>
        <f t="shared" si="84"/>
        <v>0</v>
      </c>
      <c r="BF53" s="76">
        <f t="shared" si="75"/>
        <v>0</v>
      </c>
      <c r="BG53" s="98">
        <f t="shared" si="85"/>
        <v>0</v>
      </c>
      <c r="BH53" s="77">
        <f t="shared" si="76"/>
        <v>0</v>
      </c>
      <c r="BI53" s="216"/>
      <c r="BJ53" s="205"/>
      <c r="BK53" s="61"/>
      <c r="BL53" s="78">
        <f t="shared" si="86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>
        <f t="shared" si="84"/>
        <v>0</v>
      </c>
      <c r="BF54" s="76">
        <f t="shared" si="75"/>
        <v>0</v>
      </c>
      <c r="BG54" s="98">
        <f t="shared" si="85"/>
        <v>0</v>
      </c>
      <c r="BH54" s="77">
        <f t="shared" si="76"/>
        <v>0</v>
      </c>
      <c r="BI54" s="216"/>
      <c r="BJ54" s="205"/>
      <c r="BK54" s="61"/>
      <c r="BL54" s="78">
        <f t="shared" si="86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si="80"/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7">$E55*P55</f>
        <v>0</v>
      </c>
      <c r="R55" s="115">
        <v>0</v>
      </c>
      <c r="S55" s="72">
        <f t="shared" ref="S55" si="88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9">$E55*W55</f>
        <v>0</v>
      </c>
      <c r="Y55" s="115">
        <v>0</v>
      </c>
      <c r="Z55" s="72">
        <f t="shared" ref="Z55" si="90">$E55*Y55</f>
        <v>0</v>
      </c>
      <c r="AA55" s="115">
        <v>0</v>
      </c>
      <c r="AB55" s="72">
        <f t="shared" ref="AB55" si="91">$E55*AA55</f>
        <v>0</v>
      </c>
      <c r="AC55" s="115">
        <v>0</v>
      </c>
      <c r="AD55" s="72">
        <f t="shared" ref="AD55" si="92">$E55*AC55</f>
        <v>0</v>
      </c>
      <c r="AE55" s="115">
        <v>0</v>
      </c>
      <c r="AF55" s="72">
        <f t="shared" ref="AF55" si="93">$E55*AE55</f>
        <v>0</v>
      </c>
      <c r="AG55" s="115">
        <v>0</v>
      </c>
      <c r="AH55" s="72">
        <f t="shared" ref="AH55" si="94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5">$E55*AL55</f>
        <v>0</v>
      </c>
      <c r="AN55" s="115">
        <v>0</v>
      </c>
      <c r="AO55" s="72">
        <f t="shared" ref="AO55" si="96">$E55*AN55</f>
        <v>0</v>
      </c>
      <c r="AP55" s="115">
        <v>0</v>
      </c>
      <c r="AQ55" s="72">
        <f t="shared" ref="AQ55" si="97">$E55*AP55</f>
        <v>0</v>
      </c>
      <c r="AR55" s="115">
        <v>0</v>
      </c>
      <c r="AS55" s="72">
        <f t="shared" ref="AS55" si="98">$E55*AR55</f>
        <v>0</v>
      </c>
      <c r="AT55" s="98">
        <f t="shared" ref="AT55" si="99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100">$AI55</f>
        <v>0</v>
      </c>
      <c r="BF55" s="76">
        <f t="shared" si="75"/>
        <v>0</v>
      </c>
      <c r="BG55" s="98">
        <f t="shared" si="85"/>
        <v>0</v>
      </c>
      <c r="BH55" s="77">
        <f t="shared" si="76"/>
        <v>0</v>
      </c>
      <c r="BI55" s="216"/>
      <c r="BJ55" s="205"/>
      <c r="BK55" s="61"/>
      <c r="BL55" s="78">
        <f t="shared" si="86"/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10200</v>
      </c>
      <c r="J56" s="117"/>
      <c r="K56" s="102">
        <f>SUM(K45:K55)</f>
        <v>22100</v>
      </c>
      <c r="L56" s="117"/>
      <c r="M56" s="102">
        <f>SUM(M45:M55)</f>
        <v>0</v>
      </c>
      <c r="N56" s="117"/>
      <c r="O56" s="102">
        <f>SUM(O45:O55)</f>
        <v>5700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38000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38000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38000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1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2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3">$E59*AT59</f>
        <v>0</v>
      </c>
      <c r="BA59" s="97"/>
      <c r="BC59" s="98">
        <f>$T59</f>
        <v>0</v>
      </c>
      <c r="BD59" s="75">
        <f t="shared" ref="BD59" si="104">$E59*BC59</f>
        <v>0</v>
      </c>
      <c r="BE59" s="98">
        <f>$AI59</f>
        <v>0</v>
      </c>
      <c r="BF59" s="76">
        <f t="shared" ref="BF59:BF60" si="105">$E59*BE59</f>
        <v>0</v>
      </c>
      <c r="BG59" s="98">
        <f>$AT59</f>
        <v>0</v>
      </c>
      <c r="BH59" s="77">
        <f t="shared" ref="BH59:BH60" si="106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7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8">$E60*H60</f>
        <v>0</v>
      </c>
      <c r="J60" s="115">
        <v>0</v>
      </c>
      <c r="K60" s="72">
        <f t="shared" si="108"/>
        <v>0</v>
      </c>
      <c r="L60" s="115">
        <v>0</v>
      </c>
      <c r="M60" s="72">
        <f t="shared" ref="M60" si="109">$E60*L60</f>
        <v>0</v>
      </c>
      <c r="N60" s="115">
        <v>0</v>
      </c>
      <c r="O60" s="72">
        <f t="shared" ref="O60" si="110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1">$E60*R60</f>
        <v>0</v>
      </c>
      <c r="T60" s="98">
        <f t="shared" ref="T60" si="112">H60+J60+L60+N60+P60+R60</f>
        <v>0</v>
      </c>
      <c r="U60" s="276">
        <f t="shared" si="101"/>
        <v>0</v>
      </c>
      <c r="W60" s="115">
        <v>0</v>
      </c>
      <c r="X60" s="72">
        <f t="shared" ref="X60" si="113">$E60*W60</f>
        <v>0</v>
      </c>
      <c r="Y60" s="115">
        <v>0</v>
      </c>
      <c r="Z60" s="72">
        <f t="shared" ref="Z60" si="114">$E60*Y60</f>
        <v>0</v>
      </c>
      <c r="AA60" s="115">
        <v>0</v>
      </c>
      <c r="AB60" s="72">
        <f t="shared" ref="AB60" si="115">$E60*AA60</f>
        <v>0</v>
      </c>
      <c r="AC60" s="115">
        <v>0</v>
      </c>
      <c r="AD60" s="72">
        <f t="shared" ref="AD60" si="116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7">$E60*AG60</f>
        <v>0</v>
      </c>
      <c r="AI60" s="98">
        <f>W60+Y60+AA60+AC60+AE60+AG60</f>
        <v>0</v>
      </c>
      <c r="AJ60" s="290">
        <f t="shared" si="102"/>
        <v>0</v>
      </c>
      <c r="AL60" s="115">
        <v>0</v>
      </c>
      <c r="AM60" s="72">
        <f t="shared" ref="AM60" si="118">$E60*AL60</f>
        <v>0</v>
      </c>
      <c r="AN60" s="115">
        <v>0</v>
      </c>
      <c r="AO60" s="72">
        <f t="shared" ref="AO60" si="119">$E60*AN60</f>
        <v>0</v>
      </c>
      <c r="AP60" s="115">
        <v>0</v>
      </c>
      <c r="AQ60" s="72">
        <f t="shared" ref="AQ60" si="120">$E60*AP60</f>
        <v>0</v>
      </c>
      <c r="AR60" s="115">
        <v>0</v>
      </c>
      <c r="AS60" s="72">
        <f t="shared" ref="AS60" si="121">$E60*AR60</f>
        <v>0</v>
      </c>
      <c r="AT60" s="98">
        <f t="shared" ref="AT60" si="122">AL60+AN60+AP60+AR60</f>
        <v>0</v>
      </c>
      <c r="AU60" s="283">
        <f t="shared" si="103"/>
        <v>0</v>
      </c>
      <c r="BA60" s="97"/>
      <c r="BC60" s="98">
        <f t="shared" ref="BC60" si="123">$T60</f>
        <v>0</v>
      </c>
      <c r="BD60" s="75">
        <f>$E60*BC60</f>
        <v>0</v>
      </c>
      <c r="BE60" s="98">
        <f t="shared" ref="BE60" si="124">$AI60</f>
        <v>0</v>
      </c>
      <c r="BF60" s="76">
        <f t="shared" si="105"/>
        <v>0</v>
      </c>
      <c r="BG60" s="98">
        <f t="shared" ref="BG60" si="125">$AT60</f>
        <v>0</v>
      </c>
      <c r="BH60" s="77">
        <f t="shared" si="106"/>
        <v>0</v>
      </c>
      <c r="BI60" s="216"/>
      <c r="BJ60" s="205"/>
      <c r="BK60" s="61"/>
      <c r="BL60" s="78">
        <f t="shared" ref="BL60" si="126">BC60+BE60+BG60</f>
        <v>0</v>
      </c>
      <c r="BM60" s="79">
        <f t="shared" si="107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7">$E64*BC64</f>
        <v>0</v>
      </c>
      <c r="BE64" s="98">
        <f>$AI64</f>
        <v>0</v>
      </c>
      <c r="BF64" s="76">
        <f t="shared" ref="BF64:BF65" si="128">$E64*BE64</f>
        <v>0</v>
      </c>
      <c r="BG64" s="98">
        <f>$AT64</f>
        <v>0</v>
      </c>
      <c r="BH64" s="77">
        <f t="shared" ref="BH64:BH65" si="129">$E64*BG64</f>
        <v>0</v>
      </c>
      <c r="BI64" s="215"/>
      <c r="BJ64" s="205"/>
      <c r="BK64" s="61"/>
      <c r="BL64" s="78">
        <f t="shared" ref="BL64:BL65" si="130">BC64+BE64+BG64</f>
        <v>0</v>
      </c>
      <c r="BM64" s="79">
        <f t="shared" ref="BM64:BM65" si="131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2">H65+J65+L65+N65+P65+R65</f>
        <v>0</v>
      </c>
      <c r="U65" s="276">
        <f t="shared" ref="U65" si="133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4">W65+Y65+AA65+AC65+AE65+AG65</f>
        <v>0</v>
      </c>
      <c r="AJ65" s="290">
        <f t="shared" ref="AJ65" si="135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6">AL65+AN65+AP65+AR65</f>
        <v>0</v>
      </c>
      <c r="AU65" s="283">
        <f t="shared" ref="AU65" si="137">$E65*AT65</f>
        <v>0</v>
      </c>
      <c r="BA65" s="97"/>
      <c r="BC65" s="98">
        <f t="shared" ref="BC65" si="138">$T65</f>
        <v>0</v>
      </c>
      <c r="BD65" s="75">
        <f t="shared" si="127"/>
        <v>0</v>
      </c>
      <c r="BE65" s="98">
        <f t="shared" ref="BE65" si="139">$AI65</f>
        <v>0</v>
      </c>
      <c r="BF65" s="76">
        <f t="shared" si="128"/>
        <v>0</v>
      </c>
      <c r="BG65" s="98">
        <f t="shared" ref="BG65" si="140">$AT65</f>
        <v>0</v>
      </c>
      <c r="BH65" s="77">
        <f t="shared" si="129"/>
        <v>0</v>
      </c>
      <c r="BI65" s="215"/>
      <c r="BJ65" s="205"/>
      <c r="BK65" s="61"/>
      <c r="BL65" s="78">
        <f t="shared" si="130"/>
        <v>0</v>
      </c>
      <c r="BM65" s="79">
        <f t="shared" si="131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208</v>
      </c>
      <c r="C69" s="35" t="s">
        <v>208</v>
      </c>
      <c r="D69" s="247" t="s">
        <v>179</v>
      </c>
      <c r="E69" s="92">
        <v>199098</v>
      </c>
      <c r="F69" s="262" t="s">
        <v>163</v>
      </c>
      <c r="G69" s="94"/>
      <c r="H69" s="115">
        <v>0</v>
      </c>
      <c r="I69" s="72">
        <f t="shared" ref="I69:K70" si="141">$E69*H69</f>
        <v>0</v>
      </c>
      <c r="J69" s="115">
        <v>0</v>
      </c>
      <c r="K69" s="72">
        <f t="shared" si="141"/>
        <v>0</v>
      </c>
      <c r="L69" s="115">
        <v>0.85</v>
      </c>
      <c r="M69" s="72">
        <f t="shared" ref="M69:M70" si="142">$E69*L69</f>
        <v>169233.3</v>
      </c>
      <c r="N69" s="115">
        <v>0.15</v>
      </c>
      <c r="O69" s="72">
        <f t="shared" ref="O69:O70" si="143">$E69*N69</f>
        <v>29864.699999999997</v>
      </c>
      <c r="P69" s="115">
        <v>0</v>
      </c>
      <c r="Q69" s="72">
        <f t="shared" ref="Q69:Q70" si="144">$E69*P69</f>
        <v>0</v>
      </c>
      <c r="R69" s="115">
        <v>0</v>
      </c>
      <c r="S69" s="72">
        <f t="shared" ref="S69:S70" si="145">$E69*R69</f>
        <v>0</v>
      </c>
      <c r="T69" s="98">
        <f>H69+J69+L69+N69+P69+R69</f>
        <v>1</v>
      </c>
      <c r="U69" s="276">
        <f>$E69*T69</f>
        <v>199098</v>
      </c>
      <c r="W69" s="115">
        <v>0</v>
      </c>
      <c r="X69" s="72">
        <f t="shared" ref="X69:X70" si="146">$E69*W69</f>
        <v>0</v>
      </c>
      <c r="Y69" s="115">
        <v>0</v>
      </c>
      <c r="Z69" s="72">
        <f t="shared" ref="Z69:Z70" si="147">$E69*Y69</f>
        <v>0</v>
      </c>
      <c r="AA69" s="115">
        <v>0</v>
      </c>
      <c r="AB69" s="72">
        <f t="shared" ref="AB69:AB70" si="148">$E69*AA69</f>
        <v>0</v>
      </c>
      <c r="AC69" s="115">
        <v>0</v>
      </c>
      <c r="AD69" s="72">
        <f t="shared" ref="AD69:AD70" si="149">$E69*AC69</f>
        <v>0</v>
      </c>
      <c r="AE69" s="115">
        <v>0</v>
      </c>
      <c r="AF69" s="72">
        <f t="shared" ref="AF69:AF70" si="150">$E69*AE69</f>
        <v>0</v>
      </c>
      <c r="AG69" s="115">
        <v>0</v>
      </c>
      <c r="AH69" s="72">
        <f t="shared" ref="AH69:AH70" si="151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2">$E69*AL69</f>
        <v>0</v>
      </c>
      <c r="AN69" s="115">
        <v>0</v>
      </c>
      <c r="AO69" s="72">
        <f t="shared" ref="AO69:AO70" si="153">$E69*AN69</f>
        <v>0</v>
      </c>
      <c r="AP69" s="115">
        <v>0</v>
      </c>
      <c r="AQ69" s="72">
        <f t="shared" ref="AQ69:AQ70" si="154">$E69*AP69</f>
        <v>0</v>
      </c>
      <c r="AR69" s="115">
        <v>0</v>
      </c>
      <c r="AS69" s="72">
        <f t="shared" ref="AS69:AS70" si="155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199098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199098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1"/>
        <v>0</v>
      </c>
      <c r="J70" s="115">
        <v>0</v>
      </c>
      <c r="K70" s="72">
        <f t="shared" si="141"/>
        <v>0</v>
      </c>
      <c r="L70" s="115">
        <v>0</v>
      </c>
      <c r="M70" s="72">
        <f t="shared" si="142"/>
        <v>0</v>
      </c>
      <c r="N70" s="115">
        <v>0</v>
      </c>
      <c r="O70" s="72">
        <f t="shared" si="143"/>
        <v>0</v>
      </c>
      <c r="P70" s="115">
        <v>0</v>
      </c>
      <c r="Q70" s="72">
        <f t="shared" si="144"/>
        <v>0</v>
      </c>
      <c r="R70" s="115">
        <v>0</v>
      </c>
      <c r="S70" s="72">
        <f t="shared" si="145"/>
        <v>0</v>
      </c>
      <c r="T70" s="98">
        <f>H70+J70+L70+N70+P70+R70</f>
        <v>0</v>
      </c>
      <c r="U70" s="276">
        <f t="shared" ref="U70" si="156">$E70*T70</f>
        <v>0</v>
      </c>
      <c r="W70" s="115">
        <v>0</v>
      </c>
      <c r="X70" s="72">
        <f t="shared" si="146"/>
        <v>0</v>
      </c>
      <c r="Y70" s="115">
        <v>0</v>
      </c>
      <c r="Z70" s="72">
        <f t="shared" si="147"/>
        <v>0</v>
      </c>
      <c r="AA70" s="115">
        <v>0</v>
      </c>
      <c r="AB70" s="72">
        <f t="shared" si="148"/>
        <v>0</v>
      </c>
      <c r="AC70" s="115">
        <v>0</v>
      </c>
      <c r="AD70" s="72">
        <f t="shared" si="149"/>
        <v>0</v>
      </c>
      <c r="AE70" s="115">
        <v>0</v>
      </c>
      <c r="AF70" s="72">
        <f t="shared" si="150"/>
        <v>0</v>
      </c>
      <c r="AG70" s="115">
        <v>0</v>
      </c>
      <c r="AH70" s="72">
        <f t="shared" si="151"/>
        <v>0</v>
      </c>
      <c r="AI70" s="98">
        <f>W70+Y70+AA70+AC70+AE70+AG70</f>
        <v>0</v>
      </c>
      <c r="AJ70" s="290">
        <f t="shared" ref="AJ70" si="157">$E70*AI70</f>
        <v>0</v>
      </c>
      <c r="AL70" s="115">
        <v>0</v>
      </c>
      <c r="AM70" s="72">
        <f t="shared" si="152"/>
        <v>0</v>
      </c>
      <c r="AN70" s="115">
        <v>0</v>
      </c>
      <c r="AO70" s="72">
        <f t="shared" si="153"/>
        <v>0</v>
      </c>
      <c r="AP70" s="115">
        <v>0</v>
      </c>
      <c r="AQ70" s="72">
        <f t="shared" si="154"/>
        <v>0</v>
      </c>
      <c r="AR70" s="115">
        <v>0</v>
      </c>
      <c r="AS70" s="72">
        <f t="shared" si="155"/>
        <v>0</v>
      </c>
      <c r="AT70" s="98">
        <f t="shared" ref="AT70" si="158">AL70+AN70+AP70+AR70</f>
        <v>0</v>
      </c>
      <c r="AU70" s="283">
        <f t="shared" ref="AU70" si="159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0">$AI70</f>
        <v>0</v>
      </c>
      <c r="BF70" s="76">
        <f>$E70*BE70</f>
        <v>0</v>
      </c>
      <c r="BG70" s="98">
        <f t="shared" ref="BG70" si="161">$AT70</f>
        <v>0</v>
      </c>
      <c r="BH70" s="77">
        <f>$E70*BG70</f>
        <v>0</v>
      </c>
      <c r="BI70" s="216"/>
      <c r="BJ70" s="205"/>
      <c r="BK70" s="61"/>
      <c r="BL70" s="78">
        <f t="shared" ref="BL70" si="162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169233.3</v>
      </c>
      <c r="N71" s="99"/>
      <c r="O71" s="102">
        <f>SUM(O69:O70)</f>
        <v>29864.699999999997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199098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199098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199098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F101" sqref="F101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189"/>
      <c r="C7" s="189"/>
      <c r="D7" s="189"/>
      <c r="E7" s="189"/>
      <c r="F7" s="190">
        <v>1</v>
      </c>
      <c r="G7" s="190"/>
      <c r="H7" s="191"/>
      <c r="I7" s="191"/>
      <c r="J7" s="191"/>
      <c r="K7" s="191"/>
      <c r="L7" s="191"/>
      <c r="M7" s="191">
        <v>15000</v>
      </c>
      <c r="N7" s="249"/>
      <c r="O7" s="192">
        <f>SUM(H7:M7)</f>
        <v>15000</v>
      </c>
      <c r="P7" s="192">
        <f>F7*O7</f>
        <v>15000</v>
      </c>
    </row>
    <row r="8" spans="1:16">
      <c r="A8" s="188"/>
      <c r="B8" s="189"/>
      <c r="C8" s="189"/>
      <c r="D8" s="193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5" t="s">
        <v>92</v>
      </c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85"/>
      <c r="P9" s="198">
        <f>SUM(P7:P8)</f>
        <v>15000</v>
      </c>
    </row>
    <row r="10" spans="1:16">
      <c r="A10" s="188"/>
      <c r="B10" s="189"/>
      <c r="C10" s="189"/>
      <c r="D10" s="189"/>
      <c r="E10" s="189"/>
      <c r="F10" s="190">
        <v>1</v>
      </c>
      <c r="G10" s="190"/>
      <c r="H10" s="191"/>
      <c r="I10" s="191"/>
      <c r="J10" s="191"/>
      <c r="K10" s="191"/>
      <c r="L10" s="191"/>
      <c r="M10" s="191">
        <v>12000</v>
      </c>
      <c r="N10" s="249"/>
      <c r="O10" s="192">
        <f>SUM(H10:M10)</f>
        <v>12000</v>
      </c>
      <c r="P10" s="192">
        <f>F10*O10</f>
        <v>12000</v>
      </c>
    </row>
    <row r="11" spans="1:16">
      <c r="A11" s="188"/>
      <c r="B11" s="189"/>
      <c r="C11" s="189"/>
      <c r="D11" s="193"/>
      <c r="E11" s="189"/>
      <c r="F11" s="190"/>
      <c r="G11" s="190"/>
      <c r="H11" s="191"/>
      <c r="I11" s="191"/>
      <c r="J11" s="191"/>
      <c r="K11" s="191"/>
      <c r="L11" s="191"/>
      <c r="M11" s="191"/>
      <c r="N11" s="249"/>
      <c r="O11" s="192">
        <f>SUM(H11:M11)</f>
        <v>0</v>
      </c>
      <c r="P11" s="192">
        <f t="shared" ref="P11" si="1">F11*O11</f>
        <v>0</v>
      </c>
    </row>
    <row r="12" spans="1:16" ht="18" customHeight="1">
      <c r="A12" s="385" t="s">
        <v>94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198">
        <f>SUM(P10:P11)</f>
        <v>12000</v>
      </c>
    </row>
    <row r="13" spans="1:16">
      <c r="A13" s="188"/>
      <c r="B13" s="189"/>
      <c r="C13" s="189"/>
      <c r="D13" s="189"/>
      <c r="E13" s="189"/>
      <c r="F13" s="190">
        <v>1</v>
      </c>
      <c r="G13" s="190"/>
      <c r="H13" s="191"/>
      <c r="I13" s="191"/>
      <c r="J13" s="191"/>
      <c r="K13" s="191"/>
      <c r="L13" s="191"/>
      <c r="M13" s="191">
        <v>12000</v>
      </c>
      <c r="N13" s="249"/>
      <c r="O13" s="192">
        <f>SUM(H13:M13)</f>
        <v>12000</v>
      </c>
      <c r="P13" s="192">
        <f>F13*O13</f>
        <v>12000</v>
      </c>
    </row>
    <row r="14" spans="1:16">
      <c r="A14" s="188"/>
      <c r="B14" s="189"/>
      <c r="C14" s="189"/>
      <c r="D14" s="193"/>
      <c r="E14" s="189"/>
      <c r="F14" s="190"/>
      <c r="G14" s="190"/>
      <c r="H14" s="191"/>
      <c r="I14" s="191"/>
      <c r="J14" s="191"/>
      <c r="K14" s="191"/>
      <c r="L14" s="191"/>
      <c r="M14" s="191"/>
      <c r="N14" s="249"/>
      <c r="O14" s="192">
        <f>SUM(H14:M14)</f>
        <v>0</v>
      </c>
      <c r="P14" s="192">
        <f t="shared" ref="P14" si="2">F14*O14</f>
        <v>0</v>
      </c>
    </row>
    <row r="15" spans="1:16" ht="18" customHeight="1">
      <c r="A15" s="385" t="s">
        <v>96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198">
        <f>SUM(P13:P14)</f>
        <v>12000</v>
      </c>
    </row>
  </sheetData>
  <mergeCells count="3">
    <mergeCell ref="A9:O9"/>
    <mergeCell ref="A12:O12"/>
    <mergeCell ref="A15:O15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4" sqref="B14"/>
    </sheetView>
  </sheetViews>
  <sheetFormatPr baseColWidth="10" defaultColWidth="8.7109375" defaultRowHeight="13" x14ac:dyDescent="0"/>
  <cols>
    <col min="1" max="1" width="48.5703125" customWidth="1"/>
    <col min="2" max="2" width="12.42578125" style="207" customWidth="1"/>
  </cols>
  <sheetData>
    <row r="1" spans="1:11" s="36" customFormat="1" ht="23">
      <c r="A1" s="34" t="str">
        <f>'Summary by Task'!A1</f>
        <v>University of Floirda</v>
      </c>
      <c r="B1" s="61"/>
      <c r="C1" s="41"/>
      <c r="D1" s="146"/>
      <c r="E1" s="146"/>
      <c r="F1" s="146"/>
      <c r="G1" s="146"/>
      <c r="H1" s="146"/>
      <c r="I1" s="146"/>
      <c r="J1" s="41"/>
      <c r="K1" s="146"/>
    </row>
    <row r="2" spans="1:11" s="37" customFormat="1" ht="23">
      <c r="A2" s="34" t="str">
        <f>'Summary by Task'!A2</f>
        <v>Dr. Jenshan Lin</v>
      </c>
      <c r="B2" s="200"/>
      <c r="C2" s="44"/>
      <c r="D2" s="147"/>
      <c r="E2" s="147"/>
      <c r="F2" s="147"/>
      <c r="G2" s="147"/>
      <c r="H2" s="147"/>
      <c r="I2" s="147"/>
      <c r="J2" s="44"/>
      <c r="K2" s="146"/>
    </row>
    <row r="3" spans="1:11" ht="23">
      <c r="A3" s="295" t="s">
        <v>149</v>
      </c>
    </row>
    <row r="4" spans="1:11" ht="18">
      <c r="A4" s="296" t="s">
        <v>173</v>
      </c>
    </row>
    <row r="5" spans="1:11" ht="18">
      <c r="A5" s="208"/>
    </row>
    <row r="6" spans="1:11" ht="18">
      <c r="A6" s="209" t="s">
        <v>127</v>
      </c>
      <c r="B6" s="210" t="s">
        <v>9</v>
      </c>
    </row>
    <row r="7" spans="1:11">
      <c r="A7" s="422" t="s">
        <v>209</v>
      </c>
      <c r="B7" s="211">
        <v>50884</v>
      </c>
    </row>
    <row r="8" spans="1:11">
      <c r="A8" s="422" t="s">
        <v>210</v>
      </c>
      <c r="B8" s="211">
        <v>2000</v>
      </c>
    </row>
    <row r="9" spans="1:11" ht="14">
      <c r="A9" s="212" t="s">
        <v>100</v>
      </c>
      <c r="B9" s="213">
        <f>SUM(B7:B8)</f>
        <v>52884</v>
      </c>
    </row>
    <row r="10" spans="1:11">
      <c r="A10" s="422" t="s">
        <v>209</v>
      </c>
      <c r="B10" s="211">
        <v>35618</v>
      </c>
    </row>
    <row r="11" spans="1:11">
      <c r="A11" s="422" t="s">
        <v>210</v>
      </c>
      <c r="B11" s="211">
        <v>2000</v>
      </c>
    </row>
    <row r="12" spans="1:11" ht="14">
      <c r="A12" s="212" t="s">
        <v>68</v>
      </c>
      <c r="B12" s="213">
        <f>SUM(B10:B11)</f>
        <v>37618</v>
      </c>
    </row>
    <row r="13" spans="1:11">
      <c r="A13" s="422" t="s">
        <v>209</v>
      </c>
      <c r="B13" s="211">
        <v>37399</v>
      </c>
    </row>
    <row r="14" spans="1:11">
      <c r="A14" s="422" t="s">
        <v>210</v>
      </c>
      <c r="B14" s="211">
        <v>2000</v>
      </c>
    </row>
    <row r="15" spans="1:11" ht="14">
      <c r="A15" s="212" t="s">
        <v>69</v>
      </c>
      <c r="B15" s="213">
        <f>SUM(B13:B14)</f>
        <v>39399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workbookViewId="0">
      <selection activeCell="F43" sqref="F43"/>
    </sheetView>
  </sheetViews>
  <sheetFormatPr baseColWidth="10" defaultColWidth="8.7109375" defaultRowHeight="14" x14ac:dyDescent="0"/>
  <cols>
    <col min="1" max="1" width="11.140625" style="175" customWidth="1"/>
    <col min="2" max="13" width="11.140625" style="182" customWidth="1"/>
    <col min="14" max="14" width="17.140625" style="181" customWidth="1"/>
    <col min="15" max="16384" width="8.7109375" style="175"/>
  </cols>
  <sheetData>
    <row r="1" spans="1:14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4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4" s="37" customFormat="1" ht="23">
      <c r="A3" s="46" t="s">
        <v>137</v>
      </c>
      <c r="D3" s="44"/>
      <c r="E3" s="147"/>
      <c r="F3" s="147"/>
      <c r="G3" s="147"/>
      <c r="H3" s="147"/>
      <c r="I3" s="147"/>
      <c r="J3" s="147"/>
      <c r="K3" s="44"/>
      <c r="L3" s="146"/>
    </row>
    <row r="5" spans="1:14" ht="18">
      <c r="A5" s="389" t="s">
        <v>170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</row>
    <row r="6" spans="1:14">
      <c r="A6" s="30" t="s">
        <v>102</v>
      </c>
      <c r="B6" s="390" t="s">
        <v>103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</row>
    <row r="7" spans="1:14">
      <c r="A7" s="32" t="s">
        <v>104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</row>
    <row r="8" spans="1:14">
      <c r="A8" s="176">
        <v>2017</v>
      </c>
      <c r="B8" s="177"/>
      <c r="C8" s="177"/>
      <c r="D8" s="177"/>
      <c r="E8" s="177"/>
      <c r="F8" s="177"/>
      <c r="G8" s="177"/>
      <c r="H8" s="177"/>
      <c r="I8" s="177"/>
      <c r="J8" s="177"/>
      <c r="K8" s="299">
        <v>43978.06</v>
      </c>
      <c r="L8" s="299">
        <v>43978.06</v>
      </c>
      <c r="M8" s="299">
        <v>43978.06</v>
      </c>
      <c r="N8" s="31">
        <f>SUM(B8:M8)</f>
        <v>131934.18</v>
      </c>
    </row>
    <row r="9" spans="1:14">
      <c r="A9" s="176">
        <v>2018</v>
      </c>
      <c r="B9" s="299">
        <v>43978.06</v>
      </c>
      <c r="C9" s="299">
        <v>43978.06</v>
      </c>
      <c r="D9" s="299">
        <v>43978.06</v>
      </c>
      <c r="E9" s="299">
        <v>43978.06</v>
      </c>
      <c r="F9" s="299">
        <v>43978.06</v>
      </c>
      <c r="G9" s="299">
        <v>43978.06</v>
      </c>
      <c r="H9" s="299">
        <v>43978.06</v>
      </c>
      <c r="I9" s="299">
        <v>43978.06</v>
      </c>
      <c r="J9" s="299">
        <v>43978.06</v>
      </c>
      <c r="K9" s="299">
        <v>43978.06</v>
      </c>
      <c r="L9" s="299">
        <v>43978.06</v>
      </c>
      <c r="M9" s="299">
        <v>43978.06</v>
      </c>
      <c r="N9" s="31">
        <f>SUM(B9:M9)</f>
        <v>527736.72</v>
      </c>
    </row>
    <row r="10" spans="1:14">
      <c r="A10" s="176">
        <v>2019</v>
      </c>
      <c r="B10" s="299">
        <v>43978.06</v>
      </c>
      <c r="C10" s="299">
        <v>43978.06</v>
      </c>
      <c r="D10" s="299">
        <v>43978.06</v>
      </c>
      <c r="E10" s="177"/>
      <c r="F10" s="177"/>
      <c r="G10" s="177"/>
      <c r="H10" s="177"/>
      <c r="I10" s="177"/>
      <c r="J10" s="177"/>
      <c r="K10" s="177"/>
      <c r="L10" s="177"/>
      <c r="M10" s="177"/>
      <c r="N10" s="31">
        <f>SUM(B10:M10)</f>
        <v>131934.18</v>
      </c>
    </row>
    <row r="11" spans="1:14" ht="18">
      <c r="A11" s="386" t="s">
        <v>105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8"/>
      <c r="N11" s="178">
        <f>SUM(N8:N10)</f>
        <v>791605.07999999984</v>
      </c>
    </row>
    <row r="13" spans="1:14" ht="18">
      <c r="A13" s="389" t="s">
        <v>171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389"/>
    </row>
    <row r="14" spans="1:14">
      <c r="A14" s="30" t="s">
        <v>102</v>
      </c>
      <c r="B14" s="391" t="s">
        <v>211</v>
      </c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</row>
    <row r="15" spans="1:14">
      <c r="A15" s="32" t="s">
        <v>104</v>
      </c>
      <c r="B15" s="33" t="s">
        <v>55</v>
      </c>
      <c r="C15" s="33" t="s">
        <v>56</v>
      </c>
      <c r="D15" s="33" t="s">
        <v>57</v>
      </c>
      <c r="E15" s="33" t="s">
        <v>58</v>
      </c>
      <c r="F15" s="33" t="s">
        <v>59</v>
      </c>
      <c r="G15" s="33" t="s">
        <v>60</v>
      </c>
      <c r="H15" s="33" t="s">
        <v>61</v>
      </c>
      <c r="I15" s="33" t="s">
        <v>62</v>
      </c>
      <c r="J15" s="33" t="s">
        <v>63</v>
      </c>
      <c r="K15" s="33" t="s">
        <v>64</v>
      </c>
      <c r="L15" s="33" t="s">
        <v>65</v>
      </c>
      <c r="M15" s="33" t="s">
        <v>66</v>
      </c>
      <c r="N15" s="33" t="s">
        <v>67</v>
      </c>
    </row>
    <row r="16" spans="1:14">
      <c r="A16" s="176">
        <v>2019</v>
      </c>
      <c r="B16" s="179"/>
      <c r="C16" s="179"/>
      <c r="D16" s="179"/>
      <c r="E16" s="299">
        <v>52300.67</v>
      </c>
      <c r="F16" s="299">
        <v>52300.67</v>
      </c>
      <c r="G16" s="299">
        <v>52300.67</v>
      </c>
      <c r="H16" s="299">
        <v>52300.67</v>
      </c>
      <c r="I16" s="299">
        <v>52300.67</v>
      </c>
      <c r="J16" s="299">
        <v>52300.67</v>
      </c>
      <c r="K16" s="299">
        <v>52300.67</v>
      </c>
      <c r="L16" s="299">
        <v>52300.67</v>
      </c>
      <c r="M16" s="299">
        <v>52300.67</v>
      </c>
      <c r="N16" s="31">
        <f>SUM(B16:M16)</f>
        <v>470706.02999999991</v>
      </c>
    </row>
    <row r="17" spans="1:14">
      <c r="A17" s="176">
        <v>2020</v>
      </c>
      <c r="B17" s="299">
        <v>52300.67</v>
      </c>
      <c r="C17" s="299">
        <v>52300.67</v>
      </c>
      <c r="D17" s="299">
        <v>52300.67</v>
      </c>
      <c r="E17" s="179"/>
      <c r="F17" s="179"/>
      <c r="G17" s="179"/>
      <c r="H17" s="179"/>
      <c r="I17" s="179"/>
      <c r="J17" s="179"/>
      <c r="K17" s="179"/>
      <c r="L17" s="179"/>
      <c r="M17" s="179"/>
      <c r="N17" s="31">
        <f>SUM(B17:M17)</f>
        <v>156902.01</v>
      </c>
    </row>
    <row r="18" spans="1:14" hidden="1">
      <c r="A18" s="176">
        <v>2021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179"/>
      <c r="L18" s="179"/>
      <c r="M18" s="179"/>
      <c r="N18" s="31">
        <f>SUM(B18:M18)</f>
        <v>0</v>
      </c>
    </row>
    <row r="19" spans="1:14" ht="18">
      <c r="A19" s="386"/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8"/>
      <c r="N19" s="178">
        <f>SUM(N16:N18)</f>
        <v>627608.03999999992</v>
      </c>
    </row>
    <row r="20" spans="1:14"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</row>
    <row r="21" spans="1:14" ht="18">
      <c r="A21" s="389" t="s">
        <v>172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</row>
    <row r="22" spans="1:14">
      <c r="A22" s="30" t="s">
        <v>102</v>
      </c>
      <c r="B22" s="391" t="s">
        <v>211</v>
      </c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</row>
    <row r="23" spans="1:14">
      <c r="A23" s="32" t="s">
        <v>104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6">
        <v>2020</v>
      </c>
      <c r="B24" s="179"/>
      <c r="C24" s="179"/>
      <c r="D24" s="179"/>
      <c r="E24" s="299">
        <v>53808.33</v>
      </c>
      <c r="F24" s="299">
        <v>53808.33</v>
      </c>
      <c r="G24" s="299">
        <v>53808.33</v>
      </c>
      <c r="H24" s="299">
        <v>53808.33</v>
      </c>
      <c r="I24" s="299">
        <v>53808.33</v>
      </c>
      <c r="J24" s="299">
        <v>53808.33</v>
      </c>
      <c r="K24" s="299">
        <v>53808.33</v>
      </c>
      <c r="L24" s="299">
        <v>53808.33</v>
      </c>
      <c r="M24" s="299">
        <v>53808.33</v>
      </c>
      <c r="N24" s="31">
        <f>SUM(B24:M24)</f>
        <v>484274.97000000009</v>
      </c>
    </row>
    <row r="25" spans="1:14">
      <c r="A25" s="176">
        <v>2021</v>
      </c>
      <c r="B25" s="299">
        <v>53808.33</v>
      </c>
      <c r="C25" s="299">
        <v>53808.33</v>
      </c>
      <c r="D25" s="299">
        <v>53808.33</v>
      </c>
      <c r="E25" s="179"/>
      <c r="F25" s="179"/>
      <c r="G25" s="179"/>
      <c r="H25" s="179"/>
      <c r="I25" s="179"/>
      <c r="J25" s="179"/>
      <c r="K25" s="179"/>
      <c r="L25" s="179"/>
      <c r="M25" s="179"/>
      <c r="N25" s="31">
        <f>SUM(B25:M25)</f>
        <v>161424.99</v>
      </c>
    </row>
    <row r="26" spans="1:14" hidden="1">
      <c r="A26" s="176">
        <v>2019</v>
      </c>
      <c r="B26" s="299"/>
      <c r="C26" s="299"/>
      <c r="D26" s="299"/>
      <c r="E26" s="179"/>
      <c r="F26" s="179"/>
      <c r="G26" s="179"/>
      <c r="H26" s="179"/>
      <c r="I26" s="179"/>
      <c r="J26" s="179"/>
      <c r="K26" s="179"/>
      <c r="L26" s="179"/>
      <c r="M26" s="179"/>
      <c r="N26" s="31">
        <f>SUM(B26:M26)</f>
        <v>0</v>
      </c>
    </row>
    <row r="27" spans="1:14" ht="18">
      <c r="A27" s="386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8"/>
      <c r="N27" s="178">
        <f>SUM(N24:N26)</f>
        <v>645699.96000000008</v>
      </c>
    </row>
  </sheetData>
  <mergeCells count="9">
    <mergeCell ref="A27:M27"/>
    <mergeCell ref="A5:N5"/>
    <mergeCell ref="B6:N6"/>
    <mergeCell ref="A11:M11"/>
    <mergeCell ref="A13:N13"/>
    <mergeCell ref="B14:N14"/>
    <mergeCell ref="A19:M19"/>
    <mergeCell ref="A21:N21"/>
    <mergeCell ref="B22:N22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10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187</v>
      </c>
      <c r="B1" s="35"/>
      <c r="C1" s="35"/>
      <c r="D1" s="35"/>
      <c r="E1" s="24" t="s">
        <v>12</v>
      </c>
      <c r="F1" s="5" t="s">
        <v>1</v>
      </c>
      <c r="H1" s="394" t="s">
        <v>100</v>
      </c>
      <c r="I1" s="394"/>
      <c r="J1" s="392" t="s">
        <v>68</v>
      </c>
      <c r="K1" s="392"/>
      <c r="L1" s="393" t="s">
        <v>69</v>
      </c>
      <c r="M1" s="393"/>
      <c r="N1" s="346" t="s">
        <v>105</v>
      </c>
      <c r="O1" s="346"/>
    </row>
    <row r="2" spans="1:15" s="37" customFormat="1" ht="23">
      <c r="A2" s="34" t="s">
        <v>188</v>
      </c>
      <c r="B2" s="42"/>
      <c r="C2" s="42"/>
      <c r="D2" s="200"/>
      <c r="F2" s="6" t="s">
        <v>2</v>
      </c>
      <c r="H2" s="394"/>
      <c r="I2" s="394"/>
      <c r="J2" s="392"/>
      <c r="K2" s="392"/>
      <c r="L2" s="393"/>
      <c r="M2" s="393"/>
      <c r="N2" s="346"/>
      <c r="O2" s="346"/>
    </row>
    <row r="3" spans="1:15" ht="29.25" customHeight="1" thickBot="1">
      <c r="B3" s="53" t="s">
        <v>8</v>
      </c>
      <c r="C3" s="54" t="s">
        <v>18</v>
      </c>
      <c r="D3" s="55" t="s">
        <v>126</v>
      </c>
      <c r="E3" s="55" t="s">
        <v>118</v>
      </c>
      <c r="F3" s="54" t="s">
        <v>19</v>
      </c>
      <c r="G3" s="56"/>
      <c r="H3" s="246" t="s">
        <v>147</v>
      </c>
      <c r="I3" s="57" t="s">
        <v>9</v>
      </c>
      <c r="J3" s="246" t="s">
        <v>147</v>
      </c>
      <c r="K3" s="57" t="s">
        <v>9</v>
      </c>
      <c r="L3" s="246" t="s">
        <v>147</v>
      </c>
      <c r="M3" s="57" t="s">
        <v>9</v>
      </c>
      <c r="N3" s="246" t="s">
        <v>147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9" t="s">
        <v>128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178</v>
      </c>
      <c r="D15" s="247" t="s">
        <v>179</v>
      </c>
      <c r="E15" s="92">
        <v>0</v>
      </c>
      <c r="F15" s="93"/>
      <c r="G15" s="94"/>
      <c r="H15" s="95">
        <v>0</v>
      </c>
      <c r="I15" s="72">
        <f t="shared" ref="I15:I16" si="1">$E15*H15</f>
        <v>0</v>
      </c>
      <c r="J15" s="95">
        <v>0</v>
      </c>
      <c r="K15" s="72">
        <f t="shared" ref="K15:K16" si="2">$E15*J15</f>
        <v>0</v>
      </c>
      <c r="L15" s="95">
        <v>0</v>
      </c>
      <c r="M15" s="72">
        <f t="shared" ref="M15:M16" si="3">$E15*L15</f>
        <v>0</v>
      </c>
      <c r="N15" s="96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178</v>
      </c>
      <c r="D16" s="247" t="s">
        <v>179</v>
      </c>
      <c r="E16" s="92">
        <v>0</v>
      </c>
      <c r="F16" s="93"/>
      <c r="G16" s="94"/>
      <c r="H16" s="95">
        <v>0</v>
      </c>
      <c r="I16" s="72">
        <f t="shared" si="1"/>
        <v>0</v>
      </c>
      <c r="J16" s="95">
        <v>0</v>
      </c>
      <c r="K16" s="72">
        <f t="shared" si="2"/>
        <v>0</v>
      </c>
      <c r="L16" s="95">
        <v>0</v>
      </c>
      <c r="M16" s="72">
        <f t="shared" si="3"/>
        <v>0</v>
      </c>
      <c r="N16" s="96">
        <f>H16+J16+L16</f>
        <v>0</v>
      </c>
      <c r="O16" s="72">
        <f t="shared" si="0"/>
        <v>0</v>
      </c>
    </row>
    <row r="17" spans="2:15">
      <c r="B17" s="99"/>
      <c r="C17" s="100" t="s">
        <v>16</v>
      </c>
      <c r="D17" s="100"/>
      <c r="E17" s="99"/>
      <c r="F17" s="99"/>
      <c r="G17" s="99"/>
      <c r="H17" s="101">
        <f t="shared" ref="H17:N17" si="4">SUM(H15:H16)</f>
        <v>0</v>
      </c>
      <c r="I17" s="102">
        <f t="shared" si="4"/>
        <v>0</v>
      </c>
      <c r="J17" s="101">
        <f t="shared" si="4"/>
        <v>0</v>
      </c>
      <c r="K17" s="102">
        <f t="shared" si="4"/>
        <v>0</v>
      </c>
      <c r="L17" s="101">
        <f t="shared" si="4"/>
        <v>0</v>
      </c>
      <c r="M17" s="102">
        <f t="shared" si="4"/>
        <v>0</v>
      </c>
      <c r="N17" s="101">
        <f t="shared" si="4"/>
        <v>0</v>
      </c>
      <c r="O17" s="102">
        <f t="shared" si="0"/>
        <v>0</v>
      </c>
    </row>
    <row r="18" spans="2:15" ht="14" thickBot="1">
      <c r="K18" s="110"/>
      <c r="M18" s="110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4" t="s">
        <v>130</v>
      </c>
      <c r="E20" s="111">
        <v>0</v>
      </c>
      <c r="F20" s="94"/>
      <c r="G20" s="94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8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4" t="s">
        <v>130</v>
      </c>
      <c r="E21" s="111">
        <v>0</v>
      </c>
      <c r="F21" s="113"/>
      <c r="G21" s="94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8"/>
      <c r="O21" s="72">
        <f t="shared" si="0"/>
        <v>0</v>
      </c>
    </row>
    <row r="22" spans="2:15">
      <c r="B22" s="99"/>
      <c r="C22" s="100" t="s">
        <v>40</v>
      </c>
      <c r="D22" s="100"/>
      <c r="E22" s="99"/>
      <c r="F22" s="99"/>
      <c r="G22" s="99"/>
      <c r="H22" s="99"/>
      <c r="I22" s="102">
        <f>SUM(I20:I21)</f>
        <v>0</v>
      </c>
      <c r="J22" s="99"/>
      <c r="K22" s="102">
        <f>SUM(K20:K21)</f>
        <v>0</v>
      </c>
      <c r="L22" s="99"/>
      <c r="M22" s="102">
        <f>SUM(M20:M21)</f>
        <v>0</v>
      </c>
      <c r="N22" s="114"/>
      <c r="O22" s="102">
        <f t="shared" si="0"/>
        <v>0</v>
      </c>
    </row>
    <row r="23" spans="2:15" ht="14" thickBot="1">
      <c r="K23" s="110"/>
      <c r="M23" s="110"/>
      <c r="N23" s="61"/>
      <c r="O23" s="72"/>
    </row>
    <row r="24" spans="2:15" s="61" customFormat="1" ht="14" thickBot="1">
      <c r="B24" s="62" t="s">
        <v>37</v>
      </c>
      <c r="C24" s="225" t="s">
        <v>133</v>
      </c>
      <c r="D24" s="227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180</v>
      </c>
      <c r="C25" s="35" t="s">
        <v>181</v>
      </c>
      <c r="D25" s="224" t="s">
        <v>130</v>
      </c>
      <c r="E25" s="92">
        <v>0</v>
      </c>
      <c r="F25" s="93"/>
      <c r="G25" s="94"/>
      <c r="H25" s="115">
        <v>0</v>
      </c>
      <c r="I25" s="72">
        <f>$E25*H25</f>
        <v>0</v>
      </c>
      <c r="J25" s="115">
        <v>0</v>
      </c>
      <c r="K25" s="72">
        <f>$E25*J25</f>
        <v>0</v>
      </c>
      <c r="L25" s="115">
        <v>0</v>
      </c>
      <c r="M25" s="72">
        <f>$E25*L25</f>
        <v>0</v>
      </c>
      <c r="N25" s="96">
        <f t="shared" ref="N25:N26" si="5">H25+J25+L25</f>
        <v>0</v>
      </c>
      <c r="O25" s="72">
        <f t="shared" si="0"/>
        <v>0</v>
      </c>
    </row>
    <row r="26" spans="2:15">
      <c r="B26" s="35" t="s">
        <v>180</v>
      </c>
      <c r="C26" s="35" t="s">
        <v>181</v>
      </c>
      <c r="D26" s="224" t="s">
        <v>130</v>
      </c>
      <c r="E26" s="92">
        <v>0</v>
      </c>
      <c r="F26" s="93"/>
      <c r="G26" s="94"/>
      <c r="H26" s="115">
        <v>0</v>
      </c>
      <c r="I26" s="72">
        <f t="shared" ref="I26" si="6">$E26*H26</f>
        <v>0</v>
      </c>
      <c r="J26" s="115">
        <v>0</v>
      </c>
      <c r="K26" s="72">
        <f t="shared" ref="K26" si="7">$E26*J26</f>
        <v>0</v>
      </c>
      <c r="L26" s="115">
        <v>0</v>
      </c>
      <c r="M26" s="72">
        <f t="shared" ref="M26" si="8">$E26*L26</f>
        <v>0</v>
      </c>
      <c r="N26" s="96">
        <f t="shared" si="5"/>
        <v>0</v>
      </c>
      <c r="O26" s="72">
        <f t="shared" si="0"/>
        <v>0</v>
      </c>
    </row>
    <row r="27" spans="2:15">
      <c r="B27" s="99"/>
      <c r="C27" s="100" t="s">
        <v>41</v>
      </c>
      <c r="D27" s="100"/>
      <c r="E27" s="116"/>
      <c r="F27" s="99"/>
      <c r="G27" s="99"/>
      <c r="H27" s="117"/>
      <c r="I27" s="102">
        <f>SUM(I25:I26)</f>
        <v>0</v>
      </c>
      <c r="J27" s="117"/>
      <c r="K27" s="102">
        <f>SUM(K25:K26)</f>
        <v>0</v>
      </c>
      <c r="L27" s="117"/>
      <c r="M27" s="102">
        <f>SUM(M25:M26)</f>
        <v>0</v>
      </c>
      <c r="N27" s="118"/>
      <c r="O27" s="102">
        <f t="shared" si="0"/>
        <v>0</v>
      </c>
    </row>
    <row r="28" spans="2:15" ht="14" thickBot="1">
      <c r="E28" s="122"/>
      <c r="K28" s="110"/>
      <c r="M28" s="110"/>
      <c r="N28" s="61"/>
      <c r="O28" s="72"/>
    </row>
    <row r="29" spans="2:15" s="61" customFormat="1" ht="14" thickBot="1">
      <c r="B29" s="62" t="s">
        <v>38</v>
      </c>
      <c r="C29" s="225" t="s">
        <v>132</v>
      </c>
      <c r="D29" s="227"/>
      <c r="E29" s="123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182</v>
      </c>
      <c r="C30" s="35" t="s">
        <v>183</v>
      </c>
      <c r="D30" s="247" t="s">
        <v>179</v>
      </c>
      <c r="E30" s="92">
        <v>0</v>
      </c>
      <c r="F30" s="93"/>
      <c r="G30" s="94"/>
      <c r="H30" s="115">
        <v>0</v>
      </c>
      <c r="I30" s="72">
        <f t="shared" ref="I30:I31" si="9">$E30*H30</f>
        <v>0</v>
      </c>
      <c r="J30" s="115">
        <v>0</v>
      </c>
      <c r="K30" s="72">
        <f t="shared" ref="K30:K31" si="10">$E30*J30</f>
        <v>0</v>
      </c>
      <c r="L30" s="115">
        <v>0</v>
      </c>
      <c r="M30" s="72">
        <f t="shared" ref="M30:M31" si="11">$E30*L30</f>
        <v>0</v>
      </c>
      <c r="N30" s="96">
        <f t="shared" ref="N30:N31" si="12">H30+J30+L30</f>
        <v>0</v>
      </c>
      <c r="O30" s="72">
        <f t="shared" si="0"/>
        <v>0</v>
      </c>
    </row>
    <row r="31" spans="2:15">
      <c r="B31" s="35" t="s">
        <v>182</v>
      </c>
      <c r="C31" s="35" t="s">
        <v>183</v>
      </c>
      <c r="D31" s="247" t="s">
        <v>179</v>
      </c>
      <c r="E31" s="92">
        <v>0</v>
      </c>
      <c r="F31" s="93"/>
      <c r="G31" s="94"/>
      <c r="H31" s="115">
        <v>0</v>
      </c>
      <c r="I31" s="72">
        <f t="shared" si="9"/>
        <v>0</v>
      </c>
      <c r="J31" s="115">
        <v>0</v>
      </c>
      <c r="K31" s="72">
        <f t="shared" si="10"/>
        <v>0</v>
      </c>
      <c r="L31" s="115">
        <v>0</v>
      </c>
      <c r="M31" s="72">
        <f t="shared" si="11"/>
        <v>0</v>
      </c>
      <c r="N31" s="96">
        <f t="shared" si="12"/>
        <v>0</v>
      </c>
      <c r="O31" s="72">
        <f t="shared" si="0"/>
        <v>0</v>
      </c>
    </row>
    <row r="32" spans="2:15">
      <c r="B32" s="99"/>
      <c r="C32" s="100" t="s">
        <v>43</v>
      </c>
      <c r="D32" s="100"/>
      <c r="E32" s="116"/>
      <c r="F32" s="99"/>
      <c r="G32" s="99"/>
      <c r="H32" s="99"/>
      <c r="I32" s="102">
        <f>SUM(I30:I31)</f>
        <v>0</v>
      </c>
      <c r="J32" s="99"/>
      <c r="K32" s="102">
        <f>SUM(K30:K31)</f>
        <v>0</v>
      </c>
      <c r="L32" s="99"/>
      <c r="M32" s="102">
        <f>SUM(M30:M31)</f>
        <v>0</v>
      </c>
      <c r="N32" s="114"/>
      <c r="O32" s="102">
        <f t="shared" si="0"/>
        <v>0</v>
      </c>
    </row>
    <row r="33" spans="2:15" ht="14" thickBot="1">
      <c r="E33" s="122"/>
      <c r="N33" s="61"/>
      <c r="O33" s="61"/>
    </row>
    <row r="34" spans="2:15" ht="14" thickBot="1">
      <c r="B34" s="124" t="s">
        <v>117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8" t="s">
        <v>186</v>
      </c>
    </row>
    <row r="38" spans="2:15">
      <c r="B38" s="300" t="s">
        <v>189</v>
      </c>
    </row>
    <row r="39" spans="2:15">
      <c r="I39" s="237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Task</vt:lpstr>
      <vt:lpstr>Summary by Phase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2014-03-28T00:32:23Z</cp:lastPrinted>
  <dcterms:created xsi:type="dcterms:W3CDTF">2011-06-16T17:18:10Z</dcterms:created>
  <dcterms:modified xsi:type="dcterms:W3CDTF">2017-05-23T15:56:01Z</dcterms:modified>
</cp:coreProperties>
</file>