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esktop\ANACLETO\Proyectos\Rena(Red de negocios Agropecuario)\"/>
    </mc:Choice>
  </mc:AlternateContent>
  <xr:revisionPtr revIDLastSave="0" documentId="13_ncr:1_{4E21EF39-F88E-437C-B41A-9DD5395B552B}" xr6:coauthVersionLast="38" xr6:coauthVersionMax="38" xr10:uidLastSave="{00000000-0000-0000-0000-000000000000}"/>
  <bookViews>
    <workbookView xWindow="0" yWindow="0" windowWidth="20490" windowHeight="8070" xr2:uid="{2A4CAA8D-1F74-442F-AD67-9752560DBCD1}"/>
  </bookViews>
  <sheets>
    <sheet name="Hoja1" sheetId="1" r:id="rId1"/>
    <sheet name="Hoja3" sheetId="3" r:id="rId2"/>
    <sheet name="Rubro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5" i="1" l="1"/>
  <c r="F65" i="1"/>
  <c r="G19" i="1"/>
  <c r="G17" i="1"/>
  <c r="G18" i="1"/>
  <c r="F18" i="1"/>
  <c r="F17" i="1"/>
  <c r="E12" i="3" l="1"/>
  <c r="P10" i="3"/>
  <c r="M5" i="3"/>
  <c r="E9" i="3"/>
  <c r="F8" i="3"/>
  <c r="F9" i="3" s="1"/>
  <c r="G8" i="3"/>
  <c r="G9" i="3" s="1"/>
  <c r="H8" i="3"/>
  <c r="H9" i="3" s="1"/>
  <c r="I8" i="3"/>
  <c r="I9" i="3" s="1"/>
  <c r="E8" i="3"/>
  <c r="D95" i="1"/>
  <c r="G61" i="1"/>
  <c r="D103" i="1"/>
  <c r="D96" i="1"/>
  <c r="D94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G64" i="1"/>
  <c r="G63" i="1"/>
  <c r="G54" i="1"/>
  <c r="G53" i="1"/>
  <c r="G49" i="1"/>
  <c r="AD19" i="2"/>
  <c r="AI21" i="2"/>
  <c r="AH21" i="2"/>
  <c r="AG21" i="2"/>
  <c r="AF21" i="2"/>
  <c r="AF23" i="2" s="1"/>
  <c r="AE21" i="2"/>
  <c r="AN34" i="2"/>
  <c r="AK34" i="2"/>
  <c r="AL34" i="2"/>
  <c r="AM34" i="2"/>
  <c r="AN35" i="2"/>
  <c r="AN36" i="2" s="1"/>
  <c r="AJ35" i="2"/>
  <c r="AJ34" i="2"/>
  <c r="AK33" i="2"/>
  <c r="AK35" i="2" s="1"/>
  <c r="AL33" i="2"/>
  <c r="AL35" i="2" s="1"/>
  <c r="AL36" i="2" s="1"/>
  <c r="AM33" i="2"/>
  <c r="AN33" i="2"/>
  <c r="BB24" i="2" s="1"/>
  <c r="AJ33" i="2"/>
  <c r="AI35" i="2"/>
  <c r="AH35" i="2"/>
  <c r="AG35" i="2"/>
  <c r="AF35" i="2"/>
  <c r="AE35" i="2"/>
  <c r="G21" i="2"/>
  <c r="F21" i="2"/>
  <c r="G22" i="2"/>
  <c r="S20" i="2"/>
  <c r="S21" i="2"/>
  <c r="G31" i="2"/>
  <c r="G30" i="2"/>
  <c r="G2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4" i="2"/>
  <c r="G20" i="2"/>
  <c r="AL26" i="2"/>
  <c r="AL24" i="2"/>
  <c r="AR14" i="2"/>
  <c r="AS19" i="2"/>
  <c r="AR19" i="2"/>
  <c r="AQ19" i="2"/>
  <c r="AP16" i="2"/>
  <c r="AO16" i="2"/>
  <c r="AN16" i="2"/>
  <c r="AL25" i="2"/>
  <c r="AL23" i="2"/>
  <c r="AG23" i="2"/>
  <c r="AH23" i="2"/>
  <c r="X24" i="2"/>
  <c r="G26" i="2"/>
  <c r="G16" i="2"/>
  <c r="G31" i="1"/>
  <c r="G29" i="1"/>
  <c r="G28" i="1"/>
  <c r="G25" i="1"/>
  <c r="G22" i="1"/>
  <c r="G20" i="1"/>
  <c r="G13" i="1"/>
  <c r="G9" i="1"/>
  <c r="G10" i="1"/>
  <c r="G11" i="1"/>
  <c r="G12" i="1"/>
  <c r="G8" i="1"/>
  <c r="D88" i="1" l="1"/>
  <c r="F40" i="1" s="1"/>
  <c r="G40" i="1" s="1"/>
  <c r="G42" i="1" s="1"/>
  <c r="D107" i="1" s="1"/>
  <c r="D97" i="1"/>
  <c r="F52" i="1" s="1"/>
  <c r="G52" i="1" s="1"/>
  <c r="D55" i="1" s="1"/>
  <c r="D108" i="1" s="1"/>
  <c r="G14" i="1"/>
  <c r="G33" i="1" s="1"/>
  <c r="D106" i="1" s="1"/>
  <c r="D110" i="1" s="1"/>
  <c r="AM35" i="2"/>
  <c r="AM36" i="2" s="1"/>
  <c r="AE23" i="2"/>
  <c r="AI23" i="2"/>
  <c r="G66" i="1" l="1"/>
  <c r="D109" i="1" s="1"/>
  <c r="AE26" i="2"/>
  <c r="AE27" i="2" s="1"/>
  <c r="F19" i="2" s="1"/>
  <c r="G19" i="2" s="1"/>
  <c r="G32" i="2" s="1"/>
  <c r="G33" i="2" s="1"/>
</calcChain>
</file>

<file path=xl/sharedStrings.xml><?xml version="1.0" encoding="utf-8"?>
<sst xmlns="http://schemas.openxmlformats.org/spreadsheetml/2006/main" count="277" uniqueCount="159">
  <si>
    <t>ACTIVIDADES</t>
  </si>
  <si>
    <t>Unid</t>
  </si>
  <si>
    <t>Valor unitario</t>
  </si>
  <si>
    <t>Valor proyecto</t>
  </si>
  <si>
    <t>Aporte CRC</t>
  </si>
  <si>
    <t>Aporte solicitante</t>
  </si>
  <si>
    <t>Otros aportes</t>
  </si>
  <si>
    <t>I.                    Gastos de inversión</t>
  </si>
  <si>
    <t>1.Gastos de personal</t>
  </si>
  <si>
    <t>Expertos</t>
  </si>
  <si>
    <t>Profesionales</t>
  </si>
  <si>
    <t xml:space="preserve">Técnicos </t>
  </si>
  <si>
    <t xml:space="preserve">Capacitadores </t>
  </si>
  <si>
    <t xml:space="preserve">Asistenciales </t>
  </si>
  <si>
    <t>Subtotal gastos de personal</t>
  </si>
  <si>
    <t>2. Gastos generales</t>
  </si>
  <si>
    <t>Componente capacitación</t>
  </si>
  <si>
    <r>
      <t xml:space="preserve">Seminarios </t>
    </r>
    <r>
      <rPr>
        <b/>
        <sz val="12"/>
        <color rgb="FF000000"/>
        <rFont val="Arial"/>
        <family val="2"/>
      </rPr>
      <t>(</t>
    </r>
    <r>
      <rPr>
        <b/>
        <i/>
        <sz val="12"/>
        <color rgb="FF000000"/>
        <rFont val="Arial"/>
        <family val="2"/>
      </rPr>
      <t>capacitaciones, acompañamiento, visitas)</t>
    </r>
  </si>
  <si>
    <t>Compra de equipos</t>
  </si>
  <si>
    <t>Equipos afines al objeto del proyecto</t>
  </si>
  <si>
    <t>Viáticos y gastos de viaje</t>
  </si>
  <si>
    <t>Viajes nacionales</t>
  </si>
  <si>
    <t>Viajes internacionales</t>
  </si>
  <si>
    <t>Impresos y publicaciones</t>
  </si>
  <si>
    <t>Campañas</t>
  </si>
  <si>
    <t>Edición de libros, revistas, escritos, etc.</t>
  </si>
  <si>
    <t>Publicidad y propaganda</t>
  </si>
  <si>
    <t>Divulgación en medios</t>
  </si>
  <si>
    <t>Etc. (afines)</t>
  </si>
  <si>
    <t>Subtotal gastos generales</t>
  </si>
  <si>
    <t>RUBROS</t>
  </si>
  <si>
    <t>Canti dad</t>
  </si>
  <si>
    <t>3. Gastos en infraestructura</t>
  </si>
  <si>
    <t>Compra de terrenos</t>
  </si>
  <si>
    <t>Compra de edificios</t>
  </si>
  <si>
    <t>Adecuaciones</t>
  </si>
  <si>
    <t>Y demás obras de ingeniería afines al proyecto</t>
  </si>
  <si>
    <t>Subtotal gastos en infraestructura</t>
  </si>
  <si>
    <t>TOTAL GASTOS DE INVERSIÓN</t>
  </si>
  <si>
    <r>
      <t>II.  </t>
    </r>
    <r>
      <rPr>
        <b/>
        <sz val="12"/>
        <color rgb="FF000000"/>
        <rFont val="Arial"/>
        <family val="2"/>
      </rPr>
      <t xml:space="preserve">Gastos operativos y/o administrativos </t>
    </r>
  </si>
  <si>
    <r>
      <t xml:space="preserve">1.      </t>
    </r>
    <r>
      <rPr>
        <b/>
        <sz val="12"/>
        <color rgb="FF000000"/>
        <rFont val="Arial"/>
        <family val="2"/>
      </rPr>
      <t>Gastos generales</t>
    </r>
  </si>
  <si>
    <t>Materiales y suministros</t>
  </si>
  <si>
    <t xml:space="preserve">Combustibles </t>
  </si>
  <si>
    <t>Dotaciones</t>
  </si>
  <si>
    <t>Papelería y útiles de escritorio</t>
  </si>
  <si>
    <t>Comunicaciones y transporte</t>
  </si>
  <si>
    <t>Embalaje</t>
  </si>
  <si>
    <t>Servicios públicos</t>
  </si>
  <si>
    <t>Telefonía móvil celular</t>
  </si>
  <si>
    <t>Arrendamientos</t>
  </si>
  <si>
    <t xml:space="preserve">Arrendamientos bienes muebles </t>
  </si>
  <si>
    <t>Arrendamientos bienes inmuebles</t>
  </si>
  <si>
    <t xml:space="preserve">Otros gastos no clasificados </t>
  </si>
  <si>
    <t xml:space="preserve">Total gastos operativos y/o administrativos </t>
  </si>
  <si>
    <t>Gran total gastos de inversión + gastos operativos y/o administrativos</t>
  </si>
  <si>
    <t>Especialista</t>
  </si>
  <si>
    <t>Reunion</t>
  </si>
  <si>
    <t xml:space="preserve">Seminrarios </t>
  </si>
  <si>
    <t>VideoBeam</t>
  </si>
  <si>
    <t>alquiler Van</t>
  </si>
  <si>
    <t>Campaña</t>
  </si>
  <si>
    <t>videobeam</t>
  </si>
  <si>
    <t>libro</t>
  </si>
  <si>
    <t>plan corporativo</t>
  </si>
  <si>
    <t>Poblacion Objetivo</t>
  </si>
  <si>
    <t>Año 1</t>
  </si>
  <si>
    <t>Año 2</t>
  </si>
  <si>
    <t>Año 3</t>
  </si>
  <si>
    <t>Año 4</t>
  </si>
  <si>
    <t>Año 5</t>
  </si>
  <si>
    <t>Clasificados Enviados</t>
  </si>
  <si>
    <t>Claficados Recibidos</t>
  </si>
  <si>
    <t>Total flujo de clasificado</t>
  </si>
  <si>
    <t>Precio por clasificado</t>
  </si>
  <si>
    <t>Total de clasificados proyectados 5 años</t>
  </si>
  <si>
    <t>Costo proyectado servicio SMS</t>
  </si>
  <si>
    <t>Desarrollo</t>
  </si>
  <si>
    <t>Matenimiento Annual</t>
  </si>
  <si>
    <t>Mantenimiento Proyecto</t>
  </si>
  <si>
    <t>Costo servidor, motor de procesamiento proyecto</t>
  </si>
  <si>
    <t>Costo e comerce movil y web</t>
  </si>
  <si>
    <t>Costo servidor, motor de procesamiento, despliege, revision en bug ontime, etc año</t>
  </si>
  <si>
    <t>Costo Asociaciado Proyecto es</t>
  </si>
  <si>
    <t>Cantidad</t>
  </si>
  <si>
    <t>Experto</t>
  </si>
  <si>
    <t>Profesional</t>
  </si>
  <si>
    <t>Capacitador</t>
  </si>
  <si>
    <t>Asistente</t>
  </si>
  <si>
    <t>Despliegue solucion tecnologica RENA</t>
  </si>
  <si>
    <t>Servicio de hosting y correo empresarial</t>
  </si>
  <si>
    <t>Escritorio</t>
  </si>
  <si>
    <t>Silla escritorio</t>
  </si>
  <si>
    <t>Tableros</t>
  </si>
  <si>
    <t>Nevera</t>
  </si>
  <si>
    <t xml:space="preserve">Estufa </t>
  </si>
  <si>
    <t>Greca</t>
  </si>
  <si>
    <t xml:space="preserve">Muebles </t>
  </si>
  <si>
    <t>Microhondas</t>
  </si>
  <si>
    <t>Vajilla</t>
  </si>
  <si>
    <t>Mesa de sala de reunion</t>
  </si>
  <si>
    <t xml:space="preserve">canecas </t>
  </si>
  <si>
    <t>archivadores</t>
  </si>
  <si>
    <t>computadores</t>
  </si>
  <si>
    <t>impresoras multifuncional</t>
  </si>
  <si>
    <t>telofonos</t>
  </si>
  <si>
    <t>comnmutador</t>
  </si>
  <si>
    <t>Precio unidad</t>
  </si>
  <si>
    <t>Precio Proyecto</t>
  </si>
  <si>
    <t>Oficina</t>
  </si>
  <si>
    <t>servicio publico</t>
  </si>
  <si>
    <t>internet</t>
  </si>
  <si>
    <t>Agua</t>
  </si>
  <si>
    <t>Luz</t>
  </si>
  <si>
    <t>Aire Acondicionado</t>
  </si>
  <si>
    <t>Mobiliario Inicial</t>
  </si>
  <si>
    <t>mobiliario</t>
  </si>
  <si>
    <t>Crecimiento Proyectado</t>
  </si>
  <si>
    <t>Papeleria</t>
  </si>
  <si>
    <t>Subtotal gastos De Inversion</t>
  </si>
  <si>
    <t>plan Empresarial</t>
  </si>
  <si>
    <t>Subtotal gastos de inversion</t>
  </si>
  <si>
    <t>TOTAL GASTOS EN INFRASTRUCTURA</t>
  </si>
  <si>
    <t xml:space="preserve">Subtotal gastos operativos y/o administrativos </t>
  </si>
  <si>
    <t xml:space="preserve">Subtotal Moviliario </t>
  </si>
  <si>
    <t>SubTotal Desarrollo App movil y app web</t>
  </si>
  <si>
    <t>Costo desarrollo e-comerce movil y web</t>
  </si>
  <si>
    <t>Precio</t>
  </si>
  <si>
    <t>Tabla 1 : Contratacion</t>
  </si>
  <si>
    <t>tabla 2 : Gastos operativos</t>
  </si>
  <si>
    <t>Tabla 3 : Gastos Administrativos</t>
  </si>
  <si>
    <t>Tabla 4 : Discriminacion de mobiliario</t>
  </si>
  <si>
    <t>Tabla 5 : costros Desarrollo Tecnologico</t>
  </si>
  <si>
    <t>Tabla 6 : Costos Mensajeria (MSM) de clasificados</t>
  </si>
  <si>
    <t>Tabla 7 : Recapitulacion Gastos</t>
  </si>
  <si>
    <t>Poblacion de interes</t>
  </si>
  <si>
    <t>% Poblacion objetivo</t>
  </si>
  <si>
    <t>N° poblacion Objetivo</t>
  </si>
  <si>
    <t>Numero de transacciones e-commerce RENA</t>
  </si>
  <si>
    <t>BENEFICIADOS</t>
  </si>
  <si>
    <t>EMPLEOS</t>
  </si>
  <si>
    <t>COSTOS $</t>
  </si>
  <si>
    <t>DIRECTOS</t>
  </si>
  <si>
    <t>INDIRECTOS</t>
  </si>
  <si>
    <t>TOTAL</t>
  </si>
  <si>
    <t>SOLICITADO</t>
  </si>
  <si>
    <t>No.</t>
  </si>
  <si>
    <t>NOMBRE DEL PROYECTO</t>
  </si>
  <si>
    <t>COSTOS DEL PROYECTO $ COL</t>
  </si>
  <si>
    <t>CIERRE FINANCIERO PONDERADO (13%)</t>
  </si>
  <si>
    <t>COSTOS DEL PROYECTO US</t>
  </si>
  <si>
    <t>CIERRE FINANCIERO PONDERADO (13%) EN US</t>
  </si>
  <si>
    <t>EMPLEOS GENERADOS</t>
  </si>
  <si>
    <t>POBLACIÓN BENEFICIADA</t>
  </si>
  <si>
    <t>DIRECTA</t>
  </si>
  <si>
    <t>REFERENCIADA</t>
  </si>
  <si>
    <t>Talleres Exclusivo RENA (aprox 40 ) , incluye, arrendamiento de lugar por 3 horas aprox (100000 cop ) y el costo de cada refrigerio 8500 c/u</t>
  </si>
  <si>
    <t>Talleres Con Invitado (aprox 40) incluye, arrendamiento de lugar por 3 horas aprox (100000 cop ),el costo de cada refrigerio 8500 c/u y una costos de movilidad y alimentacion para el invitidado aproximadamente 300000</t>
  </si>
  <si>
    <t>Socializacion de resultados de fortalecimiento de lazos, incluye, arrendamiento de lugar por 6 horas aprox (200000 cop ) y el costo de cada refrigerio 8500 c/u y el material  a usar la runion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</si>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</sst>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[$$-240A]\ * #,##0.00_-;\-[$$-240A]\ * #,##0.00_-;_-[$$-240A]\ * &quot;-&quot;??_-;_-@_-"/>
    <numFmt numFmtId="165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i/>
      <sz val="12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justify" vertical="center" wrapText="1"/>
    </xf>
    <xf numFmtId="0" fontId="6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164" fontId="6" fillId="0" borderId="4" xfId="2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2" fillId="0" borderId="0" xfId="0" applyFont="1"/>
    <xf numFmtId="165" fontId="6" fillId="0" borderId="4" xfId="0" applyNumberFormat="1" applyFont="1" applyBorder="1" applyAlignment="1">
      <alignment horizontal="center" vertical="center" wrapText="1"/>
    </xf>
    <xf numFmtId="165" fontId="5" fillId="0" borderId="4" xfId="0" applyNumberFormat="1" applyFont="1" applyBorder="1" applyAlignment="1">
      <alignment horizontal="center" vertical="center" wrapText="1"/>
    </xf>
    <xf numFmtId="165" fontId="0" fillId="0" borderId="0" xfId="0" applyNumberFormat="1"/>
    <xf numFmtId="164" fontId="5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wrapText="1"/>
    </xf>
    <xf numFmtId="165" fontId="0" fillId="0" borderId="0" xfId="0" applyNumberFormat="1" applyAlignment="1">
      <alignment horizontal="center" wrapText="1"/>
    </xf>
    <xf numFmtId="44" fontId="0" fillId="0" borderId="0" xfId="2" applyFont="1"/>
    <xf numFmtId="164" fontId="0" fillId="0" borderId="0" xfId="0" applyNumberFormat="1"/>
    <xf numFmtId="165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/>
    <xf numFmtId="165" fontId="2" fillId="0" borderId="8" xfId="0" applyNumberFormat="1" applyFont="1" applyBorder="1"/>
    <xf numFmtId="0" fontId="0" fillId="0" borderId="8" xfId="0" applyBorder="1"/>
    <xf numFmtId="165" fontId="0" fillId="0" borderId="8" xfId="0" applyNumberFormat="1" applyBorder="1"/>
    <xf numFmtId="165" fontId="0" fillId="0" borderId="8" xfId="0" applyNumberFormat="1" applyBorder="1" applyAlignment="1">
      <alignment vertical="center"/>
    </xf>
    <xf numFmtId="0" fontId="2" fillId="0" borderId="8" xfId="0" applyFont="1" applyBorder="1" applyAlignment="1">
      <alignment horizontal="left" vertical="center"/>
    </xf>
    <xf numFmtId="165" fontId="0" fillId="0" borderId="8" xfId="0" applyNumberFormat="1" applyBorder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165" fontId="2" fillId="0" borderId="8" xfId="0" applyNumberFormat="1" applyFont="1" applyBorder="1" applyAlignment="1">
      <alignment horizontal="left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165" fontId="0" fillId="0" borderId="8" xfId="0" applyNumberFormat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9" fontId="0" fillId="0" borderId="0" xfId="3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horizontal="right" vertical="center"/>
    </xf>
    <xf numFmtId="0" fontId="6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 wrapText="1"/>
    </xf>
    <xf numFmtId="165" fontId="4" fillId="0" borderId="7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2" xfId="0" applyNumberFormat="1" applyBorder="1" applyAlignment="1">
      <alignment horizontal="center" vertical="center" wrapText="1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02771-5CD3-41CA-8C99-0D0EFFADAB5A}">
  <sheetPr>
    <pageSetUpPr fitToPage="1"/>
  </sheetPr>
  <dimension ref="C3:M110"/>
  <sheetViews>
    <sheetView tabSelected="1" topLeftCell="B101" workbookViewId="0">
      <selection activeCell="C106" sqref="C106:D110"/>
    </sheetView>
  </sheetViews>
  <sheetFormatPr baseColWidth="10" defaultRowHeight="15" x14ac:dyDescent="0.25"/>
  <cols>
    <col min="2" max="2" width="20.28515625" customWidth="1"/>
    <col min="3" max="3" width="44" customWidth="1"/>
    <col min="4" max="4" width="30.5703125" customWidth="1"/>
    <col min="5" max="5" width="23.5703125" customWidth="1"/>
    <col min="6" max="6" width="19.42578125" customWidth="1"/>
    <col min="7" max="7" width="27.28515625" customWidth="1"/>
    <col min="8" max="8" width="26" customWidth="1"/>
    <col min="13" max="17" width="11.42578125" customWidth="1"/>
  </cols>
  <sheetData>
    <row r="3" spans="3:10" ht="15.75" x14ac:dyDescent="0.25">
      <c r="C3" s="61"/>
      <c r="D3" s="61"/>
      <c r="E3" s="61"/>
      <c r="F3" s="61"/>
      <c r="G3" s="61"/>
      <c r="H3" s="61"/>
      <c r="I3" s="61"/>
      <c r="J3" s="61"/>
    </row>
    <row r="4" spans="3:10" ht="16.5" thickBot="1" x14ac:dyDescent="0.3">
      <c r="C4" s="62" t="s">
        <v>127</v>
      </c>
      <c r="D4" s="62"/>
      <c r="E4" s="62"/>
      <c r="F4" s="62"/>
      <c r="G4" s="62"/>
      <c r="H4" s="62"/>
      <c r="I4" s="62"/>
      <c r="J4" s="62"/>
    </row>
    <row r="5" spans="3:10" ht="48" thickBot="1" x14ac:dyDescent="0.3">
      <c r="C5" s="2" t="s">
        <v>0</v>
      </c>
      <c r="D5" s="3" t="s">
        <v>83</v>
      </c>
      <c r="E5" s="3" t="s">
        <v>1</v>
      </c>
      <c r="F5" s="3" t="s">
        <v>2</v>
      </c>
      <c r="G5" s="3" t="s">
        <v>3</v>
      </c>
      <c r="H5" s="3" t="s">
        <v>4</v>
      </c>
      <c r="I5" s="3" t="s">
        <v>5</v>
      </c>
      <c r="J5" s="3" t="s">
        <v>6</v>
      </c>
    </row>
    <row r="6" spans="3:10" ht="16.5" thickBot="1" x14ac:dyDescent="0.3">
      <c r="C6" s="4" t="s">
        <v>7</v>
      </c>
      <c r="D6" s="5"/>
      <c r="E6" s="5"/>
      <c r="F6" s="5"/>
      <c r="G6" s="5"/>
      <c r="H6" s="5"/>
      <c r="I6" s="5"/>
      <c r="J6" s="5"/>
    </row>
    <row r="7" spans="3:10" ht="16.5" thickBot="1" x14ac:dyDescent="0.3">
      <c r="C7" s="6" t="s">
        <v>8</v>
      </c>
      <c r="D7" s="7"/>
      <c r="E7" s="5"/>
      <c r="F7" s="5"/>
      <c r="G7" s="5"/>
      <c r="H7" s="5"/>
      <c r="I7" s="5"/>
      <c r="J7" s="5"/>
    </row>
    <row r="8" spans="3:10" ht="15.75" thickBot="1" x14ac:dyDescent="0.3">
      <c r="C8" s="8" t="s">
        <v>9</v>
      </c>
      <c r="D8" s="7">
        <v>1</v>
      </c>
      <c r="E8" s="8" t="s">
        <v>84</v>
      </c>
      <c r="F8" s="14">
        <v>14000000</v>
      </c>
      <c r="G8" s="15">
        <f>F8*12*5*D8</f>
        <v>840000000</v>
      </c>
      <c r="H8" s="15"/>
      <c r="I8" s="7"/>
      <c r="J8" s="7"/>
    </row>
    <row r="9" spans="3:10" ht="15.75" thickBot="1" x14ac:dyDescent="0.3">
      <c r="C9" s="8" t="s">
        <v>55</v>
      </c>
      <c r="D9" s="7">
        <v>3</v>
      </c>
      <c r="E9" s="8" t="s">
        <v>55</v>
      </c>
      <c r="F9" s="14">
        <v>11000000</v>
      </c>
      <c r="G9" s="15">
        <f t="shared" ref="G9:G13" si="0">F9*12*5*D9</f>
        <v>1980000000</v>
      </c>
      <c r="H9" s="15"/>
      <c r="I9" s="7"/>
      <c r="J9" s="7"/>
    </row>
    <row r="10" spans="3:10" ht="15.75" thickBot="1" x14ac:dyDescent="0.3">
      <c r="C10" s="8" t="s">
        <v>10</v>
      </c>
      <c r="D10" s="7">
        <v>5</v>
      </c>
      <c r="E10" s="8" t="s">
        <v>85</v>
      </c>
      <c r="F10" s="14">
        <v>8000000</v>
      </c>
      <c r="G10" s="15">
        <f t="shared" si="0"/>
        <v>2400000000</v>
      </c>
      <c r="H10" s="15"/>
      <c r="I10" s="7"/>
      <c r="J10" s="7"/>
    </row>
    <row r="11" spans="3:10" ht="15.75" thickBot="1" x14ac:dyDescent="0.3">
      <c r="C11" s="8" t="s">
        <v>11</v>
      </c>
      <c r="D11" s="7">
        <v>2</v>
      </c>
      <c r="E11" s="8" t="s">
        <v>11</v>
      </c>
      <c r="F11" s="14">
        <v>3000000</v>
      </c>
      <c r="G11" s="15">
        <f t="shared" si="0"/>
        <v>360000000</v>
      </c>
      <c r="H11" s="15"/>
      <c r="I11" s="7"/>
      <c r="J11" s="7"/>
    </row>
    <row r="12" spans="3:10" ht="15.75" thickBot="1" x14ac:dyDescent="0.3">
      <c r="C12" s="8" t="s">
        <v>12</v>
      </c>
      <c r="D12" s="7">
        <v>2</v>
      </c>
      <c r="E12" s="8" t="s">
        <v>86</v>
      </c>
      <c r="F12" s="14">
        <v>3500000</v>
      </c>
      <c r="G12" s="15">
        <f t="shared" si="0"/>
        <v>420000000</v>
      </c>
      <c r="H12" s="15"/>
      <c r="I12" s="7"/>
      <c r="J12" s="7"/>
    </row>
    <row r="13" spans="3:10" ht="16.5" thickBot="1" x14ac:dyDescent="0.3">
      <c r="C13" s="8" t="s">
        <v>13</v>
      </c>
      <c r="D13" s="7">
        <v>3</v>
      </c>
      <c r="E13" s="8" t="s">
        <v>87</v>
      </c>
      <c r="F13" s="14">
        <v>3000000</v>
      </c>
      <c r="G13" s="15">
        <f t="shared" si="0"/>
        <v>540000000</v>
      </c>
      <c r="H13" s="15"/>
      <c r="I13" s="9"/>
      <c r="J13" s="9"/>
    </row>
    <row r="14" spans="3:10" ht="16.5" thickBot="1" x14ac:dyDescent="0.3">
      <c r="C14" s="6" t="s">
        <v>14</v>
      </c>
      <c r="D14" s="7"/>
      <c r="E14" s="5"/>
      <c r="F14" s="17"/>
      <c r="G14" s="17">
        <f>SUM(G8:G13)</f>
        <v>6540000000</v>
      </c>
      <c r="H14" s="7"/>
      <c r="I14" s="7"/>
      <c r="J14" s="7"/>
    </row>
    <row r="15" spans="3:10" ht="16.5" thickBot="1" x14ac:dyDescent="0.3">
      <c r="C15" s="6" t="s">
        <v>15</v>
      </c>
      <c r="D15" s="7"/>
      <c r="E15" s="5"/>
      <c r="F15" s="17"/>
      <c r="G15" s="17"/>
      <c r="H15" s="7"/>
      <c r="I15" s="7"/>
      <c r="J15" s="7"/>
    </row>
    <row r="16" spans="3:10" ht="16.5" thickBot="1" x14ac:dyDescent="0.3">
      <c r="C16" s="6" t="s">
        <v>16</v>
      </c>
      <c r="D16" s="7"/>
      <c r="E16" s="5"/>
      <c r="F16" s="17"/>
      <c r="G16" s="17"/>
      <c r="H16" s="7"/>
      <c r="I16" s="7"/>
      <c r="J16" s="7"/>
    </row>
    <row r="17" spans="3:10" ht="60.75" thickBot="1" x14ac:dyDescent="0.3">
      <c r="C17" s="8" t="s">
        <v>155</v>
      </c>
      <c r="D17" s="7">
        <v>44</v>
      </c>
      <c r="E17" s="5" t="s">
        <v>56</v>
      </c>
      <c r="F17" s="17">
        <f>100000+ (8500*40)</f>
        <v>440000</v>
      </c>
      <c r="G17" s="17">
        <f>F17*(D17)*5</f>
        <v>96800000</v>
      </c>
      <c r="H17" s="7"/>
      <c r="I17" s="7"/>
      <c r="J17" s="7"/>
    </row>
    <row r="18" spans="3:10" ht="90.75" thickBot="1" x14ac:dyDescent="0.3">
      <c r="C18" s="8" t="s">
        <v>156</v>
      </c>
      <c r="D18" s="7">
        <v>30</v>
      </c>
      <c r="E18" s="5" t="s">
        <v>56</v>
      </c>
      <c r="F18" s="17">
        <f>F17+300000</f>
        <v>740000</v>
      </c>
      <c r="G18" s="17">
        <f>+F18*D18*5</f>
        <v>111000000</v>
      </c>
      <c r="H18" s="7"/>
      <c r="I18" s="7"/>
      <c r="J18" s="7"/>
    </row>
    <row r="19" spans="3:10" ht="31.5" thickBot="1" x14ac:dyDescent="0.3">
      <c r="C19" s="8" t="s">
        <v>17</v>
      </c>
      <c r="D19" s="7">
        <v>30</v>
      </c>
      <c r="E19" s="5" t="s">
        <v>57</v>
      </c>
      <c r="F19" s="17">
        <v>1200000</v>
      </c>
      <c r="G19" s="17">
        <f>+F19*D19*5</f>
        <v>180000000</v>
      </c>
      <c r="H19" s="7"/>
      <c r="I19" s="7"/>
      <c r="J19" s="7"/>
    </row>
    <row r="20" spans="3:10" ht="90.75" thickBot="1" x14ac:dyDescent="0.3">
      <c r="C20" s="8" t="s">
        <v>157</v>
      </c>
      <c r="D20" s="7">
        <v>40</v>
      </c>
      <c r="E20" s="5" t="s">
        <v>56</v>
      </c>
      <c r="F20" s="17">
        <v>1000000</v>
      </c>
      <c r="G20" s="17">
        <f>+F20*D20*5</f>
        <v>200000000</v>
      </c>
      <c r="H20" s="7"/>
      <c r="I20" s="7"/>
      <c r="J20" s="7"/>
    </row>
    <row r="21" spans="3:10" ht="16.5" thickBot="1" x14ac:dyDescent="0.3">
      <c r="C21" s="6" t="s">
        <v>18</v>
      </c>
      <c r="D21" s="7"/>
      <c r="E21" s="5"/>
      <c r="F21" s="17"/>
      <c r="G21" s="17"/>
      <c r="H21" s="7"/>
      <c r="I21" s="7"/>
      <c r="J21" s="7"/>
    </row>
    <row r="22" spans="3:10" ht="16.5" thickBot="1" x14ac:dyDescent="0.3">
      <c r="C22" s="6" t="s">
        <v>58</v>
      </c>
      <c r="D22" s="7">
        <v>3</v>
      </c>
      <c r="E22" s="5" t="s">
        <v>61</v>
      </c>
      <c r="F22" s="17">
        <v>1500000</v>
      </c>
      <c r="G22" s="17">
        <f>F22*D22*2</f>
        <v>9000000</v>
      </c>
      <c r="H22" s="7"/>
      <c r="I22" s="7"/>
      <c r="J22" s="7"/>
    </row>
    <row r="23" spans="3:10" ht="15.75" thickBot="1" x14ac:dyDescent="0.3">
      <c r="C23" s="8" t="s">
        <v>19</v>
      </c>
      <c r="D23" s="7"/>
      <c r="E23" s="5"/>
      <c r="F23" s="17"/>
      <c r="G23" s="17"/>
      <c r="H23" s="7"/>
      <c r="I23" s="7"/>
      <c r="J23" s="7"/>
    </row>
    <row r="24" spans="3:10" ht="16.5" thickBot="1" x14ac:dyDescent="0.3">
      <c r="C24" s="6" t="s">
        <v>20</v>
      </c>
      <c r="D24" s="7"/>
      <c r="E24" s="5"/>
      <c r="F24" s="17"/>
      <c r="G24" s="17"/>
      <c r="H24" s="7"/>
      <c r="I24" s="7"/>
      <c r="J24" s="7"/>
    </row>
    <row r="25" spans="3:10" ht="15.75" thickBot="1" x14ac:dyDescent="0.3">
      <c r="C25" s="8" t="s">
        <v>21</v>
      </c>
      <c r="D25" s="7">
        <v>144</v>
      </c>
      <c r="E25" s="5" t="s">
        <v>59</v>
      </c>
      <c r="F25" s="17">
        <v>250000</v>
      </c>
      <c r="G25" s="17">
        <f>F25*D25*5</f>
        <v>180000000</v>
      </c>
      <c r="H25" s="7"/>
      <c r="I25" s="7"/>
      <c r="J25" s="7"/>
    </row>
    <row r="26" spans="3:10" ht="15.75" thickBot="1" x14ac:dyDescent="0.3">
      <c r="C26" s="8" t="s">
        <v>22</v>
      </c>
      <c r="D26" s="7"/>
      <c r="E26" s="5"/>
      <c r="F26" s="17"/>
      <c r="G26" s="17"/>
      <c r="H26" s="7"/>
      <c r="I26" s="7"/>
      <c r="J26" s="7"/>
    </row>
    <row r="27" spans="3:10" ht="16.5" thickBot="1" x14ac:dyDescent="0.3">
      <c r="C27" s="6" t="s">
        <v>23</v>
      </c>
      <c r="D27" s="7"/>
      <c r="E27" s="5"/>
      <c r="F27" s="17"/>
      <c r="G27" s="17"/>
      <c r="H27" s="7"/>
      <c r="I27" s="7"/>
      <c r="J27" s="7"/>
    </row>
    <row r="28" spans="3:10" ht="15.75" thickBot="1" x14ac:dyDescent="0.3">
      <c r="C28" s="8" t="s">
        <v>24</v>
      </c>
      <c r="D28" s="7">
        <v>6</v>
      </c>
      <c r="E28" s="5" t="s">
        <v>60</v>
      </c>
      <c r="F28" s="17">
        <v>350000</v>
      </c>
      <c r="G28" s="17">
        <f>F28*D28*5</f>
        <v>10500000</v>
      </c>
      <c r="H28" s="7"/>
      <c r="I28" s="7"/>
      <c r="J28" s="7"/>
    </row>
    <row r="29" spans="3:10" ht="16.5" thickBot="1" x14ac:dyDescent="0.3">
      <c r="C29" s="8" t="s">
        <v>25</v>
      </c>
      <c r="D29" s="7">
        <v>1</v>
      </c>
      <c r="E29" s="5" t="s">
        <v>62</v>
      </c>
      <c r="F29" s="17">
        <v>3000000</v>
      </c>
      <c r="G29" s="17">
        <f>F29*5</f>
        <v>15000000</v>
      </c>
      <c r="H29" s="9"/>
      <c r="I29" s="9"/>
      <c r="J29" s="9"/>
    </row>
    <row r="30" spans="3:10" ht="16.5" thickBot="1" x14ac:dyDescent="0.3">
      <c r="C30" s="8" t="s">
        <v>26</v>
      </c>
      <c r="D30" s="7"/>
      <c r="E30" s="7"/>
      <c r="F30" s="7"/>
      <c r="G30" s="7"/>
      <c r="H30" s="9"/>
      <c r="I30" s="9"/>
      <c r="J30" s="9"/>
    </row>
    <row r="31" spans="3:10" ht="16.5" thickBot="1" x14ac:dyDescent="0.3">
      <c r="C31" s="8" t="s">
        <v>27</v>
      </c>
      <c r="D31" s="7">
        <v>12</v>
      </c>
      <c r="E31" s="7"/>
      <c r="F31" s="7">
        <v>3000000</v>
      </c>
      <c r="G31" s="17">
        <f>F31*12*5</f>
        <v>180000000</v>
      </c>
      <c r="H31" s="9"/>
      <c r="I31" s="9"/>
      <c r="J31" s="9"/>
    </row>
    <row r="32" spans="3:10" ht="16.5" thickBot="1" x14ac:dyDescent="0.3">
      <c r="C32" s="8" t="s">
        <v>28</v>
      </c>
      <c r="D32" s="9"/>
      <c r="E32" s="9"/>
      <c r="F32" s="9"/>
      <c r="G32" s="9"/>
      <c r="H32" s="9"/>
      <c r="I32" s="9"/>
      <c r="J32" s="9"/>
    </row>
    <row r="33" spans="3:10" ht="16.5" thickBot="1" x14ac:dyDescent="0.3">
      <c r="C33" s="6" t="s">
        <v>120</v>
      </c>
      <c r="D33" s="9"/>
      <c r="E33" s="9"/>
      <c r="F33" s="9"/>
      <c r="G33" s="20">
        <f>SUM(G8:G31)-G14</f>
        <v>7522300000</v>
      </c>
      <c r="H33" s="20"/>
      <c r="I33" s="9"/>
      <c r="J33" s="9"/>
    </row>
    <row r="34" spans="3:10" x14ac:dyDescent="0.25">
      <c r="F34" s="19"/>
      <c r="G34" s="19"/>
    </row>
    <row r="35" spans="3:10" ht="16.5" thickBot="1" x14ac:dyDescent="0.3">
      <c r="C35" s="45" t="s">
        <v>128</v>
      </c>
      <c r="G35" s="28"/>
    </row>
    <row r="36" spans="3:10" ht="48" thickBot="1" x14ac:dyDescent="0.3">
      <c r="C36" s="2" t="s">
        <v>30</v>
      </c>
      <c r="D36" s="3" t="s">
        <v>31</v>
      </c>
      <c r="E36" s="3" t="s">
        <v>1</v>
      </c>
      <c r="F36" s="3" t="s">
        <v>2</v>
      </c>
      <c r="G36" s="3" t="s">
        <v>3</v>
      </c>
      <c r="H36" s="3" t="s">
        <v>4</v>
      </c>
      <c r="I36" s="3" t="s">
        <v>5</v>
      </c>
      <c r="J36" s="3" t="s">
        <v>6</v>
      </c>
    </row>
    <row r="37" spans="3:10" ht="16.5" thickBot="1" x14ac:dyDescent="0.3">
      <c r="C37" s="6" t="s">
        <v>32</v>
      </c>
      <c r="D37" s="7"/>
      <c r="E37" s="5"/>
      <c r="F37" s="7"/>
      <c r="G37" s="7"/>
      <c r="H37" s="7"/>
      <c r="I37" s="7"/>
      <c r="J37" s="7"/>
    </row>
    <row r="38" spans="3:10" ht="15.75" thickBot="1" x14ac:dyDescent="0.3">
      <c r="C38" s="8" t="s">
        <v>33</v>
      </c>
      <c r="D38" s="7"/>
      <c r="E38" s="5"/>
      <c r="F38" s="7"/>
      <c r="G38" s="7"/>
      <c r="H38" s="7"/>
      <c r="I38" s="7"/>
      <c r="J38" s="7"/>
    </row>
    <row r="39" spans="3:10" ht="15.75" thickBot="1" x14ac:dyDescent="0.3">
      <c r="C39" s="8" t="s">
        <v>34</v>
      </c>
      <c r="D39" s="7"/>
      <c r="E39" s="5"/>
      <c r="F39" s="7"/>
      <c r="G39" s="7"/>
      <c r="H39" s="7"/>
      <c r="I39" s="7"/>
      <c r="J39" s="7"/>
    </row>
    <row r="40" spans="3:10" ht="15.75" thickBot="1" x14ac:dyDescent="0.3">
      <c r="C40" s="8" t="s">
        <v>114</v>
      </c>
      <c r="D40" s="5">
        <v>1</v>
      </c>
      <c r="E40" s="5" t="s">
        <v>115</v>
      </c>
      <c r="F40" s="17">
        <f>+D88</f>
        <v>37160000</v>
      </c>
      <c r="G40" s="17">
        <f>F40*1.8</f>
        <v>66888000</v>
      </c>
      <c r="H40" s="7"/>
      <c r="I40" s="7"/>
      <c r="J40" s="7"/>
    </row>
    <row r="41" spans="3:10" ht="30.75" thickBot="1" x14ac:dyDescent="0.3">
      <c r="C41" s="8" t="s">
        <v>36</v>
      </c>
      <c r="D41" s="7"/>
      <c r="E41" s="5"/>
      <c r="F41" s="7"/>
      <c r="G41" s="7"/>
      <c r="H41" s="7"/>
      <c r="I41" s="7"/>
      <c r="J41" s="7"/>
    </row>
    <row r="42" spans="3:10" ht="16.5" thickBot="1" x14ac:dyDescent="0.3">
      <c r="C42" s="6" t="s">
        <v>37</v>
      </c>
      <c r="D42" s="9"/>
      <c r="E42" s="10"/>
      <c r="F42" s="9"/>
      <c r="G42" s="18">
        <f>+SUM(G38:G41)</f>
        <v>66888000</v>
      </c>
      <c r="H42" s="9"/>
      <c r="I42" s="7"/>
      <c r="J42" s="7"/>
    </row>
    <row r="43" spans="3:10" ht="32.25" thickBot="1" x14ac:dyDescent="0.3">
      <c r="C43" s="6" t="s">
        <v>121</v>
      </c>
      <c r="D43" s="9"/>
      <c r="E43" s="10"/>
      <c r="F43" s="9"/>
      <c r="G43" s="9"/>
      <c r="H43" s="9"/>
      <c r="I43" s="7"/>
      <c r="J43" s="7"/>
    </row>
    <row r="44" spans="3:10" ht="32.25" thickBot="1" x14ac:dyDescent="0.3">
      <c r="C44" s="30" t="s">
        <v>39</v>
      </c>
      <c r="D44" s="5"/>
      <c r="E44" s="5"/>
      <c r="F44" s="7"/>
      <c r="G44" s="7"/>
      <c r="H44" s="7"/>
      <c r="I44" s="7"/>
      <c r="J44" s="7"/>
    </row>
    <row r="45" spans="3:10" ht="16.5" thickBot="1" x14ac:dyDescent="0.3">
      <c r="C45" s="8" t="s">
        <v>40</v>
      </c>
      <c r="D45" s="5"/>
      <c r="E45" s="5"/>
      <c r="F45" s="7"/>
      <c r="G45" s="7"/>
      <c r="H45" s="7"/>
      <c r="I45" s="7"/>
      <c r="J45" s="7"/>
    </row>
    <row r="46" spans="3:10" ht="16.5" thickBot="1" x14ac:dyDescent="0.3">
      <c r="C46" s="6" t="s">
        <v>41</v>
      </c>
      <c r="D46" s="5"/>
      <c r="E46" s="5"/>
      <c r="F46" s="7"/>
      <c r="G46" s="7"/>
      <c r="H46" s="7"/>
      <c r="I46" s="7"/>
      <c r="J46" s="7"/>
    </row>
    <row r="47" spans="3:10" ht="15.75" thickBot="1" x14ac:dyDescent="0.3">
      <c r="C47" s="8" t="s">
        <v>42</v>
      </c>
      <c r="D47" s="5"/>
      <c r="E47" s="5"/>
      <c r="F47" s="7"/>
      <c r="G47" s="7"/>
      <c r="H47" s="7"/>
      <c r="I47" s="7"/>
      <c r="J47" s="7"/>
    </row>
    <row r="48" spans="3:10" ht="15.75" thickBot="1" x14ac:dyDescent="0.3">
      <c r="C48" s="8" t="s">
        <v>43</v>
      </c>
      <c r="D48" s="7"/>
      <c r="E48" s="5"/>
      <c r="F48" s="7"/>
      <c r="G48" s="7"/>
      <c r="H48" s="7"/>
      <c r="I48" s="7"/>
      <c r="J48" s="7"/>
    </row>
    <row r="49" spans="3:10" ht="15.75" thickBot="1" x14ac:dyDescent="0.3">
      <c r="C49" s="8" t="s">
        <v>44</v>
      </c>
      <c r="D49" s="7">
        <v>1</v>
      </c>
      <c r="E49" s="5" t="s">
        <v>117</v>
      </c>
      <c r="F49" s="17">
        <v>1500000</v>
      </c>
      <c r="G49" s="17">
        <f>+F49*12*5</f>
        <v>90000000</v>
      </c>
      <c r="H49" s="17"/>
      <c r="I49" s="17"/>
      <c r="J49" s="17"/>
    </row>
    <row r="50" spans="3:10" ht="16.5" thickBot="1" x14ac:dyDescent="0.3">
      <c r="C50" s="6" t="s">
        <v>45</v>
      </c>
      <c r="D50" s="5"/>
      <c r="E50" s="5"/>
      <c r="F50" s="5"/>
      <c r="G50" s="5"/>
      <c r="H50" s="17"/>
      <c r="I50" s="17"/>
      <c r="J50" s="17"/>
    </row>
    <row r="51" spans="3:10" ht="15.75" thickBot="1" x14ac:dyDescent="0.3">
      <c r="C51" s="8" t="s">
        <v>46</v>
      </c>
      <c r="D51" s="5"/>
      <c r="E51" s="5"/>
      <c r="F51" s="5"/>
      <c r="G51" s="5"/>
      <c r="H51" s="17"/>
      <c r="I51" s="17"/>
      <c r="J51" s="17"/>
    </row>
    <row r="52" spans="3:10" ht="15.75" thickBot="1" x14ac:dyDescent="0.3">
      <c r="C52" s="8" t="s">
        <v>88</v>
      </c>
      <c r="D52" s="5">
        <v>1</v>
      </c>
      <c r="E52" s="5" t="s">
        <v>63</v>
      </c>
      <c r="F52" s="17">
        <f>+(D97+D103)/5</f>
        <v>110500000</v>
      </c>
      <c r="G52" s="17">
        <f>F52*5</f>
        <v>552500000</v>
      </c>
      <c r="H52" s="17"/>
      <c r="I52" s="17"/>
      <c r="J52" s="17"/>
    </row>
    <row r="53" spans="3:10" ht="15.75" thickBot="1" x14ac:dyDescent="0.3">
      <c r="C53" s="8" t="s">
        <v>89</v>
      </c>
      <c r="D53" s="5">
        <v>1</v>
      </c>
      <c r="E53" s="5" t="s">
        <v>63</v>
      </c>
      <c r="F53" s="17">
        <v>500000</v>
      </c>
      <c r="G53" s="17">
        <f>F53*5</f>
        <v>2500000</v>
      </c>
      <c r="H53" s="17"/>
      <c r="I53" s="17"/>
      <c r="J53" s="17"/>
    </row>
    <row r="54" spans="3:10" ht="16.5" thickBot="1" x14ac:dyDescent="0.3">
      <c r="C54" s="6" t="s">
        <v>47</v>
      </c>
      <c r="D54" s="5">
        <v>1</v>
      </c>
      <c r="E54" s="5" t="s">
        <v>109</v>
      </c>
      <c r="F54" s="17">
        <v>1000000</v>
      </c>
      <c r="G54" s="17">
        <f>F54*12*5</f>
        <v>60000000</v>
      </c>
      <c r="H54" s="7"/>
      <c r="I54" s="7"/>
      <c r="J54" s="7"/>
    </row>
    <row r="55" spans="3:10" ht="16.5" thickBot="1" x14ac:dyDescent="0.3">
      <c r="C55" s="6" t="s">
        <v>118</v>
      </c>
      <c r="D55" s="65">
        <f>+G54+G53+G52+G49</f>
        <v>705000000</v>
      </c>
      <c r="E55" s="66"/>
      <c r="F55" s="66"/>
      <c r="G55" s="66"/>
    </row>
    <row r="58" spans="3:10" ht="15.75" thickBot="1" x14ac:dyDescent="0.3">
      <c r="C58" t="s">
        <v>129</v>
      </c>
    </row>
    <row r="59" spans="3:10" ht="48" thickBot="1" x14ac:dyDescent="0.3">
      <c r="C59" s="2" t="s">
        <v>30</v>
      </c>
      <c r="D59" s="3" t="s">
        <v>31</v>
      </c>
      <c r="E59" s="3" t="s">
        <v>1</v>
      </c>
      <c r="F59" s="3" t="s">
        <v>2</v>
      </c>
      <c r="G59" s="3" t="s">
        <v>3</v>
      </c>
      <c r="H59" s="3" t="s">
        <v>4</v>
      </c>
      <c r="I59" s="3" t="s">
        <v>5</v>
      </c>
      <c r="J59" s="3" t="s">
        <v>6</v>
      </c>
    </row>
    <row r="60" spans="3:10" ht="32.25" thickBot="1" x14ac:dyDescent="0.3">
      <c r="C60" s="6" t="s">
        <v>53</v>
      </c>
      <c r="D60" s="7"/>
      <c r="E60" s="5"/>
      <c r="F60" s="17"/>
      <c r="G60" s="17"/>
      <c r="H60" s="7"/>
      <c r="I60" s="7"/>
      <c r="J60" s="7"/>
    </row>
    <row r="61" spans="3:10" ht="15.75" thickBot="1" x14ac:dyDescent="0.3">
      <c r="C61" s="8" t="s">
        <v>48</v>
      </c>
      <c r="D61" s="5">
        <v>1</v>
      </c>
      <c r="E61" s="5" t="s">
        <v>119</v>
      </c>
      <c r="F61" s="17">
        <v>1000000</v>
      </c>
      <c r="G61" s="17">
        <f>F61*60</f>
        <v>60000000</v>
      </c>
      <c r="H61" s="7"/>
      <c r="I61" s="7"/>
      <c r="J61" s="7"/>
    </row>
    <row r="62" spans="3:10" ht="16.5" thickBot="1" x14ac:dyDescent="0.3">
      <c r="C62" s="6" t="s">
        <v>49</v>
      </c>
      <c r="D62" s="5"/>
      <c r="E62" s="5"/>
      <c r="F62" s="17"/>
      <c r="G62" s="17"/>
      <c r="H62" s="7"/>
      <c r="I62" s="7"/>
      <c r="J62" s="7"/>
    </row>
    <row r="63" spans="3:10" ht="15.75" thickBot="1" x14ac:dyDescent="0.3">
      <c r="C63" s="8" t="s">
        <v>50</v>
      </c>
      <c r="D63" s="5">
        <v>1</v>
      </c>
      <c r="E63" s="5" t="s">
        <v>108</v>
      </c>
      <c r="F63" s="17">
        <v>3000000</v>
      </c>
      <c r="G63" s="17">
        <f>F63*12*5</f>
        <v>180000000</v>
      </c>
      <c r="H63" s="7"/>
      <c r="I63" s="7"/>
      <c r="J63" s="7"/>
    </row>
    <row r="64" spans="3:10" ht="15.75" thickBot="1" x14ac:dyDescent="0.3">
      <c r="C64" s="8" t="s">
        <v>51</v>
      </c>
      <c r="D64" s="7">
        <v>1</v>
      </c>
      <c r="E64" s="5"/>
      <c r="F64" s="17">
        <v>1000000</v>
      </c>
      <c r="G64" s="17">
        <f>F64*12*5</f>
        <v>60000000</v>
      </c>
      <c r="H64" s="7"/>
      <c r="I64" s="7"/>
      <c r="J64" s="7"/>
    </row>
    <row r="65" spans="3:13" ht="16.5" thickBot="1" x14ac:dyDescent="0.3">
      <c r="C65" s="6" t="s">
        <v>52</v>
      </c>
      <c r="D65" s="9">
        <v>1</v>
      </c>
      <c r="E65" s="10" t="s">
        <v>158</v>
      </c>
      <c r="F65" s="18">
        <f>G65</f>
        <v>240000000</v>
      </c>
      <c r="G65" s="18">
        <f>G64+G63+G60</f>
        <v>240000000</v>
      </c>
      <c r="H65" s="9"/>
      <c r="I65" s="9"/>
      <c r="J65" s="9"/>
    </row>
    <row r="66" spans="3:13" ht="32.25" thickBot="1" x14ac:dyDescent="0.3">
      <c r="C66" s="6" t="s">
        <v>122</v>
      </c>
      <c r="D66" s="9"/>
      <c r="E66" s="5"/>
      <c r="F66" s="18"/>
      <c r="G66" s="18">
        <f>+SUM(G61:G65)</f>
        <v>540000000</v>
      </c>
      <c r="H66" s="9"/>
      <c r="I66" s="7"/>
      <c r="J66" s="7"/>
    </row>
    <row r="67" spans="3:13" ht="30.75" customHeight="1" x14ac:dyDescent="0.25"/>
    <row r="68" spans="3:13" ht="25.5" customHeight="1" x14ac:dyDescent="0.25"/>
    <row r="69" spans="3:13" x14ac:dyDescent="0.25">
      <c r="C69" s="16" t="s">
        <v>130</v>
      </c>
      <c r="L69" s="63"/>
      <c r="M69" s="64"/>
    </row>
    <row r="70" spans="3:13" x14ac:dyDescent="0.25">
      <c r="C70" s="34"/>
      <c r="D70" s="34" t="s">
        <v>83</v>
      </c>
      <c r="E70" s="35" t="s">
        <v>106</v>
      </c>
      <c r="F70" s="34" t="s">
        <v>107</v>
      </c>
      <c r="L70" s="63"/>
      <c r="M70" s="64"/>
    </row>
    <row r="71" spans="3:13" x14ac:dyDescent="0.25">
      <c r="C71" s="34" t="s">
        <v>90</v>
      </c>
      <c r="D71" s="36">
        <v>9</v>
      </c>
      <c r="E71" s="37">
        <v>450000</v>
      </c>
      <c r="F71" s="37">
        <f>D71*E71</f>
        <v>4050000</v>
      </c>
      <c r="L71" s="63"/>
      <c r="M71" s="64"/>
    </row>
    <row r="72" spans="3:13" x14ac:dyDescent="0.25">
      <c r="C72" s="34" t="s">
        <v>91</v>
      </c>
      <c r="D72" s="36">
        <v>15</v>
      </c>
      <c r="E72" s="37">
        <v>80000</v>
      </c>
      <c r="F72" s="37">
        <f t="shared" ref="F72:F86" si="1">D72*E72</f>
        <v>1200000</v>
      </c>
      <c r="L72" s="63"/>
      <c r="M72" s="64"/>
    </row>
    <row r="73" spans="3:13" x14ac:dyDescent="0.25">
      <c r="C73" s="34" t="s">
        <v>92</v>
      </c>
      <c r="D73" s="36">
        <v>4</v>
      </c>
      <c r="E73" s="37">
        <v>100000</v>
      </c>
      <c r="F73" s="37">
        <f t="shared" si="1"/>
        <v>400000</v>
      </c>
    </row>
    <row r="74" spans="3:13" x14ac:dyDescent="0.25">
      <c r="C74" s="34" t="s">
        <v>93</v>
      </c>
      <c r="D74" s="36">
        <v>1</v>
      </c>
      <c r="E74" s="37">
        <v>1200000</v>
      </c>
      <c r="F74" s="37">
        <f t="shared" si="1"/>
        <v>1200000</v>
      </c>
    </row>
    <row r="75" spans="3:13" x14ac:dyDescent="0.25">
      <c r="C75" s="34" t="s">
        <v>94</v>
      </c>
      <c r="D75" s="36">
        <v>1</v>
      </c>
      <c r="E75" s="37">
        <v>400000</v>
      </c>
      <c r="F75" s="37">
        <f t="shared" si="1"/>
        <v>400000</v>
      </c>
    </row>
    <row r="76" spans="3:13" x14ac:dyDescent="0.25">
      <c r="C76" s="34" t="s">
        <v>95</v>
      </c>
      <c r="D76" s="36">
        <v>1</v>
      </c>
      <c r="E76" s="37">
        <v>150000</v>
      </c>
      <c r="F76" s="37">
        <f t="shared" si="1"/>
        <v>150000</v>
      </c>
    </row>
    <row r="77" spans="3:13" x14ac:dyDescent="0.25">
      <c r="C77" s="34" t="s">
        <v>96</v>
      </c>
      <c r="D77" s="36">
        <v>1</v>
      </c>
      <c r="E77" s="37">
        <v>2000000</v>
      </c>
      <c r="F77" s="37">
        <f t="shared" si="1"/>
        <v>2000000</v>
      </c>
    </row>
    <row r="78" spans="3:13" x14ac:dyDescent="0.25">
      <c r="C78" s="34" t="s">
        <v>97</v>
      </c>
      <c r="D78" s="36">
        <v>1</v>
      </c>
      <c r="E78" s="37">
        <v>200000</v>
      </c>
      <c r="F78" s="37">
        <f t="shared" si="1"/>
        <v>200000</v>
      </c>
    </row>
    <row r="79" spans="3:13" x14ac:dyDescent="0.25">
      <c r="C79" s="34" t="s">
        <v>98</v>
      </c>
      <c r="D79" s="36">
        <v>1</v>
      </c>
      <c r="E79" s="37">
        <v>50000</v>
      </c>
      <c r="F79" s="37">
        <f t="shared" si="1"/>
        <v>50000</v>
      </c>
    </row>
    <row r="80" spans="3:13" x14ac:dyDescent="0.25">
      <c r="C80" s="34" t="s">
        <v>99</v>
      </c>
      <c r="D80" s="36">
        <v>1</v>
      </c>
      <c r="E80" s="37">
        <v>1500000</v>
      </c>
      <c r="F80" s="37">
        <f t="shared" si="1"/>
        <v>1500000</v>
      </c>
    </row>
    <row r="81" spans="3:6" x14ac:dyDescent="0.25">
      <c r="C81" s="34" t="s">
        <v>100</v>
      </c>
      <c r="D81" s="36">
        <v>6</v>
      </c>
      <c r="E81" s="37">
        <v>35000</v>
      </c>
      <c r="F81" s="37">
        <f t="shared" si="1"/>
        <v>210000</v>
      </c>
    </row>
    <row r="82" spans="3:6" x14ac:dyDescent="0.25">
      <c r="C82" s="34" t="s">
        <v>101</v>
      </c>
      <c r="D82" s="36">
        <v>4</v>
      </c>
      <c r="E82" s="37">
        <v>150000</v>
      </c>
      <c r="F82" s="37">
        <f t="shared" si="1"/>
        <v>600000</v>
      </c>
    </row>
    <row r="83" spans="3:6" x14ac:dyDescent="0.25">
      <c r="C83" s="34" t="s">
        <v>102</v>
      </c>
      <c r="D83" s="36">
        <v>10</v>
      </c>
      <c r="E83" s="37">
        <v>2000000</v>
      </c>
      <c r="F83" s="37">
        <f t="shared" si="1"/>
        <v>20000000</v>
      </c>
    </row>
    <row r="84" spans="3:6" x14ac:dyDescent="0.25">
      <c r="C84" s="34" t="s">
        <v>103</v>
      </c>
      <c r="D84" s="36">
        <v>2</v>
      </c>
      <c r="E84" s="37">
        <v>350000</v>
      </c>
      <c r="F84" s="37">
        <f t="shared" si="1"/>
        <v>700000</v>
      </c>
    </row>
    <row r="85" spans="3:6" x14ac:dyDescent="0.25">
      <c r="C85" s="34" t="s">
        <v>104</v>
      </c>
      <c r="D85" s="36">
        <v>4</v>
      </c>
      <c r="E85" s="37">
        <v>50000</v>
      </c>
      <c r="F85" s="37">
        <f t="shared" si="1"/>
        <v>200000</v>
      </c>
    </row>
    <row r="86" spans="3:6" x14ac:dyDescent="0.25">
      <c r="C86" s="34" t="s">
        <v>105</v>
      </c>
      <c r="D86" s="36">
        <v>1</v>
      </c>
      <c r="E86" s="37">
        <v>300000</v>
      </c>
      <c r="F86" s="37">
        <f t="shared" si="1"/>
        <v>300000</v>
      </c>
    </row>
    <row r="87" spans="3:6" x14ac:dyDescent="0.25">
      <c r="C87" s="34" t="s">
        <v>113</v>
      </c>
      <c r="D87" s="36">
        <v>2</v>
      </c>
      <c r="E87" s="37">
        <v>2000000</v>
      </c>
      <c r="F87" s="38">
        <f>E87*D87</f>
        <v>4000000</v>
      </c>
    </row>
    <row r="88" spans="3:6" x14ac:dyDescent="0.25">
      <c r="C88" s="34" t="s">
        <v>123</v>
      </c>
      <c r="D88" s="46">
        <f>SUM(F71:F87)</f>
        <v>37160000</v>
      </c>
      <c r="E88" s="46"/>
      <c r="F88" s="46"/>
    </row>
    <row r="90" spans="3:6" x14ac:dyDescent="0.25">
      <c r="C90" s="47" t="s">
        <v>131</v>
      </c>
    </row>
    <row r="91" spans="3:6" x14ac:dyDescent="0.25">
      <c r="C91" s="39" t="s">
        <v>125</v>
      </c>
      <c r="D91" s="34" t="s">
        <v>126</v>
      </c>
    </row>
    <row r="92" spans="3:6" x14ac:dyDescent="0.25">
      <c r="C92" s="39" t="s">
        <v>76</v>
      </c>
      <c r="D92" s="40">
        <v>50000000</v>
      </c>
    </row>
    <row r="93" spans="3:6" x14ac:dyDescent="0.25">
      <c r="C93" s="39" t="s">
        <v>77</v>
      </c>
      <c r="D93" s="40">
        <v>3000000</v>
      </c>
    </row>
    <row r="94" spans="3:6" x14ac:dyDescent="0.25">
      <c r="C94" s="39" t="s">
        <v>78</v>
      </c>
      <c r="D94" s="37">
        <f>D93*5</f>
        <v>15000000</v>
      </c>
    </row>
    <row r="95" spans="3:6" ht="30" x14ac:dyDescent="0.25">
      <c r="C95" s="42" t="s">
        <v>81</v>
      </c>
      <c r="D95" s="37">
        <f>7500000*12</f>
        <v>90000000</v>
      </c>
    </row>
    <row r="96" spans="3:6" ht="30" x14ac:dyDescent="0.25">
      <c r="C96" s="42" t="s">
        <v>79</v>
      </c>
      <c r="D96" s="37">
        <f>D95*5</f>
        <v>450000000</v>
      </c>
    </row>
    <row r="97" spans="3:7" x14ac:dyDescent="0.25">
      <c r="C97" s="39" t="s">
        <v>124</v>
      </c>
      <c r="D97" s="35">
        <f>D92+D94++D96</f>
        <v>515000000</v>
      </c>
    </row>
    <row r="99" spans="3:7" x14ac:dyDescent="0.25">
      <c r="C99" s="16" t="s">
        <v>132</v>
      </c>
    </row>
    <row r="100" spans="3:7" x14ac:dyDescent="0.25">
      <c r="C100" s="39"/>
      <c r="D100" s="34" t="s">
        <v>126</v>
      </c>
    </row>
    <row r="101" spans="3:7" x14ac:dyDescent="0.25">
      <c r="C101" s="39" t="s">
        <v>73</v>
      </c>
      <c r="D101" s="40">
        <v>150</v>
      </c>
    </row>
    <row r="102" spans="3:7" x14ac:dyDescent="0.25">
      <c r="C102" s="41" t="s">
        <v>74</v>
      </c>
      <c r="D102" s="37">
        <v>250000</v>
      </c>
    </row>
    <row r="103" spans="3:7" x14ac:dyDescent="0.25">
      <c r="C103" s="39" t="s">
        <v>75</v>
      </c>
      <c r="D103" s="35">
        <f>150*D102</f>
        <v>37500000</v>
      </c>
    </row>
    <row r="105" spans="3:7" ht="15.75" thickBot="1" x14ac:dyDescent="0.3">
      <c r="C105" s="48" t="s">
        <v>133</v>
      </c>
    </row>
    <row r="106" spans="3:7" ht="16.5" thickBot="1" x14ac:dyDescent="0.3">
      <c r="C106" s="31" t="s">
        <v>120</v>
      </c>
      <c r="D106" s="43">
        <f>+G33</f>
        <v>7522300000</v>
      </c>
      <c r="E106" s="19"/>
    </row>
    <row r="107" spans="3:7" ht="16.5" thickBot="1" x14ac:dyDescent="0.3">
      <c r="C107" s="31" t="s">
        <v>37</v>
      </c>
      <c r="D107" s="43">
        <f>+G42</f>
        <v>66888000</v>
      </c>
    </row>
    <row r="108" spans="3:7" ht="16.5" thickBot="1" x14ac:dyDescent="0.3">
      <c r="C108" s="31" t="s">
        <v>118</v>
      </c>
      <c r="D108" s="43">
        <f>+D55</f>
        <v>705000000</v>
      </c>
    </row>
    <row r="109" spans="3:7" ht="32.25" thickBot="1" x14ac:dyDescent="0.3">
      <c r="C109" s="31" t="s">
        <v>122</v>
      </c>
      <c r="D109" s="43">
        <f>+G66</f>
        <v>540000000</v>
      </c>
    </row>
    <row r="110" spans="3:7" ht="32.25" thickBot="1" x14ac:dyDescent="0.3">
      <c r="C110" s="44" t="s">
        <v>54</v>
      </c>
      <c r="D110" s="44">
        <f>SUM(D106:D109)</f>
        <v>8834188000</v>
      </c>
      <c r="E110" s="19"/>
      <c r="G110" s="27"/>
    </row>
  </sheetData>
  <mergeCells count="5">
    <mergeCell ref="C3:J3"/>
    <mergeCell ref="C4:J4"/>
    <mergeCell ref="L69:L72"/>
    <mergeCell ref="M69:M72"/>
    <mergeCell ref="D55:G55"/>
  </mergeCells>
  <pageMargins left="0.39370078740157483" right="0.19685039370078741" top="7.874015748031496E-2" bottom="7.874015748031496E-2" header="0" footer="0"/>
  <pageSetup scale="3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15E3-079B-4B52-B26F-32D3FFAE7CE7}">
  <dimension ref="D5:W19"/>
  <sheetViews>
    <sheetView topLeftCell="A3" workbookViewId="0">
      <selection activeCell="D6" sqref="D6:I9"/>
    </sheetView>
  </sheetViews>
  <sheetFormatPr baseColWidth="10" defaultRowHeight="15" x14ac:dyDescent="0.25"/>
  <cols>
    <col min="3" max="3" width="8.5703125" customWidth="1"/>
    <col min="4" max="4" width="19" customWidth="1"/>
    <col min="5" max="5" width="12" bestFit="1" customWidth="1"/>
    <col min="6" max="6" width="20" customWidth="1"/>
    <col min="7" max="7" width="18.42578125" bestFit="1" customWidth="1"/>
    <col min="8" max="8" width="17.7109375" style="19" bestFit="1" customWidth="1"/>
    <col min="9" max="9" width="17.42578125" customWidth="1"/>
  </cols>
  <sheetData>
    <row r="5" spans="4:23" ht="15.75" x14ac:dyDescent="0.25">
      <c r="D5" s="67" t="s">
        <v>134</v>
      </c>
      <c r="E5" s="67"/>
      <c r="F5" s="67"/>
      <c r="G5" s="68">
        <v>125000</v>
      </c>
      <c r="H5" s="68"/>
      <c r="I5" s="68"/>
      <c r="L5">
        <v>144</v>
      </c>
      <c r="M5">
        <f>+L5*40</f>
        <v>5760</v>
      </c>
    </row>
    <row r="6" spans="4:23" x14ac:dyDescent="0.25">
      <c r="E6" s="32" t="s">
        <v>65</v>
      </c>
      <c r="F6" s="32" t="s">
        <v>66</v>
      </c>
      <c r="G6" s="32" t="s">
        <v>67</v>
      </c>
      <c r="H6" s="32" t="s">
        <v>68</v>
      </c>
      <c r="I6" s="32" t="s">
        <v>69</v>
      </c>
    </row>
    <row r="7" spans="4:23" x14ac:dyDescent="0.25">
      <c r="D7" s="33" t="s">
        <v>135</v>
      </c>
      <c r="E7" s="49">
        <v>0.1</v>
      </c>
      <c r="F7" s="49">
        <v>0.2</v>
      </c>
      <c r="G7" s="49">
        <v>0.25</v>
      </c>
      <c r="H7" s="49">
        <v>0.35</v>
      </c>
      <c r="I7" s="49">
        <v>0.45</v>
      </c>
    </row>
    <row r="8" spans="4:23" x14ac:dyDescent="0.25">
      <c r="D8" s="50" t="s">
        <v>136</v>
      </c>
      <c r="E8" s="52">
        <f>$G$5*E7</f>
        <v>12500</v>
      </c>
      <c r="F8" s="52">
        <f>$G$5*F7</f>
        <v>25000</v>
      </c>
      <c r="G8" s="52">
        <f>$G$5*G7</f>
        <v>31250</v>
      </c>
      <c r="H8" s="52">
        <f>$G$5*H7</f>
        <v>43750</v>
      </c>
      <c r="I8" s="52">
        <f>$G$5*I7</f>
        <v>56250</v>
      </c>
    </row>
    <row r="9" spans="4:23" ht="30" x14ac:dyDescent="0.25">
      <c r="D9" s="51" t="s">
        <v>137</v>
      </c>
      <c r="E9" s="53">
        <f>E8*5%</f>
        <v>625</v>
      </c>
      <c r="F9" s="53">
        <f>F8*30%</f>
        <v>7500</v>
      </c>
      <c r="G9" s="53">
        <f>G8*35%</f>
        <v>10937.5</v>
      </c>
      <c r="H9" s="53">
        <f>H8*40%</f>
        <v>17500</v>
      </c>
      <c r="I9" s="53">
        <f>I8*50%</f>
        <v>28125</v>
      </c>
    </row>
    <row r="10" spans="4:23" x14ac:dyDescent="0.25">
      <c r="P10">
        <f>1500*100</f>
        <v>150000</v>
      </c>
    </row>
    <row r="11" spans="4:23" x14ac:dyDescent="0.25">
      <c r="G11" s="27"/>
    </row>
    <row r="12" spans="4:23" ht="15.75" thickBot="1" x14ac:dyDescent="0.3">
      <c r="E12">
        <f>12500*1000000</f>
        <v>12500000000</v>
      </c>
    </row>
    <row r="13" spans="4:23" ht="78" customHeight="1" thickBot="1" x14ac:dyDescent="0.3">
      <c r="G13" s="27"/>
      <c r="M13" s="71" t="s">
        <v>145</v>
      </c>
      <c r="N13" s="71" t="s">
        <v>146</v>
      </c>
      <c r="O13" s="71" t="s">
        <v>147</v>
      </c>
      <c r="P13" s="71" t="s">
        <v>148</v>
      </c>
      <c r="Q13" s="71" t="s">
        <v>149</v>
      </c>
      <c r="R13" s="71" t="s">
        <v>150</v>
      </c>
      <c r="S13" s="73" t="s">
        <v>151</v>
      </c>
      <c r="T13" s="74"/>
      <c r="U13" s="75"/>
      <c r="V13" s="76" t="s">
        <v>152</v>
      </c>
      <c r="W13" s="75"/>
    </row>
    <row r="14" spans="4:23" ht="32.25" thickBot="1" x14ac:dyDescent="0.3">
      <c r="D14" s="69" t="s">
        <v>138</v>
      </c>
      <c r="E14" s="70"/>
      <c r="F14" s="69" t="s">
        <v>139</v>
      </c>
      <c r="G14" s="70"/>
      <c r="H14" s="69" t="s">
        <v>140</v>
      </c>
      <c r="I14" s="70"/>
      <c r="M14" s="72"/>
      <c r="N14" s="72"/>
      <c r="O14" s="72"/>
      <c r="P14" s="72"/>
      <c r="Q14" s="72"/>
      <c r="R14" s="72"/>
      <c r="S14" s="56" t="s">
        <v>141</v>
      </c>
      <c r="T14" s="56" t="s">
        <v>142</v>
      </c>
      <c r="U14" s="56" t="s">
        <v>143</v>
      </c>
      <c r="V14" s="56" t="s">
        <v>153</v>
      </c>
      <c r="W14" s="56" t="s">
        <v>154</v>
      </c>
    </row>
    <row r="15" spans="4:23" ht="15.75" thickBot="1" x14ac:dyDescent="0.3">
      <c r="D15" s="54" t="s">
        <v>141</v>
      </c>
      <c r="E15" s="55" t="s">
        <v>142</v>
      </c>
      <c r="F15" s="55" t="s">
        <v>141</v>
      </c>
      <c r="G15" s="55" t="s">
        <v>142</v>
      </c>
      <c r="H15" s="55" t="s">
        <v>143</v>
      </c>
      <c r="I15" s="55" t="s">
        <v>144</v>
      </c>
      <c r="M15" s="57"/>
      <c r="N15" s="58"/>
      <c r="O15" s="59"/>
      <c r="P15" s="59"/>
      <c r="Q15" s="59"/>
      <c r="R15" s="60"/>
      <c r="S15" s="60"/>
      <c r="T15" s="60"/>
      <c r="U15" s="60"/>
      <c r="V15" s="60"/>
      <c r="W15" s="60"/>
    </row>
    <row r="16" spans="4:23" ht="15.75" thickBot="1" x14ac:dyDescent="0.3">
      <c r="D16" s="77">
        <v>5760</v>
      </c>
      <c r="E16" s="80">
        <v>70000</v>
      </c>
      <c r="F16" s="80">
        <v>16</v>
      </c>
      <c r="G16" s="80">
        <v>37</v>
      </c>
      <c r="H16" s="83">
        <v>8782388000</v>
      </c>
      <c r="I16" s="83">
        <v>8782388000</v>
      </c>
      <c r="M16" s="57"/>
      <c r="N16" s="58"/>
      <c r="O16" s="59"/>
      <c r="P16" s="59"/>
      <c r="Q16" s="59"/>
      <c r="R16" s="60"/>
      <c r="S16" s="60"/>
      <c r="T16" s="60"/>
      <c r="U16" s="60"/>
      <c r="V16" s="60"/>
      <c r="W16" s="60"/>
    </row>
    <row r="17" spans="4:23" ht="15.75" thickBot="1" x14ac:dyDescent="0.3">
      <c r="D17" s="78"/>
      <c r="E17" s="81"/>
      <c r="F17" s="81"/>
      <c r="G17" s="81"/>
      <c r="H17" s="84"/>
      <c r="I17" s="84"/>
      <c r="M17" s="57"/>
      <c r="N17" s="58"/>
      <c r="O17" s="59"/>
      <c r="P17" s="59"/>
      <c r="Q17" s="59"/>
      <c r="R17" s="60"/>
      <c r="S17" s="60"/>
      <c r="T17" s="60"/>
      <c r="U17" s="60"/>
      <c r="V17" s="60"/>
      <c r="W17" s="60"/>
    </row>
    <row r="18" spans="4:23" x14ac:dyDescent="0.25">
      <c r="D18" s="78"/>
      <c r="E18" s="81"/>
      <c r="F18" s="81"/>
      <c r="G18" s="81"/>
      <c r="H18" s="84"/>
      <c r="I18" s="84"/>
    </row>
    <row r="19" spans="4:23" ht="15.75" thickBot="1" x14ac:dyDescent="0.3">
      <c r="D19" s="79"/>
      <c r="E19" s="82"/>
      <c r="F19" s="82"/>
      <c r="G19" s="82"/>
      <c r="H19" s="85"/>
      <c r="I19" s="85"/>
    </row>
  </sheetData>
  <mergeCells count="19">
    <mergeCell ref="R13:R14"/>
    <mergeCell ref="S13:U13"/>
    <mergeCell ref="V13:W13"/>
    <mergeCell ref="D16:D19"/>
    <mergeCell ref="M13:M14"/>
    <mergeCell ref="N13:N14"/>
    <mergeCell ref="O13:O14"/>
    <mergeCell ref="P13:P14"/>
    <mergeCell ref="Q13:Q14"/>
    <mergeCell ref="E16:E19"/>
    <mergeCell ref="F16:F19"/>
    <mergeCell ref="G16:G19"/>
    <mergeCell ref="H16:H19"/>
    <mergeCell ref="I16:I19"/>
    <mergeCell ref="D5:F5"/>
    <mergeCell ref="G5:I5"/>
    <mergeCell ref="D14:E14"/>
    <mergeCell ref="F14:G14"/>
    <mergeCell ref="H14:I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90432-4F6A-4DDD-A693-12207C7010E5}">
  <dimension ref="C2:BB36"/>
  <sheetViews>
    <sheetView topLeftCell="U18" workbookViewId="0">
      <selection activeCell="AD25" sqref="AD25:AE27"/>
    </sheetView>
  </sheetViews>
  <sheetFormatPr baseColWidth="10" defaultRowHeight="15" x14ac:dyDescent="0.25"/>
  <cols>
    <col min="3" max="3" width="29.5703125" customWidth="1"/>
    <col min="4" max="4" width="19.28515625" customWidth="1"/>
    <col min="5" max="5" width="16.7109375" customWidth="1"/>
    <col min="6" max="6" width="19.42578125" customWidth="1"/>
    <col min="7" max="7" width="21.28515625" customWidth="1"/>
    <col min="8" max="8" width="19.5703125" customWidth="1"/>
    <col min="9" max="9" width="23.85546875" customWidth="1"/>
    <col min="10" max="10" width="15.7109375" customWidth="1"/>
    <col min="16" max="16" width="25.5703125" customWidth="1"/>
    <col min="18" max="18" width="15" style="19" customWidth="1"/>
    <col min="19" max="19" width="16.7109375" customWidth="1"/>
    <col min="28" max="28" width="8" customWidth="1"/>
    <col min="29" max="29" width="11.42578125" hidden="1" customWidth="1"/>
    <col min="30" max="30" width="28.28515625" customWidth="1"/>
    <col min="31" max="31" width="14.5703125" customWidth="1"/>
    <col min="37" max="37" width="32.28515625" customWidth="1"/>
    <col min="38" max="38" width="20.42578125" customWidth="1"/>
    <col min="41" max="41" width="13" bestFit="1" customWidth="1"/>
    <col min="43" max="43" width="14.85546875" bestFit="1" customWidth="1"/>
    <col min="45" max="45" width="13.85546875" bestFit="1" customWidth="1"/>
    <col min="49" max="49" width="15.85546875" bestFit="1" customWidth="1"/>
    <col min="50" max="50" width="19.140625" customWidth="1"/>
    <col min="51" max="51" width="24.28515625" customWidth="1"/>
    <col min="52" max="52" width="20.5703125" customWidth="1"/>
    <col min="53" max="53" width="22.5703125" customWidth="1"/>
  </cols>
  <sheetData>
    <row r="2" spans="3:44" ht="15.75" thickBot="1" x14ac:dyDescent="0.3"/>
    <row r="3" spans="3:44" ht="48" thickBot="1" x14ac:dyDescent="0.3">
      <c r="C3" s="2" t="s">
        <v>30</v>
      </c>
      <c r="D3" s="3" t="s">
        <v>31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Q3" t="s">
        <v>83</v>
      </c>
      <c r="R3" s="19" t="s">
        <v>106</v>
      </c>
      <c r="S3" t="s">
        <v>107</v>
      </c>
    </row>
    <row r="4" spans="3:44" ht="63.75" thickBot="1" x14ac:dyDescent="0.3">
      <c r="C4" s="6" t="s">
        <v>32</v>
      </c>
      <c r="D4" s="7"/>
      <c r="E4" s="5"/>
      <c r="F4" s="7"/>
      <c r="G4" s="7"/>
      <c r="H4" s="7"/>
      <c r="I4" s="7"/>
      <c r="J4" s="7"/>
      <c r="P4" t="s">
        <v>90</v>
      </c>
      <c r="Q4">
        <v>9</v>
      </c>
      <c r="R4" s="19">
        <v>450000</v>
      </c>
      <c r="S4" s="19">
        <f>Q4*R4</f>
        <v>4050000</v>
      </c>
    </row>
    <row r="5" spans="3:44" ht="45.75" thickBot="1" x14ac:dyDescent="0.3">
      <c r="C5" s="8" t="s">
        <v>33</v>
      </c>
      <c r="D5" s="7"/>
      <c r="E5" s="5"/>
      <c r="F5" s="7"/>
      <c r="G5" s="7"/>
      <c r="H5" s="7"/>
      <c r="I5" s="7"/>
      <c r="J5" s="7"/>
      <c r="P5" t="s">
        <v>91</v>
      </c>
      <c r="Q5">
        <v>15</v>
      </c>
      <c r="R5" s="19">
        <v>80000</v>
      </c>
      <c r="S5" s="19">
        <f t="shared" ref="S5:S19" si="0">Q5*R5</f>
        <v>1200000</v>
      </c>
    </row>
    <row r="6" spans="3:44" ht="45.75" thickBot="1" x14ac:dyDescent="0.3">
      <c r="C6" s="8" t="s">
        <v>34</v>
      </c>
      <c r="D6" s="7"/>
      <c r="E6" s="5"/>
      <c r="F6" s="7"/>
      <c r="G6" s="7"/>
      <c r="H6" s="7"/>
      <c r="I6" s="7"/>
      <c r="J6" s="7"/>
      <c r="P6" t="s">
        <v>92</v>
      </c>
      <c r="Q6">
        <v>4</v>
      </c>
      <c r="R6" s="19">
        <v>100000</v>
      </c>
      <c r="S6" s="19">
        <f t="shared" si="0"/>
        <v>400000</v>
      </c>
    </row>
    <row r="7" spans="3:44" ht="30.75" thickBot="1" x14ac:dyDescent="0.3">
      <c r="C7" s="8" t="s">
        <v>35</v>
      </c>
      <c r="D7" s="7"/>
      <c r="E7" s="5"/>
      <c r="F7" s="7"/>
      <c r="G7" s="7"/>
      <c r="H7" s="7"/>
      <c r="I7" s="7"/>
      <c r="J7" s="7"/>
      <c r="P7" t="s">
        <v>93</v>
      </c>
      <c r="Q7">
        <v>1</v>
      </c>
      <c r="R7" s="19">
        <v>1200000</v>
      </c>
      <c r="S7" s="19">
        <f t="shared" si="0"/>
        <v>1200000</v>
      </c>
    </row>
    <row r="8" spans="3:44" ht="30.75" thickBot="1" x14ac:dyDescent="0.3">
      <c r="C8" s="8" t="s">
        <v>36</v>
      </c>
      <c r="D8" s="7"/>
      <c r="E8" s="5"/>
      <c r="F8" s="7"/>
      <c r="G8" s="7"/>
      <c r="H8" s="7"/>
      <c r="I8" s="7"/>
      <c r="J8" s="7"/>
      <c r="P8" t="s">
        <v>94</v>
      </c>
      <c r="Q8">
        <v>1</v>
      </c>
      <c r="R8" s="19">
        <v>400000</v>
      </c>
      <c r="S8" s="19">
        <f t="shared" si="0"/>
        <v>400000</v>
      </c>
    </row>
    <row r="9" spans="3:44" ht="79.5" thickBot="1" x14ac:dyDescent="0.3">
      <c r="C9" s="6" t="s">
        <v>37</v>
      </c>
      <c r="D9" s="9"/>
      <c r="E9" s="10"/>
      <c r="F9" s="9"/>
      <c r="G9" s="9"/>
      <c r="H9" s="9"/>
      <c r="I9" s="7"/>
      <c r="J9" s="7"/>
      <c r="P9" t="s">
        <v>95</v>
      </c>
      <c r="Q9">
        <v>1</v>
      </c>
      <c r="R9" s="19">
        <v>150000</v>
      </c>
      <c r="S9" s="19">
        <f t="shared" si="0"/>
        <v>150000</v>
      </c>
    </row>
    <row r="10" spans="3:44" ht="32.25" thickBot="1" x14ac:dyDescent="0.3">
      <c r="C10" s="6" t="s">
        <v>38</v>
      </c>
      <c r="D10" s="9"/>
      <c r="E10" s="10"/>
      <c r="F10" s="9"/>
      <c r="G10" s="9"/>
      <c r="H10" s="9"/>
      <c r="I10" s="7"/>
      <c r="J10" s="7"/>
      <c r="P10" t="s">
        <v>96</v>
      </c>
      <c r="Q10">
        <v>1</v>
      </c>
      <c r="R10" s="19">
        <v>2000000</v>
      </c>
      <c r="S10" s="19">
        <f t="shared" si="0"/>
        <v>2000000</v>
      </c>
    </row>
    <row r="11" spans="3:44" ht="32.25" thickBot="1" x14ac:dyDescent="0.3">
      <c r="C11" s="11" t="s">
        <v>39</v>
      </c>
      <c r="D11" s="5"/>
      <c r="E11" s="5"/>
      <c r="F11" s="7"/>
      <c r="G11" s="7"/>
      <c r="H11" s="7"/>
      <c r="I11" s="7"/>
      <c r="J11" s="7"/>
      <c r="P11" t="s">
        <v>97</v>
      </c>
      <c r="Q11">
        <v>1</v>
      </c>
      <c r="R11" s="19">
        <v>200000</v>
      </c>
      <c r="S11" s="19">
        <f t="shared" si="0"/>
        <v>200000</v>
      </c>
      <c r="AB11" t="s">
        <v>110</v>
      </c>
      <c r="AD11" s="19">
        <v>200000</v>
      </c>
    </row>
    <row r="12" spans="3:44" ht="16.5" thickBot="1" x14ac:dyDescent="0.3">
      <c r="C12" s="8" t="s">
        <v>40</v>
      </c>
      <c r="D12" s="5"/>
      <c r="E12" s="5"/>
      <c r="F12" s="7"/>
      <c r="G12" s="7"/>
      <c r="H12" s="7"/>
      <c r="I12" s="7"/>
      <c r="J12" s="7"/>
      <c r="P12" t="s">
        <v>98</v>
      </c>
      <c r="Q12">
        <v>1</v>
      </c>
      <c r="R12" s="19">
        <v>50000</v>
      </c>
      <c r="S12" s="19">
        <f t="shared" si="0"/>
        <v>50000</v>
      </c>
      <c r="AB12" t="s">
        <v>111</v>
      </c>
      <c r="AD12" s="19">
        <v>300000</v>
      </c>
    </row>
    <row r="13" spans="3:44" ht="63.75" thickBot="1" x14ac:dyDescent="0.3">
      <c r="C13" s="6" t="s">
        <v>41</v>
      </c>
      <c r="D13" s="5"/>
      <c r="E13" s="5"/>
      <c r="F13" s="7"/>
      <c r="G13" s="7"/>
      <c r="H13" s="7"/>
      <c r="I13" s="7"/>
      <c r="J13" s="7"/>
      <c r="P13" t="s">
        <v>99</v>
      </c>
      <c r="Q13">
        <v>1</v>
      </c>
      <c r="R13" s="19">
        <v>1500000</v>
      </c>
      <c r="S13" s="19">
        <f t="shared" si="0"/>
        <v>1500000</v>
      </c>
      <c r="AB13" t="s">
        <v>112</v>
      </c>
      <c r="AD13" s="19">
        <v>500000</v>
      </c>
    </row>
    <row r="14" spans="3:44" ht="30.75" thickBot="1" x14ac:dyDescent="0.3">
      <c r="C14" s="8" t="s">
        <v>42</v>
      </c>
      <c r="D14" s="5"/>
      <c r="E14" s="5"/>
      <c r="F14" s="7"/>
      <c r="G14" s="7"/>
      <c r="H14" s="7"/>
      <c r="I14" s="7"/>
      <c r="J14" s="7"/>
      <c r="P14" t="s">
        <v>100</v>
      </c>
      <c r="Q14">
        <v>6</v>
      </c>
      <c r="R14" s="19">
        <v>35000</v>
      </c>
      <c r="S14" s="19">
        <f t="shared" si="0"/>
        <v>210000</v>
      </c>
      <c r="AD14" s="19"/>
      <c r="AR14">
        <f>24*3000</f>
        <v>72000</v>
      </c>
    </row>
    <row r="15" spans="3:44" ht="15.75" thickBot="1" x14ac:dyDescent="0.3">
      <c r="C15" s="8" t="s">
        <v>43</v>
      </c>
      <c r="D15" s="7"/>
      <c r="E15" s="5"/>
      <c r="F15" s="7"/>
      <c r="G15" s="7"/>
      <c r="H15" s="7"/>
      <c r="I15" s="7"/>
      <c r="J15" s="7"/>
      <c r="P15" t="s">
        <v>101</v>
      </c>
      <c r="Q15">
        <v>4</v>
      </c>
      <c r="R15" s="19">
        <v>150000</v>
      </c>
      <c r="S15" s="19">
        <f t="shared" si="0"/>
        <v>600000</v>
      </c>
      <c r="AD15" s="19"/>
    </row>
    <row r="16" spans="3:44" ht="30.75" thickBot="1" x14ac:dyDescent="0.3">
      <c r="C16" s="8" t="s">
        <v>44</v>
      </c>
      <c r="D16" s="7">
        <v>1</v>
      </c>
      <c r="E16" s="5"/>
      <c r="F16" s="17">
        <v>1000000</v>
      </c>
      <c r="G16" s="17">
        <f>+F16*12*5</f>
        <v>60000000</v>
      </c>
      <c r="H16" s="17"/>
      <c r="I16" s="17"/>
      <c r="J16" s="17"/>
      <c r="P16" t="s">
        <v>102</v>
      </c>
      <c r="Q16">
        <v>10</v>
      </c>
      <c r="R16" s="19">
        <v>2000000</v>
      </c>
      <c r="S16" s="19">
        <f t="shared" si="0"/>
        <v>20000000</v>
      </c>
      <c r="AD16" s="19"/>
      <c r="AM16">
        <v>10000</v>
      </c>
      <c r="AN16">
        <f>AM16*10</f>
        <v>100000</v>
      </c>
      <c r="AO16" s="27">
        <f>100*5355</f>
        <v>535500</v>
      </c>
      <c r="AP16">
        <f>1*365*16</f>
        <v>5840</v>
      </c>
    </row>
    <row r="17" spans="3:54" ht="32.25" thickBot="1" x14ac:dyDescent="0.3">
      <c r="C17" s="6" t="s">
        <v>45</v>
      </c>
      <c r="D17" s="5"/>
      <c r="E17" s="5"/>
      <c r="F17" s="5"/>
      <c r="G17" s="5"/>
      <c r="H17" s="17"/>
      <c r="I17" s="17"/>
      <c r="J17" s="17"/>
      <c r="P17" t="s">
        <v>103</v>
      </c>
      <c r="Q17">
        <v>2</v>
      </c>
      <c r="R17" s="19">
        <v>350000</v>
      </c>
      <c r="S17" s="19">
        <f t="shared" si="0"/>
        <v>700000</v>
      </c>
      <c r="AD17" s="19"/>
    </row>
    <row r="18" spans="3:54" ht="21" customHeight="1" thickBot="1" x14ac:dyDescent="0.3">
      <c r="C18" s="8" t="s">
        <v>46</v>
      </c>
      <c r="D18" s="5"/>
      <c r="E18" s="5"/>
      <c r="F18" s="5"/>
      <c r="G18" s="5"/>
      <c r="H18" s="17"/>
      <c r="I18" s="17"/>
      <c r="J18" s="17"/>
      <c r="P18" t="s">
        <v>104</v>
      </c>
      <c r="Q18">
        <v>4</v>
      </c>
      <c r="R18" s="19">
        <v>50000</v>
      </c>
      <c r="S18" s="19">
        <f t="shared" si="0"/>
        <v>200000</v>
      </c>
    </row>
    <row r="19" spans="3:54" ht="41.25" customHeight="1" thickBot="1" x14ac:dyDescent="0.3">
      <c r="C19" s="8" t="s">
        <v>88</v>
      </c>
      <c r="D19" s="5">
        <v>1</v>
      </c>
      <c r="E19" s="5" t="s">
        <v>63</v>
      </c>
      <c r="F19" s="17">
        <f>(AL26+AE27)/5</f>
        <v>106320100</v>
      </c>
      <c r="G19" s="17">
        <f>F19*5</f>
        <v>531600500</v>
      </c>
      <c r="H19" s="17"/>
      <c r="I19" s="17"/>
      <c r="J19" s="17"/>
      <c r="P19" t="s">
        <v>105</v>
      </c>
      <c r="Q19">
        <v>1</v>
      </c>
      <c r="R19" s="19">
        <v>300000</v>
      </c>
      <c r="S19" s="19">
        <f t="shared" si="0"/>
        <v>300000</v>
      </c>
      <c r="AD19" s="1">
        <f>AE20*10</f>
        <v>127500</v>
      </c>
      <c r="AE19" s="22" t="s">
        <v>65</v>
      </c>
      <c r="AF19" s="22" t="s">
        <v>66</v>
      </c>
      <c r="AG19" s="22" t="s">
        <v>67</v>
      </c>
      <c r="AH19" s="22" t="s">
        <v>68</v>
      </c>
      <c r="AI19" s="22" t="s">
        <v>69</v>
      </c>
      <c r="AQ19">
        <f>375*5</f>
        <v>1875</v>
      </c>
      <c r="AR19">
        <f>AQ19*0.08*3000</f>
        <v>450000</v>
      </c>
      <c r="AS19" s="19">
        <f>+AR19*12</f>
        <v>5400000</v>
      </c>
    </row>
    <row r="20" spans="3:54" ht="30.75" thickBot="1" x14ac:dyDescent="0.3">
      <c r="C20" s="8" t="s">
        <v>89</v>
      </c>
      <c r="D20" s="5">
        <v>1</v>
      </c>
      <c r="E20" s="5" t="s">
        <v>63</v>
      </c>
      <c r="F20" s="17">
        <v>500000</v>
      </c>
      <c r="G20" s="17">
        <f>F20*5</f>
        <v>2500000</v>
      </c>
      <c r="H20" s="17"/>
      <c r="I20" s="17"/>
      <c r="J20" s="17"/>
      <c r="P20" t="s">
        <v>113</v>
      </c>
      <c r="Q20">
        <v>2</v>
      </c>
      <c r="R20" s="19">
        <v>2000000</v>
      </c>
      <c r="S20" s="29">
        <f>R20*Q20</f>
        <v>4000000</v>
      </c>
      <c r="AD20" t="s">
        <v>64</v>
      </c>
      <c r="AE20" s="21">
        <v>12750</v>
      </c>
      <c r="AF20" s="21">
        <v>14025</v>
      </c>
      <c r="AG20" s="21">
        <v>15300</v>
      </c>
      <c r="AH20" s="21">
        <v>16575</v>
      </c>
      <c r="AI20" s="21">
        <v>17850</v>
      </c>
      <c r="AK20" t="s">
        <v>80</v>
      </c>
    </row>
    <row r="21" spans="3:54" ht="15.75" thickBot="1" x14ac:dyDescent="0.3">
      <c r="C21" s="8" t="s">
        <v>114</v>
      </c>
      <c r="D21" s="5">
        <v>1</v>
      </c>
      <c r="E21" s="5" t="s">
        <v>115</v>
      </c>
      <c r="F21" s="17">
        <f>S21</f>
        <v>37160000</v>
      </c>
      <c r="G21" s="17">
        <f>F21*1.8</f>
        <v>66888000</v>
      </c>
      <c r="H21" s="17"/>
      <c r="I21" s="17"/>
      <c r="J21" s="17"/>
      <c r="S21" s="19">
        <f>SUM(S4:S20)</f>
        <v>37160000</v>
      </c>
      <c r="AD21" t="s">
        <v>70</v>
      </c>
      <c r="AE21" s="22">
        <f>AE20*0.1</f>
        <v>1275</v>
      </c>
      <c r="AF21" s="22">
        <f>AF20*2</f>
        <v>28050</v>
      </c>
      <c r="AG21" s="22">
        <f>AG20*0.3</f>
        <v>4590</v>
      </c>
      <c r="AH21" s="22">
        <f>AH20*0.4</f>
        <v>6630</v>
      </c>
      <c r="AI21" s="22">
        <f>AI20*0.5</f>
        <v>8925</v>
      </c>
      <c r="AK21" t="s">
        <v>76</v>
      </c>
      <c r="AL21" s="24">
        <v>50000000</v>
      </c>
    </row>
    <row r="22" spans="3:54" ht="30.75" thickBot="1" x14ac:dyDescent="0.3">
      <c r="C22" s="6" t="s">
        <v>47</v>
      </c>
      <c r="D22" s="5">
        <v>1</v>
      </c>
      <c r="E22" s="5" t="s">
        <v>109</v>
      </c>
      <c r="F22" s="17">
        <v>1000000</v>
      </c>
      <c r="G22" s="17">
        <f>F22*12*5</f>
        <v>60000000</v>
      </c>
      <c r="H22" s="7"/>
      <c r="I22" s="7"/>
      <c r="J22" s="7"/>
      <c r="AD22" t="s">
        <v>71</v>
      </c>
      <c r="AE22" s="22">
        <v>10200</v>
      </c>
      <c r="AF22" s="22">
        <v>11220</v>
      </c>
      <c r="AG22" s="22">
        <v>12240</v>
      </c>
      <c r="AH22" s="22">
        <v>13260</v>
      </c>
      <c r="AI22" s="22">
        <v>14280</v>
      </c>
      <c r="AK22" t="s">
        <v>77</v>
      </c>
      <c r="AL22" s="24">
        <v>3000000</v>
      </c>
    </row>
    <row r="23" spans="3:54" x14ac:dyDescent="0.25">
      <c r="AD23" t="s">
        <v>72</v>
      </c>
      <c r="AE23" s="22">
        <f>SUM(AE21:AE22)</f>
        <v>11475</v>
      </c>
      <c r="AF23" s="22">
        <f t="shared" ref="AF23:AI23" si="1">SUM(AF21:AF22)</f>
        <v>39270</v>
      </c>
      <c r="AG23" s="22">
        <f t="shared" si="1"/>
        <v>16830</v>
      </c>
      <c r="AH23" s="22">
        <f t="shared" si="1"/>
        <v>19890</v>
      </c>
      <c r="AI23" s="22">
        <f t="shared" si="1"/>
        <v>23205</v>
      </c>
      <c r="AK23" t="s">
        <v>78</v>
      </c>
      <c r="AL23" s="19">
        <f>AL22*5</f>
        <v>15000000</v>
      </c>
    </row>
    <row r="24" spans="3:54" ht="45.75" thickBot="1" x14ac:dyDescent="0.3">
      <c r="X24">
        <f>3*40*4</f>
        <v>480</v>
      </c>
      <c r="AK24" s="25" t="s">
        <v>81</v>
      </c>
      <c r="AL24" s="19">
        <f>7500000*12</f>
        <v>90000000</v>
      </c>
      <c r="BB24">
        <f>AN33/365</f>
        <v>17.605479452054794</v>
      </c>
    </row>
    <row r="25" spans="3:54" ht="41.25" customHeight="1" thickBot="1" x14ac:dyDescent="0.3">
      <c r="C25" s="2" t="s">
        <v>30</v>
      </c>
      <c r="D25" s="3" t="s">
        <v>31</v>
      </c>
      <c r="E25" s="3" t="s">
        <v>1</v>
      </c>
      <c r="F25" s="3" t="s">
        <v>2</v>
      </c>
      <c r="G25" s="3" t="s">
        <v>3</v>
      </c>
      <c r="H25" s="3" t="s">
        <v>4</v>
      </c>
      <c r="I25" s="3" t="s">
        <v>5</v>
      </c>
      <c r="J25" s="3" t="s">
        <v>6</v>
      </c>
      <c r="AD25" t="s">
        <v>73</v>
      </c>
      <c r="AE25" s="22">
        <v>150</v>
      </c>
      <c r="AK25" s="26" t="s">
        <v>79</v>
      </c>
      <c r="AL25" s="19">
        <f>AL24*5</f>
        <v>450000000</v>
      </c>
    </row>
    <row r="26" spans="3:54" ht="38.25" customHeight="1" thickBot="1" x14ac:dyDescent="0.3">
      <c r="C26" s="8" t="s">
        <v>48</v>
      </c>
      <c r="D26" s="7">
        <v>1</v>
      </c>
      <c r="E26" s="5" t="s">
        <v>63</v>
      </c>
      <c r="F26" s="17">
        <v>1000000</v>
      </c>
      <c r="G26" s="17">
        <f>+F26*12*5</f>
        <v>60000000</v>
      </c>
      <c r="H26" s="7"/>
      <c r="I26" s="7"/>
      <c r="J26" s="7"/>
      <c r="AD26" s="23" t="s">
        <v>74</v>
      </c>
      <c r="AE26">
        <f>SUM(AE23:AI23)</f>
        <v>110670</v>
      </c>
      <c r="AK26" t="s">
        <v>82</v>
      </c>
      <c r="AL26" s="19">
        <f>AL21+AL23++AL25</f>
        <v>515000000</v>
      </c>
    </row>
    <row r="27" spans="3:54" ht="16.5" thickBot="1" x14ac:dyDescent="0.3">
      <c r="C27" s="6" t="s">
        <v>49</v>
      </c>
      <c r="D27" s="5"/>
      <c r="E27" s="5"/>
      <c r="F27" s="17"/>
      <c r="G27" s="17"/>
      <c r="H27" s="7"/>
      <c r="I27" s="7"/>
      <c r="J27" s="7"/>
      <c r="AD27" t="s">
        <v>75</v>
      </c>
      <c r="AE27" s="19">
        <f>150*AE26</f>
        <v>16600500</v>
      </c>
    </row>
    <row r="28" spans="3:54" ht="30.75" thickBot="1" x14ac:dyDescent="0.3">
      <c r="C28" s="8" t="s">
        <v>50</v>
      </c>
      <c r="D28" s="5"/>
      <c r="E28" s="5"/>
      <c r="F28" s="17"/>
      <c r="G28" s="17"/>
      <c r="H28" s="7"/>
      <c r="I28" s="7"/>
      <c r="J28" s="7"/>
    </row>
    <row r="29" spans="3:54" ht="30.75" thickBot="1" x14ac:dyDescent="0.3">
      <c r="C29" s="8" t="s">
        <v>51</v>
      </c>
      <c r="D29" s="5">
        <v>1</v>
      </c>
      <c r="E29" s="5" t="s">
        <v>108</v>
      </c>
      <c r="F29" s="17">
        <v>3000000</v>
      </c>
      <c r="G29" s="17">
        <f>F29*12*5</f>
        <v>180000000</v>
      </c>
      <c r="H29" s="7"/>
      <c r="I29" s="7"/>
      <c r="J29" s="7"/>
    </row>
    <row r="30" spans="3:54" ht="32.25" thickBot="1" x14ac:dyDescent="0.3">
      <c r="C30" s="6" t="s">
        <v>52</v>
      </c>
      <c r="D30" s="7">
        <v>1</v>
      </c>
      <c r="E30" s="5"/>
      <c r="F30" s="17">
        <v>1000000</v>
      </c>
      <c r="G30" s="17">
        <f>F30*12*5</f>
        <v>60000000</v>
      </c>
      <c r="H30" s="7"/>
      <c r="I30" s="7"/>
      <c r="J30" s="7"/>
      <c r="AD30" t="s">
        <v>116</v>
      </c>
    </row>
    <row r="31" spans="3:54" ht="32.25" thickBot="1" x14ac:dyDescent="0.3">
      <c r="C31" s="6" t="s">
        <v>29</v>
      </c>
      <c r="D31" s="9"/>
      <c r="E31" s="10"/>
      <c r="F31" s="18"/>
      <c r="G31" s="18">
        <f>G30+G29+G26</f>
        <v>300000000</v>
      </c>
      <c r="H31" s="9"/>
      <c r="I31" s="9"/>
      <c r="J31" s="9"/>
      <c r="AD31" s="1"/>
      <c r="AE31" s="22" t="s">
        <v>65</v>
      </c>
      <c r="AF31" s="22" t="s">
        <v>66</v>
      </c>
      <c r="AG31" s="22" t="s">
        <v>67</v>
      </c>
      <c r="AH31" s="22" t="s">
        <v>68</v>
      </c>
      <c r="AI31" s="22" t="s">
        <v>69</v>
      </c>
    </row>
    <row r="32" spans="3:54" ht="32.25" thickBot="1" x14ac:dyDescent="0.3">
      <c r="C32" s="6" t="s">
        <v>53</v>
      </c>
      <c r="D32" s="9"/>
      <c r="E32" s="5"/>
      <c r="F32" s="18"/>
      <c r="G32" s="18">
        <f>G31+SUM(G16:G22)</f>
        <v>1020988500</v>
      </c>
      <c r="H32" s="9"/>
      <c r="I32" s="7"/>
      <c r="J32" s="7"/>
      <c r="AD32" t="s">
        <v>64</v>
      </c>
      <c r="AE32" s="21">
        <v>12750</v>
      </c>
      <c r="AF32" s="21">
        <v>14025</v>
      </c>
      <c r="AG32" s="21">
        <v>15300</v>
      </c>
      <c r="AH32" s="21">
        <v>16575</v>
      </c>
      <c r="AI32" s="21">
        <v>17850</v>
      </c>
    </row>
    <row r="33" spans="3:40" ht="63.75" thickBot="1" x14ac:dyDescent="0.3">
      <c r="C33" s="6" t="s">
        <v>54</v>
      </c>
      <c r="D33" s="12"/>
      <c r="E33" s="12"/>
      <c r="F33" s="18"/>
      <c r="G33" s="18">
        <f>G32</f>
        <v>1020988500</v>
      </c>
      <c r="H33" s="9"/>
      <c r="I33" s="13"/>
      <c r="J33" s="13"/>
      <c r="AD33" t="s">
        <v>70</v>
      </c>
      <c r="AE33" s="22">
        <v>637.5</v>
      </c>
      <c r="AF33" s="22">
        <v>1402.5</v>
      </c>
      <c r="AG33" s="22">
        <v>2295</v>
      </c>
      <c r="AH33" s="22">
        <v>3315</v>
      </c>
      <c r="AI33" s="22">
        <v>5355</v>
      </c>
      <c r="AJ33">
        <f>AE33*1.2</f>
        <v>765</v>
      </c>
      <c r="AK33">
        <f t="shared" ref="AK33:AN33" si="2">AF33*1.2</f>
        <v>1683</v>
      </c>
      <c r="AL33">
        <f t="shared" si="2"/>
        <v>2754</v>
      </c>
      <c r="AM33">
        <f t="shared" si="2"/>
        <v>3978</v>
      </c>
      <c r="AN33">
        <f t="shared" si="2"/>
        <v>6426</v>
      </c>
    </row>
    <row r="34" spans="3:40" x14ac:dyDescent="0.25">
      <c r="AD34" t="s">
        <v>71</v>
      </c>
      <c r="AE34" s="22">
        <v>10200</v>
      </c>
      <c r="AF34" s="22">
        <v>11220</v>
      </c>
      <c r="AG34" s="22">
        <v>12240</v>
      </c>
      <c r="AH34" s="22">
        <v>13260</v>
      </c>
      <c r="AI34" s="22">
        <v>14280</v>
      </c>
      <c r="AJ34" s="19">
        <f>1000000</f>
        <v>1000000</v>
      </c>
      <c r="AK34" s="19">
        <f t="shared" ref="AK34:AM34" si="3">1000000</f>
        <v>1000000</v>
      </c>
      <c r="AL34" s="19">
        <f t="shared" si="3"/>
        <v>1000000</v>
      </c>
      <c r="AM34" s="19">
        <f t="shared" si="3"/>
        <v>1000000</v>
      </c>
      <c r="AN34" s="19">
        <f>1000000</f>
        <v>1000000</v>
      </c>
    </row>
    <row r="35" spans="3:40" x14ac:dyDescent="0.25">
      <c r="AD35" t="s">
        <v>72</v>
      </c>
      <c r="AE35" s="22">
        <f>SUM(AE33:AE34)</f>
        <v>10837.5</v>
      </c>
      <c r="AF35" s="22">
        <f t="shared" ref="AF35" si="4">SUM(AF33:AF34)</f>
        <v>12622.5</v>
      </c>
      <c r="AG35" s="22">
        <f t="shared" ref="AG35" si="5">SUM(AG33:AG34)</f>
        <v>14535</v>
      </c>
      <c r="AH35" s="22">
        <f t="shared" ref="AH35" si="6">SUM(AH33:AH34)</f>
        <v>16575</v>
      </c>
      <c r="AI35" s="22">
        <f t="shared" ref="AI35" si="7">SUM(AI33:AI34)</f>
        <v>19635</v>
      </c>
      <c r="AJ35" s="19">
        <f>AJ34*AJ33</f>
        <v>765000000</v>
      </c>
      <c r="AK35" s="19">
        <f t="shared" ref="AK35:AN35" si="8">AK34*AK33</f>
        <v>1683000000</v>
      </c>
      <c r="AL35" s="19">
        <f t="shared" si="8"/>
        <v>2754000000</v>
      </c>
      <c r="AM35" s="19">
        <f t="shared" si="8"/>
        <v>3978000000</v>
      </c>
      <c r="AN35" s="19">
        <f t="shared" si="8"/>
        <v>6426000000</v>
      </c>
    </row>
    <row r="36" spans="3:40" x14ac:dyDescent="0.25">
      <c r="AL36" s="19">
        <f>AL35*0.05</f>
        <v>137700000</v>
      </c>
      <c r="AM36" s="19">
        <f t="shared" ref="AM36:AN36" si="9">AM35*0.05</f>
        <v>198900000</v>
      </c>
      <c r="AN36" s="19">
        <f t="shared" si="9"/>
        <v>321300000</v>
      </c>
    </row>
  </sheetData>
  <pageMargins left="0.7" right="0.7" top="0.75" bottom="0.75" header="0.3" footer="0.3"/>
  <ignoredErrors>
    <ignoredError sqref="AE2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Rubros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makoto- jar</dc:creator>
  <cp:lastModifiedBy>makoto- jar</cp:lastModifiedBy>
  <cp:lastPrinted>2018-11-21T20:25:58Z</cp:lastPrinted>
  <dcterms:created xsi:type="dcterms:W3CDTF">2018-11-21T14:05:09Z</dcterms:created>
  <dcterms:modified xsi:type="dcterms:W3CDTF">2018-11-30T16:06:46Z</dcterms:modified>
</cp:coreProperties>
</file>