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slicers/slicer1.xml" ContentType="application/vnd.ms-excel.slicer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oao_\Desktop\"/>
    </mc:Choice>
  </mc:AlternateContent>
  <xr:revisionPtr revIDLastSave="0" documentId="13_ncr:1_{31ACC3C1-21C3-4CEE-8DA7-B950EF28B185}" xr6:coauthVersionLast="46" xr6:coauthVersionMax="46" xr10:uidLastSave="{00000000-0000-0000-0000-000000000000}"/>
  <bookViews>
    <workbookView xWindow="-120" yWindow="-120" windowWidth="20730" windowHeight="11160" firstSheet="4" activeTab="7" xr2:uid="{00000000-000D-0000-FFFF-FFFF00000000}"/>
  </bookViews>
  <sheets>
    <sheet name="Menu" sheetId="1" r:id="rId1"/>
    <sheet name="Despesas Fixas" sheetId="2" r:id="rId2"/>
    <sheet name="Soma valores totais" sheetId="15" state="hidden" r:id="rId3"/>
    <sheet name="Controle Mercadorias" sheetId="6" r:id="rId4"/>
    <sheet name="Investimentos" sheetId="7" r:id="rId5"/>
    <sheet name="Controle de Estoque" sheetId="8" r:id="rId6"/>
    <sheet name="Resultados" sheetId="4" state="hidden" r:id="rId7"/>
    <sheet name="Vendas" sheetId="9" r:id="rId8"/>
    <sheet name="Telefones" sheetId="13" r:id="rId9"/>
    <sheet name="Produtos" sheetId="5" r:id="rId10"/>
    <sheet name="Gráficos" sheetId="24" r:id="rId11"/>
    <sheet name="Tabela Quantidades" sheetId="25" r:id="rId12"/>
  </sheets>
  <functionGroups builtInGroupCount="19"/>
  <definedNames>
    <definedName name="_xlnm._FilterDatabase" localSheetId="9" hidden="1">Produtos!$Q$3:$Q$15</definedName>
    <definedName name="Bairros">Bairro[#All]</definedName>
    <definedName name="Gráfico">INDIRECT("'Soma valores totais'!$A" &amp; 'Soma valores totais'!$E$19)</definedName>
    <definedName name="Imagem">INDIRECT("'Semana 4'!$P$"&amp;#REF!)</definedName>
    <definedName name="imagem2">INDIRECT("'Semana 3'!$P$"&amp;#REF!)</definedName>
    <definedName name="imagem3">INDIRECT("'Semana 2'!$P$"&amp;#REF!)</definedName>
    <definedName name="imagem4">INDIRECT("'Vendas'!$P$"&amp;Vendas!$L$3)</definedName>
    <definedName name="ImagemComplemento">INDIRECT("'Vendas'!$W$"&amp;18)</definedName>
    <definedName name="ImagemID">INDIRECT("'Vendas'!$B$"&amp;18)</definedName>
    <definedName name="ImagemNome">INDIRECT("'Vendas'!$T$"&amp;18)</definedName>
    <definedName name="ImagemNumero">INDIRECT("'Vendas'!$V$"&amp;18)</definedName>
    <definedName name="ImagemRua">INDIRECT("'Vendas'!$u$"&amp;18)</definedName>
    <definedName name="SegmentaçãodeDados_Ano">#N/A</definedName>
    <definedName name="SegmentaçãodeDados_Content.Semana">#N/A</definedName>
    <definedName name="SegmentaçãodeDados_Nome_do_Mês.1">#N/A</definedName>
  </definedNames>
  <calcPr calcId="191029"/>
  <pivotCaches>
    <pivotCache cacheId="0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3" l="1"/>
  <c r="K10" i="13" s="1"/>
  <c r="H7" i="2"/>
  <c r="I7" i="2"/>
  <c r="G7" i="2" s="1"/>
  <c r="J7" i="2"/>
  <c r="K7" i="2"/>
  <c r="E7" i="6"/>
  <c r="F7" i="6" s="1"/>
  <c r="G7" i="6"/>
  <c r="H7" i="6"/>
  <c r="L7" i="6"/>
  <c r="M7" i="6"/>
  <c r="H8" i="2"/>
  <c r="I8" i="2"/>
  <c r="G8" i="2" s="1"/>
  <c r="J8" i="2"/>
  <c r="K8" i="2"/>
  <c r="H9" i="2"/>
  <c r="I9" i="2"/>
  <c r="G9" i="2" s="1"/>
  <c r="J9" i="2"/>
  <c r="K9" i="2"/>
  <c r="H10" i="2"/>
  <c r="I10" i="2"/>
  <c r="G10" i="2" s="1"/>
  <c r="J10" i="2"/>
  <c r="K10" i="2"/>
  <c r="H11" i="2"/>
  <c r="I11" i="2"/>
  <c r="G11" i="2" s="1"/>
  <c r="J11" i="2"/>
  <c r="K11" i="2"/>
  <c r="J9" i="13"/>
  <c r="K9" i="13" s="1"/>
  <c r="F18" i="9"/>
  <c r="I18" i="9"/>
  <c r="J18" i="9" s="1"/>
  <c r="L18" i="9"/>
  <c r="M18" i="9"/>
  <c r="R18" i="9"/>
  <c r="S18" i="9"/>
  <c r="F19" i="9"/>
  <c r="I19" i="9"/>
  <c r="J19" i="9" s="1"/>
  <c r="L19" i="9"/>
  <c r="M19" i="9"/>
  <c r="P19" i="9"/>
  <c r="R19" i="9"/>
  <c r="S19" i="9"/>
  <c r="H12" i="2"/>
  <c r="I12" i="2"/>
  <c r="G12" i="2" s="1"/>
  <c r="J12" i="2"/>
  <c r="K12" i="2"/>
  <c r="E8" i="6"/>
  <c r="F8" i="6" s="1"/>
  <c r="G8" i="6"/>
  <c r="H8" i="6"/>
  <c r="L8" i="6"/>
  <c r="M8" i="6"/>
  <c r="E9" i="6"/>
  <c r="F9" i="6" s="1"/>
  <c r="G9" i="6"/>
  <c r="H9" i="6"/>
  <c r="L9" i="6"/>
  <c r="M9" i="6"/>
  <c r="E10" i="6"/>
  <c r="F10" i="6" s="1"/>
  <c r="G10" i="6"/>
  <c r="H10" i="6"/>
  <c r="L10" i="6"/>
  <c r="M10" i="6"/>
  <c r="H13" i="2"/>
  <c r="I13" i="2"/>
  <c r="G13" i="2" s="1"/>
  <c r="J13" i="2"/>
  <c r="K13" i="2"/>
  <c r="H14" i="2"/>
  <c r="I14" i="2"/>
  <c r="G14" i="2" s="1"/>
  <c r="J14" i="2"/>
  <c r="K14" i="2"/>
  <c r="J8" i="7"/>
  <c r="L8" i="7" s="1"/>
  <c r="E11" i="6"/>
  <c r="F11" i="6" s="1"/>
  <c r="G11" i="6"/>
  <c r="H11" i="6"/>
  <c r="L11" i="6"/>
  <c r="M11" i="6"/>
  <c r="E12" i="6"/>
  <c r="F12" i="6" s="1"/>
  <c r="G12" i="6"/>
  <c r="H12" i="6"/>
  <c r="L12" i="6"/>
  <c r="M12" i="6"/>
  <c r="H15" i="2"/>
  <c r="I15" i="2"/>
  <c r="G15" i="2" s="1"/>
  <c r="J15" i="2"/>
  <c r="K15" i="2"/>
  <c r="H16" i="2"/>
  <c r="I16" i="2"/>
  <c r="G16" i="2" s="1"/>
  <c r="J16" i="2"/>
  <c r="K16" i="2"/>
  <c r="E19" i="15"/>
  <c r="J5" i="13"/>
  <c r="K5" i="13" s="1"/>
  <c r="F20" i="9"/>
  <c r="I20" i="9"/>
  <c r="J20" i="9" s="1"/>
  <c r="L20" i="9"/>
  <c r="M20" i="9"/>
  <c r="R20" i="9"/>
  <c r="S20" i="9"/>
  <c r="J9" i="7"/>
  <c r="L9" i="7" s="1"/>
  <c r="E13" i="6"/>
  <c r="F13" i="6" s="1"/>
  <c r="G13" i="6"/>
  <c r="H13" i="6"/>
  <c r="L13" i="6"/>
  <c r="M13" i="6"/>
  <c r="H17" i="2"/>
  <c r="I17" i="2"/>
  <c r="G17" i="2" s="1"/>
  <c r="J17" i="2"/>
  <c r="K17" i="2"/>
  <c r="H18" i="2"/>
  <c r="I18" i="2"/>
  <c r="G18" i="2" s="1"/>
  <c r="J18" i="2"/>
  <c r="K18" i="2"/>
  <c r="J6" i="13"/>
  <c r="K6" i="13" s="1"/>
  <c r="F21" i="9"/>
  <c r="I21" i="9"/>
  <c r="J21" i="9" s="1"/>
  <c r="L21" i="9"/>
  <c r="M21" i="9"/>
  <c r="R21" i="9"/>
  <c r="S21" i="9"/>
  <c r="F22" i="9"/>
  <c r="I22" i="9"/>
  <c r="J22" i="9" s="1"/>
  <c r="L22" i="9"/>
  <c r="M22" i="9"/>
  <c r="R22" i="9"/>
  <c r="S22" i="9"/>
  <c r="F23" i="9"/>
  <c r="I23" i="9"/>
  <c r="J23" i="9" s="1"/>
  <c r="L23" i="9"/>
  <c r="M23" i="9"/>
  <c r="P23" i="9"/>
  <c r="R23" i="9"/>
  <c r="S23" i="9"/>
  <c r="F24" i="9"/>
  <c r="I24" i="9"/>
  <c r="J24" i="9" s="1"/>
  <c r="L24" i="9"/>
  <c r="M24" i="9"/>
  <c r="P24" i="9"/>
  <c r="R24" i="9"/>
  <c r="S24" i="9"/>
  <c r="J7" i="13"/>
  <c r="K7" i="13" s="1"/>
  <c r="J8" i="13"/>
  <c r="M8" i="13" s="1"/>
  <c r="J10" i="7"/>
  <c r="L10" i="7" s="1"/>
  <c r="E14" i="6"/>
  <c r="F14" i="6" s="1"/>
  <c r="G14" i="6"/>
  <c r="H14" i="6"/>
  <c r="L14" i="6"/>
  <c r="M14" i="6"/>
  <c r="E15" i="6"/>
  <c r="F15" i="6" s="1"/>
  <c r="G15" i="6"/>
  <c r="H15" i="6"/>
  <c r="L15" i="6"/>
  <c r="M15" i="6"/>
  <c r="E16" i="6"/>
  <c r="F16" i="6" s="1"/>
  <c r="G16" i="6"/>
  <c r="H16" i="6"/>
  <c r="L16" i="6"/>
  <c r="M16" i="6"/>
  <c r="H19" i="2"/>
  <c r="I19" i="2"/>
  <c r="G19" i="2" s="1"/>
  <c r="J19" i="2"/>
  <c r="K19" i="2"/>
  <c r="C21" i="15"/>
  <c r="D14" i="4"/>
  <c r="D11" i="4"/>
  <c r="D12" i="4"/>
  <c r="D13" i="4"/>
  <c r="D33" i="4"/>
  <c r="D34" i="4"/>
  <c r="D38" i="4"/>
  <c r="D39" i="4"/>
  <c r="D7" i="4"/>
  <c r="D35" i="4"/>
  <c r="D32" i="4"/>
  <c r="D36" i="4"/>
  <c r="D9" i="4"/>
  <c r="D37" i="4"/>
  <c r="D10" i="4"/>
  <c r="D31" i="4"/>
  <c r="D6" i="4"/>
  <c r="D30" i="4"/>
  <c r="D8" i="4"/>
  <c r="D5" i="4"/>
  <c r="M10" i="13" l="1"/>
  <c r="P18" i="9"/>
  <c r="M9" i="13"/>
  <c r="N18" i="9"/>
  <c r="N19" i="9"/>
  <c r="O19" i="9" s="1"/>
  <c r="P20" i="9"/>
  <c r="M5" i="13"/>
  <c r="N20" i="9"/>
  <c r="O20" i="9" s="1"/>
  <c r="P21" i="9"/>
  <c r="M6" i="13"/>
  <c r="N21" i="9"/>
  <c r="O21" i="9" s="1"/>
  <c r="P22" i="9"/>
  <c r="N22" i="9"/>
  <c r="N23" i="9"/>
  <c r="O23" i="9" s="1"/>
  <c r="N24" i="9"/>
  <c r="O24" i="9" s="1"/>
  <c r="M7" i="13"/>
  <c r="K8" i="13"/>
  <c r="G3" i="15"/>
  <c r="G5" i="15"/>
  <c r="G4" i="15"/>
  <c r="S3" i="15"/>
  <c r="O3" i="15"/>
  <c r="B5" i="15"/>
  <c r="B5" i="8"/>
  <c r="O18" i="9" l="1"/>
  <c r="O22" i="9"/>
  <c r="O4" i="15"/>
  <c r="K4" i="15"/>
  <c r="S4" i="15"/>
  <c r="K5" i="15" l="1"/>
  <c r="O5" i="15"/>
  <c r="S5" i="15"/>
  <c r="B8" i="8"/>
  <c r="B6" i="8"/>
  <c r="B7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E5" i="8"/>
  <c r="F5" i="8" s="1"/>
  <c r="G5" i="8" s="1"/>
  <c r="E6" i="8"/>
  <c r="F6" i="8" s="1"/>
  <c r="G6" i="8" s="1"/>
  <c r="E7" i="8"/>
  <c r="F7" i="8" s="1"/>
  <c r="G7" i="8" s="1"/>
  <c r="E8" i="8"/>
  <c r="F8" i="8" s="1"/>
  <c r="G8" i="8" s="1"/>
  <c r="E9" i="8"/>
  <c r="F9" i="8" s="1"/>
  <c r="G9" i="8" s="1"/>
  <c r="E10" i="8"/>
  <c r="F10" i="8" s="1"/>
  <c r="G10" i="8" s="1"/>
  <c r="E11" i="8"/>
  <c r="F11" i="8" s="1"/>
  <c r="G11" i="8" s="1"/>
  <c r="E12" i="8"/>
  <c r="F12" i="8" s="1"/>
  <c r="G12" i="8" s="1"/>
  <c r="E13" i="8"/>
  <c r="F13" i="8" s="1"/>
  <c r="G13" i="8" s="1"/>
  <c r="E14" i="8"/>
  <c r="F14" i="8" s="1"/>
  <c r="G14" i="8" s="1"/>
  <c r="E15" i="8"/>
  <c r="F15" i="8" s="1"/>
  <c r="G15" i="8" s="1"/>
  <c r="E16" i="8"/>
  <c r="F16" i="8" s="1"/>
  <c r="G16" i="8" s="1"/>
  <c r="E17" i="8"/>
  <c r="F17" i="8" s="1"/>
  <c r="G17" i="8" s="1"/>
  <c r="E18" i="8"/>
  <c r="F18" i="8" s="1"/>
  <c r="G18" i="8" s="1"/>
  <c r="E19" i="8"/>
  <c r="F19" i="8" s="1"/>
  <c r="G19" i="8" s="1"/>
  <c r="E20" i="8"/>
  <c r="F20" i="8" s="1"/>
  <c r="G20" i="8" s="1"/>
  <c r="E21" i="8"/>
  <c r="F21" i="8" s="1"/>
  <c r="G21" i="8" s="1"/>
  <c r="E22" i="8"/>
  <c r="F22" i="8" s="1"/>
  <c r="G22" i="8" s="1"/>
  <c r="E23" i="8"/>
  <c r="F23" i="8" s="1"/>
  <c r="G23" i="8" s="1"/>
  <c r="E24" i="8"/>
  <c r="F24" i="8" s="1"/>
  <c r="G24" i="8" s="1"/>
  <c r="E25" i="8"/>
  <c r="F25" i="8" s="1"/>
  <c r="G25" i="8" s="1"/>
  <c r="E26" i="8"/>
  <c r="F26" i="8" s="1"/>
  <c r="G26" i="8" s="1"/>
  <c r="E27" i="8"/>
  <c r="F27" i="8" s="1"/>
  <c r="G27" i="8" s="1"/>
  <c r="E28" i="8"/>
  <c r="F28" i="8" s="1"/>
  <c r="G28" i="8" s="1"/>
  <c r="K3" i="15" l="1"/>
  <c r="B6" i="15" l="1"/>
  <c r="B3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joao mm</author>
  </authors>
  <commentList>
    <comment ref="T9" authorId="0" shapeId="0" xr:uid="{08A11E06-A5DE-4BA3-9D90-B13768D6A007}">
      <text>
        <r>
          <rPr>
            <b/>
            <sz val="9"/>
            <color indexed="81"/>
            <rFont val="Segoe UI"/>
            <family val="2"/>
          </rPr>
          <t>joao mm:</t>
        </r>
        <r>
          <rPr>
            <sz val="9"/>
            <color indexed="81"/>
            <rFont val="Segoe UI"/>
            <family val="2"/>
          </rPr>
          <t xml:space="preserve">
Colocar descrição 
da compra/despesa realizada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2D435E-8FB5-4309-8E7A-1EFB2915998C}" keepAlive="1" name="Consulta - Consulta1" description="Conexão com a consulta 'Consulta1' na pasta de trabalho." type="5" refreshedVersion="6" background="1" saveData="1">
    <dbPr connection="Provider=Microsoft.Mashup.OleDb.1;Data Source=$Workbook$;Location=Consulta1;Extended Properties=&quot;&quot;" command="SELECT * FROM [Consulta1]"/>
  </connection>
</connections>
</file>

<file path=xl/sharedStrings.xml><?xml version="1.0" encoding="utf-8"?>
<sst xmlns="http://schemas.openxmlformats.org/spreadsheetml/2006/main" count="509" uniqueCount="284">
  <si>
    <t>Impostos</t>
  </si>
  <si>
    <t>Aluguel Loja</t>
  </si>
  <si>
    <t>Outros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</si>
  <si>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</si>
  <si>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</si>
  <si>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</si>
  <si>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</si>
  <si>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</si>
  <si>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</si>
  <si>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</si>
  <si>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</si>
  <si>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</si>
  <si>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</si>
  <si>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</si>
  <si>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</si>
  <si>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</si>
  <si>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</si>
  <si>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</si>
  <si>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</si>
  <si>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</si>
  <si>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</si>
  <si>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</si>
  <si>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</si>
  <si>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</si>
  <si>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</si>
  <si>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</si>
  <si>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</si>
  <si>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</si>
  <si>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</si>
  <si>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</si>
  <si>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Itens</t>
  </si>
  <si>
    <t>Data</t>
  </si>
  <si>
    <t>Água</t>
  </si>
  <si>
    <t>Luz</t>
  </si>
  <si>
    <t>Gás</t>
  </si>
  <si>
    <t>Telefone</t>
  </si>
  <si>
    <t>Internet</t>
  </si>
  <si>
    <t>MENU INICIAL</t>
  </si>
  <si>
    <t>Mercadoria</t>
  </si>
  <si>
    <t>Quantidade</t>
  </si>
  <si>
    <t>Preço Unitário</t>
  </si>
  <si>
    <t>Produtos</t>
  </si>
  <si>
    <t>Preço de Compra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</si>
  <si>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</si>
  <si>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</si>
  <si>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</si>
  <si>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</si>
  <si>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</si>
  <si>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</si>
  <si>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</si>
  <si>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</si>
  <si>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</si>
  <si>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</si>
  <si>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</si>
  <si>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Investimento</t>
  </si>
  <si>
    <t>Valor</t>
  </si>
  <si>
    <t>Produto</t>
  </si>
  <si>
    <t>Data da última compra</t>
  </si>
  <si>
    <t>Quantidade Inicial</t>
  </si>
  <si>
    <t>Quantidade Comprada</t>
  </si>
  <si>
    <t>Quantidade Atual</t>
  </si>
  <si>
    <t>Situação</t>
  </si>
  <si>
    <t>Id Venda</t>
  </si>
  <si>
    <t>Subtotal</t>
  </si>
  <si>
    <t>Região de Entrega</t>
  </si>
  <si>
    <t>Valor de Entrega</t>
  </si>
  <si>
    <t>Total para o Cliente</t>
  </si>
  <si>
    <t>Regiões de Entrega</t>
  </si>
  <si>
    <t>Preço de entrega</t>
  </si>
  <si>
    <t>Centro</t>
  </si>
  <si>
    <t>Total de Despesas</t>
  </si>
  <si>
    <t>Total de Receitas</t>
  </si>
  <si>
    <t>Ver quando vender um produto diminuir a quantidade de estoque</t>
  </si>
  <si>
    <t>Data do último pedido</t>
  </si>
  <si>
    <t>Número do celular/telefone</t>
  </si>
  <si>
    <t>Boa Vista</t>
  </si>
  <si>
    <t>Cará - Cará</t>
  </si>
  <si>
    <t>Chapada</t>
  </si>
  <si>
    <t>Periquitos</t>
  </si>
  <si>
    <t>Colônia Dona Luiza</t>
  </si>
  <si>
    <t>Contorno</t>
  </si>
  <si>
    <t>Jardim Carvalho</t>
  </si>
  <si>
    <t>Nova Rússia</t>
  </si>
  <si>
    <t>Oficinas</t>
  </si>
  <si>
    <t>Neves</t>
  </si>
  <si>
    <t>Colocar de onde veio o pedido whats ou ifood</t>
  </si>
  <si>
    <t>Olarias</t>
  </si>
  <si>
    <t xml:space="preserve">Órfãs </t>
  </si>
  <si>
    <t>Ronda</t>
  </si>
  <si>
    <t>Uvaranas</t>
  </si>
  <si>
    <t>Bairro</t>
  </si>
  <si>
    <t>Lanches</t>
  </si>
  <si>
    <t>Preços</t>
  </si>
  <si>
    <t>Lanche do inglês</t>
  </si>
  <si>
    <t>Lanche do alemão</t>
  </si>
  <si>
    <t>Lanche do mineiro</t>
  </si>
  <si>
    <t>Lanche do Chef</t>
  </si>
  <si>
    <t>Lanche do Barão</t>
  </si>
  <si>
    <t>Lanche do gaúcho</t>
  </si>
  <si>
    <t>Lanche do Vegetariano</t>
  </si>
  <si>
    <t>Veganburguer</t>
  </si>
  <si>
    <t>Boiburguer</t>
  </si>
  <si>
    <t>Boiburguer salada</t>
  </si>
  <si>
    <t>Boiburguer cheddar</t>
  </si>
  <si>
    <t>Boiburguer bacon</t>
  </si>
  <si>
    <t>Boiburguer especial</t>
  </si>
  <si>
    <t>Fritas</t>
  </si>
  <si>
    <t>Brownie</t>
  </si>
  <si>
    <t>Coca Lata</t>
  </si>
  <si>
    <t>Guaraná Lata</t>
  </si>
  <si>
    <t>Suco Laranja</t>
  </si>
  <si>
    <t>Pão</t>
  </si>
  <si>
    <t>Iogurte</t>
  </si>
  <si>
    <t>Requeijão</t>
  </si>
  <si>
    <t>Ovo</t>
  </si>
  <si>
    <t>Margarina</t>
  </si>
  <si>
    <t>Manteiga</t>
  </si>
  <si>
    <t>Cebola</t>
  </si>
  <si>
    <t>Açúcar</t>
  </si>
  <si>
    <t>Rosbife</t>
  </si>
  <si>
    <t>Embalagem</t>
  </si>
  <si>
    <t>Chocolate em pó</t>
  </si>
  <si>
    <t>Preço unitário</t>
  </si>
  <si>
    <t>Data de compra</t>
  </si>
  <si>
    <t xml:space="preserve"> </t>
  </si>
  <si>
    <t>TOTAL DESPESAS</t>
  </si>
  <si>
    <t>Receita de vendas</t>
  </si>
  <si>
    <t>% de lucro</t>
  </si>
  <si>
    <t>Lucro</t>
  </si>
  <si>
    <t>% lucro</t>
  </si>
  <si>
    <t>LUCRO</t>
  </si>
  <si>
    <t>Quantidade de pedidos</t>
  </si>
  <si>
    <t>Total Geral</t>
  </si>
  <si>
    <t>Dia da semana</t>
  </si>
  <si>
    <t>Dias da semana</t>
  </si>
  <si>
    <t>Bairros</t>
  </si>
  <si>
    <t>OBS: PARA CADA ID DE VENDA, APENAS 1 REGIÃO DE ENTREGA. CASO O MESMO CLIENTE PEDIR ENTREGA PARA REGIÕES DIFERENTES, CRIAR UM NOVO ID DE VENDA. ISSO É FEITO FECHANDO E ABRINDO NOVAMENTO O FORMULÁRIO</t>
  </si>
  <si>
    <t>Semana</t>
  </si>
  <si>
    <t>-</t>
  </si>
  <si>
    <t>Quarta-Feira</t>
  </si>
  <si>
    <t>Quinta-Feira</t>
  </si>
  <si>
    <t>Terça-Feira</t>
  </si>
  <si>
    <t>RESULTADOS MENSAIS</t>
  </si>
  <si>
    <t>Gasto médio por pedido</t>
  </si>
  <si>
    <t>Maior pedido</t>
  </si>
  <si>
    <t>Menor pedido</t>
  </si>
  <si>
    <t>Média de pedidos por dia</t>
  </si>
  <si>
    <t>Pix</t>
  </si>
  <si>
    <t>Dinheiro</t>
  </si>
  <si>
    <t>Maquininha</t>
  </si>
  <si>
    <t>Forma de pagamento</t>
  </si>
  <si>
    <t>Dezembro</t>
  </si>
  <si>
    <t>Julho</t>
  </si>
  <si>
    <t xml:space="preserve">Arrumar lance de colocar apenas a quantidade </t>
  </si>
  <si>
    <t>Pagamento</t>
  </si>
  <si>
    <t>Gráfico de compação com meses/anos anteriores</t>
  </si>
  <si>
    <t>colocar perdas/gráficos de perda</t>
  </si>
  <si>
    <t>Necessidade de ligar</t>
  </si>
  <si>
    <t>Tempo do último pedido em dias</t>
  </si>
  <si>
    <t>Segunda-Feira</t>
  </si>
  <si>
    <t>resultados com os melhores clientes</t>
  </si>
  <si>
    <t>colocar formulario para o cardápio</t>
  </si>
  <si>
    <t>Mensagem enviada</t>
  </si>
  <si>
    <t>SITUAÇÃO DO CLIENTE</t>
  </si>
  <si>
    <t>Meses</t>
  </si>
  <si>
    <t>Quantidade de pedidos por mês</t>
  </si>
  <si>
    <t>Soma de Quantidade</t>
  </si>
  <si>
    <t>Contagem de pedidos por dia da semana</t>
  </si>
  <si>
    <t>Contagem de pedidos por região de entrega</t>
  </si>
  <si>
    <t>Anos</t>
  </si>
  <si>
    <t>Quantidade de pedidos por ano</t>
  </si>
  <si>
    <t>Quantidade de pedidos por bairro</t>
  </si>
  <si>
    <t>Soma de pedidos por lanche</t>
  </si>
  <si>
    <t>Quantidade de pedidos por dia da semana</t>
  </si>
  <si>
    <t>corresp</t>
  </si>
  <si>
    <t>Novembro</t>
  </si>
  <si>
    <t>(22)222222222</t>
  </si>
  <si>
    <t>(11)111111111</t>
  </si>
  <si>
    <t>Colocar endereço</t>
  </si>
  <si>
    <t>Quantidade de pedido por ano</t>
  </si>
  <si>
    <t>Lucro Total</t>
  </si>
  <si>
    <t>(vazio)</t>
  </si>
  <si>
    <t>Abril</t>
  </si>
  <si>
    <t>Pagamentos PIX</t>
  </si>
  <si>
    <t>Pagamentos maquininha</t>
  </si>
  <si>
    <t>Pagamentos dinheiro</t>
  </si>
  <si>
    <t>Quantidade média de itens por pedido</t>
  </si>
  <si>
    <t>Mês</t>
  </si>
  <si>
    <t>Ano</t>
  </si>
  <si>
    <t>Gráfico de mercadorias</t>
  </si>
  <si>
    <t xml:space="preserve">Deixar para fazer por último os resultados </t>
  </si>
  <si>
    <t>Tipo (Compra/Perda)</t>
  </si>
  <si>
    <t>Fevereiro</t>
  </si>
  <si>
    <t>Valor Total</t>
  </si>
  <si>
    <t>Compra</t>
  </si>
  <si>
    <t>Perda</t>
  </si>
  <si>
    <t xml:space="preserve">Despesa </t>
  </si>
  <si>
    <t>Dia</t>
  </si>
  <si>
    <t>Janeiro</t>
  </si>
  <si>
    <t>Março</t>
  </si>
  <si>
    <t>Maio</t>
  </si>
  <si>
    <t>Junho</t>
  </si>
  <si>
    <t>Agosto</t>
  </si>
  <si>
    <t>Setembro</t>
  </si>
  <si>
    <t>Outubro</t>
  </si>
  <si>
    <t>Colocar quantidade de pedidos por cliente</t>
  </si>
  <si>
    <t>Coluna1</t>
  </si>
  <si>
    <t>Data do útimo pagamento</t>
  </si>
  <si>
    <t>Data do investimento</t>
  </si>
  <si>
    <t>Valor restante para o término do investimento</t>
  </si>
  <si>
    <t>Quantidade total de parcelas</t>
  </si>
  <si>
    <t>Investimento Total</t>
  </si>
  <si>
    <t>Facilitar a visualização do que foi pedido nas vendas</t>
  </si>
  <si>
    <t>Quantidade de parcelas pagas</t>
  </si>
  <si>
    <t>Valor da parcela</t>
  </si>
  <si>
    <t>Nome cliente</t>
  </si>
  <si>
    <t>Soma de juros pago</t>
  </si>
  <si>
    <t>Teste 1</t>
  </si>
  <si>
    <t>Valor pago até o momento</t>
  </si>
  <si>
    <t>Situção</t>
  </si>
  <si>
    <t>Coluna2</t>
  </si>
  <si>
    <t>Fazer um sub para quando for dinheiro, fazer ,00</t>
  </si>
  <si>
    <t>Despesas Funcionamento</t>
  </si>
  <si>
    <t>ID</t>
  </si>
  <si>
    <t>D1</t>
  </si>
  <si>
    <t>M2</t>
  </si>
  <si>
    <t>M3</t>
  </si>
  <si>
    <t>M5</t>
  </si>
  <si>
    <t>Rua</t>
  </si>
  <si>
    <t>Número da residência</t>
  </si>
  <si>
    <t>N° de pedidos realizados</t>
  </si>
  <si>
    <t>Complemento</t>
  </si>
  <si>
    <t>João Luiz</t>
  </si>
  <si>
    <t>Cond. Vittace. Torre 23, apto 401</t>
  </si>
  <si>
    <t>Fernanda Silva Ribas</t>
  </si>
  <si>
    <t>Francisco Ribas</t>
  </si>
  <si>
    <t>Em frente à Caixa</t>
  </si>
  <si>
    <t>Não</t>
  </si>
  <si>
    <t>Cliente</t>
  </si>
  <si>
    <t>Endereço</t>
  </si>
  <si>
    <t>N° Residência</t>
  </si>
  <si>
    <t>OBS: CLIENTES QUE NÃO PEDEM HÁ 60 DIAS SÃO CONSIDERADOS INATIVOS | É POSSÍVEL AGRUPAR E DESAGRUPAR A TABELA.</t>
  </si>
  <si>
    <t>(87)975747475</t>
  </si>
  <si>
    <t>Teste</t>
  </si>
  <si>
    <t>NÃO</t>
  </si>
  <si>
    <t>D2</t>
  </si>
  <si>
    <t>D3</t>
  </si>
  <si>
    <t>M7</t>
  </si>
  <si>
    <t>Teste 2</t>
  </si>
  <si>
    <t>(25)222222222</t>
  </si>
  <si>
    <t>É POSSíVEL AGRUPAR E DESAGRUPAR A TABELA</t>
  </si>
  <si>
    <t>Legenda</t>
  </si>
  <si>
    <t>O CONTROLE DE ESTOQUE AINDA NÃO ESTÁ FINALIZADO</t>
  </si>
  <si>
    <t>OS RESULTADOS E GRÁFICOS AINDA NÃO ESTÃO FINALIZADOS</t>
  </si>
  <si>
    <t>I5</t>
  </si>
  <si>
    <t>D7</t>
  </si>
  <si>
    <t>M8</t>
  </si>
  <si>
    <t>M10</t>
  </si>
  <si>
    <t>Teste 3</t>
  </si>
  <si>
    <t>Quantidade Usada</t>
  </si>
  <si>
    <t>4 - FAZER UM MACRO PARA OLHAR ITEM POR ITEM DA TABELA DE LANCHES, CASO NÃO ENCONTRAR EXCLUIR A COLUBA DA TABELA (ESTAMOS FALANDO DA MERCADORIA)</t>
  </si>
  <si>
    <t>3 - FAZER UM MACRO PARA OLHAR ITEM POR ITEM DA TABELA DE LANCHES, CASO TENHA NA LISTA PRINCIPAL E NÃO NA SECUNDÁRIA, ELE CRIA, CASO ELE NÃO TENHA NA PRIMARIA E TENHA NA SECUNDÁRIA, ELE EXCLUI</t>
  </si>
  <si>
    <t>1 - DEIXAR COMO TABELA, PARA QUANDO EXCLUIR RETIRAR A LINHA E COLUNA DA TABELA APENAS</t>
  </si>
  <si>
    <t>2 - FAZER UM MACRO PARA ADICIONAR OS PRODUTOS NA TABELA if range = "", add</t>
  </si>
  <si>
    <t>5 - CRIAR UM FORMULÁRIO PARA O USUÁRIO INDICAR O QUE VAI EM CADA PRODUTO, SUA QUANTIDADE, SENDO MOSTRADO UMA TABELA AO LADO PARA ELE TER MELHOR CONTROLE</t>
  </si>
  <si>
    <t>6 - COLOCAR UM FORMULARIO PARA EXCLUIR A MERCADORIA E O LANCHE</t>
  </si>
  <si>
    <t>7 - FAZER  UM MACRO PARA CRIAR E EXCLUIR LINHA DO CONTROLE DE ESTOQUE, AO DECORRER QUE VAI SENDO ADICIONADO E EXCLUIDO, NO CÓDIGO QUE SERÁ COLOCADO A FUNÇÃO SOMAR PRODUTO</t>
  </si>
  <si>
    <t>D9</t>
  </si>
  <si>
    <t>D10</t>
  </si>
  <si>
    <t>M11</t>
  </si>
  <si>
    <t>M12</t>
  </si>
  <si>
    <t>M13</t>
  </si>
  <si>
    <t>I11</t>
  </si>
  <si>
    <t>(11)111111177</t>
  </si>
  <si>
    <t xml:space="preserve">Teste 1 </t>
  </si>
  <si>
    <t>D12</t>
  </si>
  <si>
    <t>D13</t>
  </si>
  <si>
    <t>D14</t>
  </si>
  <si>
    <t>o</t>
  </si>
  <si>
    <t>D15</t>
  </si>
  <si>
    <t>D16</t>
  </si>
  <si>
    <t>M14</t>
  </si>
  <si>
    <t>(11)111111548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</si>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</sst>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"/>
    <numFmt numFmtId="166" formatCode="dddd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5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theme="1" tint="4.9989318521683403E-2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u/>
      <sz val="22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22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8" tint="0.39997558519241921"/>
        <bgColor theme="4" tint="0.5999938962981048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373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C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theme="5"/>
      </left>
      <right/>
      <top style="mediumDashed">
        <color theme="5"/>
      </top>
      <bottom style="thin">
        <color indexed="64"/>
      </bottom>
      <diagonal/>
    </border>
    <border>
      <left/>
      <right/>
      <top style="mediumDashed">
        <color theme="5"/>
      </top>
      <bottom style="thin">
        <color indexed="64"/>
      </bottom>
      <diagonal/>
    </border>
    <border>
      <left/>
      <right style="mediumDashed">
        <color theme="5"/>
      </right>
      <top style="mediumDashed">
        <color theme="5"/>
      </top>
      <bottom style="thin">
        <color indexed="64"/>
      </bottom>
      <diagonal/>
    </border>
    <border>
      <left style="mediumDashed">
        <color theme="5"/>
      </left>
      <right/>
      <top/>
      <bottom/>
      <diagonal/>
    </border>
    <border>
      <left style="mediumDashed">
        <color theme="5"/>
      </left>
      <right/>
      <top/>
      <bottom style="mediumDashed">
        <color theme="5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 style="thin">
        <color theme="0"/>
      </right>
      <top style="thin">
        <color theme="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0" fillId="0" borderId="0" xfId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2" fillId="4" borderId="0" xfId="3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0" fillId="3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44" fontId="7" fillId="2" borderId="9" xfId="1" applyNumberFormat="1" applyFont="1" applyFill="1" applyBorder="1" applyAlignment="1">
      <alignment horizontal="center" vertical="center"/>
    </xf>
    <xf numFmtId="0" fontId="14" fillId="5" borderId="8" xfId="0" applyFont="1" applyFill="1" applyBorder="1" applyAlignment="1">
      <alignment horizontal="center" vertical="center"/>
    </xf>
    <xf numFmtId="44" fontId="12" fillId="0" borderId="8" xfId="0" applyNumberFormat="1" applyFont="1" applyBorder="1" applyAlignment="1">
      <alignment horizontal="center" vertical="center"/>
    </xf>
    <xf numFmtId="164" fontId="12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2" fontId="0" fillId="0" borderId="0" xfId="0" applyNumberFormat="1"/>
    <xf numFmtId="165" fontId="0" fillId="0" borderId="13" xfId="0" applyNumberFormat="1" applyBorder="1" applyAlignment="1">
      <alignment horizontal="center" vertical="center"/>
    </xf>
    <xf numFmtId="1" fontId="0" fillId="3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6" fillId="0" borderId="0" xfId="0" applyFont="1"/>
    <xf numFmtId="0" fontId="17" fillId="4" borderId="0" xfId="3" applyFont="1" applyFill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left" vertical="center"/>
    </xf>
    <xf numFmtId="0" fontId="0" fillId="0" borderId="0" xfId="0" applyNumberFormat="1"/>
    <xf numFmtId="0" fontId="0" fillId="3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9" xfId="0" applyNumberFormat="1" applyFont="1" applyFill="1" applyBorder="1" applyAlignment="1">
      <alignment horizontal="center" vertical="center"/>
    </xf>
    <xf numFmtId="166" fontId="9" fillId="7" borderId="9" xfId="0" applyNumberFormat="1" applyFont="1" applyFill="1" applyBorder="1" applyAlignment="1">
      <alignment horizontal="center" vertical="center"/>
    </xf>
    <xf numFmtId="0" fontId="9" fillId="7" borderId="17" xfId="0" applyNumberFormat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9" fillId="0" borderId="20" xfId="0" applyNumberFormat="1" applyFont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3" fillId="0" borderId="0" xfId="0" applyFont="1"/>
    <xf numFmtId="0" fontId="9" fillId="0" borderId="1" xfId="0" applyNumberFormat="1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44" fontId="13" fillId="0" borderId="8" xfId="1" applyFont="1" applyBorder="1" applyAlignment="1">
      <alignment horizontal="left" vertical="center"/>
    </xf>
    <xf numFmtId="0" fontId="13" fillId="0" borderId="8" xfId="1" applyNumberFormat="1" applyFont="1" applyBorder="1" applyAlignment="1">
      <alignment horizontal="center" vertical="center"/>
    </xf>
    <xf numFmtId="167" fontId="13" fillId="0" borderId="8" xfId="1" applyNumberFormat="1" applyFont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165" fontId="13" fillId="10" borderId="5" xfId="0" applyNumberFormat="1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" xfId="0" applyFont="1" applyFill="1" applyBorder="1" applyAlignment="1">
      <alignment horizontal="center" vertical="center"/>
    </xf>
    <xf numFmtId="165" fontId="13" fillId="11" borderId="5" xfId="0" applyNumberFormat="1" applyFont="1" applyFill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2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15" borderId="0" xfId="0" applyFont="1" applyFill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44" fontId="8" fillId="0" borderId="0" xfId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4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/>
    </xf>
    <xf numFmtId="44" fontId="8" fillId="0" borderId="0" xfId="1" applyFont="1" applyAlignment="1">
      <alignment horizontal="center"/>
    </xf>
    <xf numFmtId="0" fontId="8" fillId="0" borderId="0" xfId="0" applyNumberFormat="1" applyFont="1" applyAlignment="1">
      <alignment horizontal="center"/>
    </xf>
    <xf numFmtId="0" fontId="8" fillId="0" borderId="0" xfId="1" applyNumberFormat="1" applyFont="1" applyAlignment="1">
      <alignment horizontal="center"/>
    </xf>
    <xf numFmtId="44" fontId="8" fillId="0" borderId="0" xfId="0" applyNumberFormat="1" applyFont="1" applyAlignment="1">
      <alignment horizontal="center"/>
    </xf>
    <xf numFmtId="44" fontId="8" fillId="0" borderId="0" xfId="1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44" fontId="8" fillId="0" borderId="0" xfId="1" applyNumberFormat="1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NumberForma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8" fillId="15" borderId="0" xfId="0" applyNumberFormat="1" applyFont="1" applyFill="1" applyAlignment="1">
      <alignment horizontal="center" vertical="center"/>
    </xf>
    <xf numFmtId="44" fontId="8" fillId="15" borderId="0" xfId="1" applyFont="1" applyFill="1" applyAlignment="1">
      <alignment horizontal="center" vertical="center"/>
    </xf>
    <xf numFmtId="166" fontId="21" fillId="15" borderId="0" xfId="0" applyNumberFormat="1" applyFont="1" applyFill="1" applyAlignment="1">
      <alignment horizontal="center" vertical="center"/>
    </xf>
    <xf numFmtId="0" fontId="21" fillId="15" borderId="0" xfId="0" applyNumberFormat="1" applyFont="1" applyFill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18" fillId="9" borderId="30" xfId="0" applyNumberFormat="1" applyFont="1" applyFill="1" applyBorder="1" applyAlignment="1">
      <alignment horizontal="center" vertical="center"/>
    </xf>
    <xf numFmtId="0" fontId="26" fillId="8" borderId="4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left" vertical="center"/>
    </xf>
    <xf numFmtId="0" fontId="0" fillId="16" borderId="0" xfId="0" applyFont="1" applyFill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4" fontId="23" fillId="15" borderId="1" xfId="0" applyNumberFormat="1" applyFont="1" applyFill="1" applyBorder="1" applyAlignment="1">
      <alignment horizontal="center" vertical="center"/>
    </xf>
    <xf numFmtId="166" fontId="23" fillId="15" borderId="1" xfId="0" applyNumberFormat="1" applyFont="1" applyFill="1" applyBorder="1" applyAlignment="1">
      <alignment horizontal="center" vertical="center"/>
    </xf>
    <xf numFmtId="44" fontId="23" fillId="15" borderId="1" xfId="1" applyFont="1" applyFill="1" applyBorder="1" applyAlignment="1">
      <alignment horizontal="center" vertical="center"/>
    </xf>
    <xf numFmtId="44" fontId="23" fillId="15" borderId="1" xfId="1" applyNumberFormat="1" applyFont="1" applyFill="1" applyBorder="1" applyAlignment="1">
      <alignment horizontal="center" vertical="center"/>
    </xf>
    <xf numFmtId="9" fontId="23" fillId="15" borderId="1" xfId="2" applyFont="1" applyFill="1" applyBorder="1" applyAlignment="1">
      <alignment horizontal="center" vertical="center"/>
    </xf>
    <xf numFmtId="164" fontId="23" fillId="15" borderId="1" xfId="1" applyNumberFormat="1" applyFont="1" applyFill="1" applyBorder="1" applyAlignment="1">
      <alignment horizontal="center" vertical="center"/>
    </xf>
    <xf numFmtId="44" fontId="23" fillId="15" borderId="1" xfId="0" applyNumberFormat="1" applyFont="1" applyFill="1" applyBorder="1" applyAlignment="1">
      <alignment horizontal="center" vertical="center"/>
    </xf>
    <xf numFmtId="0" fontId="23" fillId="15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166" fontId="23" fillId="0" borderId="1" xfId="0" applyNumberFormat="1" applyFont="1" applyBorder="1" applyAlignment="1">
      <alignment horizontal="center" vertical="center"/>
    </xf>
    <xf numFmtId="44" fontId="23" fillId="0" borderId="1" xfId="1" applyFont="1" applyBorder="1" applyAlignment="1">
      <alignment horizontal="center" vertical="center"/>
    </xf>
    <xf numFmtId="44" fontId="23" fillId="0" borderId="1" xfId="1" applyNumberFormat="1" applyFont="1" applyBorder="1" applyAlignment="1">
      <alignment horizontal="center" vertical="center"/>
    </xf>
    <xf numFmtId="9" fontId="23" fillId="0" borderId="1" xfId="2" applyFont="1" applyBorder="1" applyAlignment="1">
      <alignment horizontal="center" vertical="center"/>
    </xf>
    <xf numFmtId="164" fontId="23" fillId="0" borderId="1" xfId="1" applyNumberFormat="1" applyFont="1" applyBorder="1" applyAlignment="1">
      <alignment horizontal="center" vertical="center"/>
    </xf>
    <xf numFmtId="44" fontId="23" fillId="0" borderId="1" xfId="0" applyNumberFormat="1" applyFont="1" applyBorder="1" applyAlignment="1">
      <alignment horizontal="center" vertical="center"/>
    </xf>
    <xf numFmtId="0" fontId="23" fillId="0" borderId="1" xfId="0" applyNumberFormat="1" applyFont="1" applyBorder="1" applyAlignment="1">
      <alignment horizontal="center" vertical="center"/>
    </xf>
    <xf numFmtId="14" fontId="22" fillId="15" borderId="39" xfId="0" applyNumberFormat="1" applyFont="1" applyFill="1" applyBorder="1" applyAlignment="1">
      <alignment horizontal="center" vertical="center"/>
    </xf>
    <xf numFmtId="14" fontId="22" fillId="15" borderId="37" xfId="0" applyNumberFormat="1" applyFont="1" applyFill="1" applyBorder="1" applyAlignment="1">
      <alignment horizontal="center" vertical="center"/>
    </xf>
    <xf numFmtId="0" fontId="22" fillId="15" borderId="37" xfId="0" applyNumberFormat="1" applyFont="1" applyFill="1" applyBorder="1" applyAlignment="1">
      <alignment horizontal="center" vertical="center"/>
    </xf>
    <xf numFmtId="0" fontId="22" fillId="15" borderId="37" xfId="0" applyFont="1" applyFill="1" applyBorder="1" applyAlignment="1">
      <alignment horizontal="center" vertical="center"/>
    </xf>
    <xf numFmtId="44" fontId="22" fillId="15" borderId="37" xfId="1" applyNumberFormat="1" applyFont="1" applyFill="1" applyBorder="1" applyAlignment="1">
      <alignment horizontal="center" vertical="center"/>
    </xf>
    <xf numFmtId="44" fontId="22" fillId="15" borderId="38" xfId="1" applyNumberFormat="1" applyFont="1" applyFill="1" applyBorder="1" applyAlignment="1">
      <alignment horizontal="center" vertical="center"/>
    </xf>
    <xf numFmtId="14" fontId="22" fillId="0" borderId="39" xfId="0" applyNumberFormat="1" applyFont="1" applyBorder="1" applyAlignment="1">
      <alignment horizontal="center" vertical="center"/>
    </xf>
    <xf numFmtId="14" fontId="22" fillId="0" borderId="37" xfId="0" applyNumberFormat="1" applyFont="1" applyBorder="1" applyAlignment="1">
      <alignment horizontal="center" vertical="center"/>
    </xf>
    <xf numFmtId="0" fontId="22" fillId="0" borderId="37" xfId="0" applyNumberFormat="1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44" fontId="22" fillId="0" borderId="37" xfId="1" applyNumberFormat="1" applyFont="1" applyBorder="1" applyAlignment="1">
      <alignment horizontal="center" vertical="center"/>
    </xf>
    <xf numFmtId="44" fontId="22" fillId="0" borderId="38" xfId="1" applyNumberFormat="1" applyFont="1" applyBorder="1" applyAlignment="1">
      <alignment horizontal="center" vertical="center"/>
    </xf>
    <xf numFmtId="14" fontId="22" fillId="0" borderId="35" xfId="0" applyNumberFormat="1" applyFont="1" applyBorder="1" applyAlignment="1">
      <alignment horizontal="center" vertical="center"/>
    </xf>
    <xf numFmtId="14" fontId="22" fillId="0" borderId="36" xfId="0" applyNumberFormat="1" applyFont="1" applyBorder="1" applyAlignment="1">
      <alignment horizontal="center" vertical="center"/>
    </xf>
    <xf numFmtId="0" fontId="22" fillId="0" borderId="36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44" fontId="22" fillId="0" borderId="36" xfId="1" applyNumberFormat="1" applyFont="1" applyBorder="1" applyAlignment="1">
      <alignment horizontal="center" vertical="center"/>
    </xf>
    <xf numFmtId="44" fontId="22" fillId="0" borderId="34" xfId="1" applyNumberFormat="1" applyFont="1" applyBorder="1" applyAlignment="1">
      <alignment horizontal="center" vertical="center"/>
    </xf>
    <xf numFmtId="14" fontId="22" fillId="15" borderId="43" xfId="0" applyNumberFormat="1" applyFont="1" applyFill="1" applyBorder="1" applyAlignment="1">
      <alignment horizontal="center" vertical="center"/>
    </xf>
    <xf numFmtId="14" fontId="22" fillId="15" borderId="44" xfId="0" applyNumberFormat="1" applyFont="1" applyFill="1" applyBorder="1" applyAlignment="1">
      <alignment horizontal="center" vertical="center"/>
    </xf>
    <xf numFmtId="0" fontId="22" fillId="15" borderId="44" xfId="0" applyNumberFormat="1" applyFont="1" applyFill="1" applyBorder="1" applyAlignment="1">
      <alignment horizontal="center" vertical="center"/>
    </xf>
    <xf numFmtId="0" fontId="22" fillId="15" borderId="44" xfId="0" applyFont="1" applyFill="1" applyBorder="1" applyAlignment="1">
      <alignment horizontal="center" vertical="center"/>
    </xf>
    <xf numFmtId="44" fontId="22" fillId="15" borderId="44" xfId="1" applyNumberFormat="1" applyFont="1" applyFill="1" applyBorder="1" applyAlignment="1">
      <alignment horizontal="center" vertical="center"/>
    </xf>
    <xf numFmtId="44" fontId="22" fillId="15" borderId="45" xfId="1" applyNumberFormat="1" applyFont="1" applyFill="1" applyBorder="1" applyAlignment="1">
      <alignment horizontal="center" vertical="center"/>
    </xf>
    <xf numFmtId="14" fontId="7" fillId="15" borderId="30" xfId="0" applyNumberFormat="1" applyFont="1" applyFill="1" applyBorder="1" applyAlignment="1">
      <alignment horizontal="center" vertical="center"/>
    </xf>
    <xf numFmtId="0" fontId="7" fillId="15" borderId="30" xfId="0" applyFont="1" applyFill="1" applyBorder="1" applyAlignment="1">
      <alignment horizontal="center" vertical="center"/>
    </xf>
    <xf numFmtId="0" fontId="7" fillId="15" borderId="30" xfId="0" applyNumberFormat="1" applyFont="1" applyFill="1" applyBorder="1" applyAlignment="1">
      <alignment horizontal="center" vertical="center"/>
    </xf>
    <xf numFmtId="44" fontId="7" fillId="15" borderId="30" xfId="0" applyNumberFormat="1" applyFont="1" applyFill="1" applyBorder="1" applyAlignment="1">
      <alignment horizontal="center" vertical="center"/>
    </xf>
    <xf numFmtId="44" fontId="0" fillId="0" borderId="0" xfId="1" applyFont="1"/>
    <xf numFmtId="0" fontId="24" fillId="0" borderId="40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44" fontId="24" fillId="0" borderId="42" xfId="1" applyFont="1" applyBorder="1" applyAlignment="1">
      <alignment horizontal="center" vertical="center"/>
    </xf>
    <xf numFmtId="14" fontId="24" fillId="0" borderId="42" xfId="0" applyNumberFormat="1" applyFont="1" applyBorder="1" applyAlignment="1">
      <alignment horizontal="center" vertical="center"/>
    </xf>
    <xf numFmtId="0" fontId="24" fillId="0" borderId="42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14" fontId="28" fillId="6" borderId="0" xfId="0" applyNumberFormat="1" applyFont="1" applyFill="1" applyAlignment="1">
      <alignment horizontal="center" vertical="center"/>
    </xf>
    <xf numFmtId="165" fontId="28" fillId="6" borderId="0" xfId="0" applyNumberFormat="1" applyFont="1" applyFill="1" applyAlignment="1">
      <alignment horizontal="center" vertical="center"/>
    </xf>
    <xf numFmtId="44" fontId="28" fillId="6" borderId="0" xfId="1" applyFont="1" applyFill="1" applyAlignment="1">
      <alignment horizontal="center" vertical="center"/>
    </xf>
    <xf numFmtId="0" fontId="28" fillId="6" borderId="0" xfId="0" applyNumberFormat="1" applyFont="1" applyFill="1" applyAlignment="1">
      <alignment horizontal="center" vertical="center"/>
    </xf>
    <xf numFmtId="0" fontId="28" fillId="6" borderId="0" xfId="1" applyNumberFormat="1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left" vertical="center"/>
    </xf>
    <xf numFmtId="0" fontId="30" fillId="6" borderId="38" xfId="0" applyFont="1" applyFill="1" applyBorder="1" applyAlignment="1">
      <alignment horizontal="left" vertical="center"/>
    </xf>
    <xf numFmtId="0" fontId="29" fillId="6" borderId="40" xfId="0" applyFont="1" applyFill="1" applyBorder="1" applyAlignment="1">
      <alignment horizontal="center" vertical="center"/>
    </xf>
    <xf numFmtId="0" fontId="2" fillId="6" borderId="39" xfId="0" applyFont="1" applyFill="1" applyBorder="1" applyAlignment="1">
      <alignment horizontal="center" vertical="center"/>
    </xf>
    <xf numFmtId="0" fontId="0" fillId="6" borderId="0" xfId="0" applyFill="1"/>
    <xf numFmtId="7" fontId="8" fillId="0" borderId="0" xfId="1" applyNumberFormat="1" applyFont="1" applyAlignment="1">
      <alignment horizontal="center" vertical="center"/>
    </xf>
    <xf numFmtId="44" fontId="24" fillId="0" borderId="47" xfId="1" applyFont="1" applyBorder="1" applyAlignment="1">
      <alignment horizontal="center" vertical="center"/>
    </xf>
    <xf numFmtId="44" fontId="24" fillId="0" borderId="48" xfId="1" applyFont="1" applyBorder="1" applyAlignment="1">
      <alignment horizontal="center" vertical="center"/>
    </xf>
    <xf numFmtId="14" fontId="24" fillId="0" borderId="47" xfId="0" applyNumberFormat="1" applyFont="1" applyBorder="1" applyAlignment="1">
      <alignment horizontal="center" vertical="center"/>
    </xf>
    <xf numFmtId="14" fontId="24" fillId="0" borderId="48" xfId="0" applyNumberFormat="1" applyFont="1" applyBorder="1" applyAlignment="1">
      <alignment horizontal="center" vertical="center"/>
    </xf>
    <xf numFmtId="44" fontId="24" fillId="0" borderId="40" xfId="1" applyFont="1" applyBorder="1" applyAlignment="1">
      <alignment horizontal="center" vertical="center"/>
    </xf>
    <xf numFmtId="0" fontId="0" fillId="15" borderId="0" xfId="0" applyNumberFormat="1" applyFill="1" applyAlignment="1">
      <alignment horizontal="center" vertical="center"/>
    </xf>
    <xf numFmtId="0" fontId="7" fillId="0" borderId="30" xfId="0" applyNumberFormat="1" applyFont="1" applyBorder="1" applyAlignment="1">
      <alignment horizontal="center" vertical="center"/>
    </xf>
    <xf numFmtId="14" fontId="0" fillId="15" borderId="0" xfId="0" applyNumberFormat="1" applyFill="1" applyAlignment="1">
      <alignment horizontal="center" vertical="center"/>
    </xf>
    <xf numFmtId="14" fontId="27" fillId="6" borderId="0" xfId="0" applyNumberFormat="1" applyFont="1" applyFill="1" applyAlignment="1">
      <alignment horizontal="left" vertical="center"/>
    </xf>
    <xf numFmtId="14" fontId="7" fillId="0" borderId="30" xfId="0" applyNumberFormat="1" applyFont="1" applyBorder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8" fillId="0" borderId="0" xfId="1" applyNumberFormat="1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center"/>
    </xf>
    <xf numFmtId="0" fontId="8" fillId="9" borderId="0" xfId="1" applyNumberFormat="1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44" fontId="6" fillId="2" borderId="10" xfId="1" applyFont="1" applyFill="1" applyBorder="1" applyAlignment="1">
      <alignment horizontal="center" vertical="center"/>
    </xf>
    <xf numFmtId="44" fontId="6" fillId="2" borderId="11" xfId="1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9" fillId="6" borderId="14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2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indexed="64"/>
        </right>
        <top style="thin">
          <color theme="1"/>
        </top>
        <bottom style="thin">
          <color indexed="64"/>
        </bottom>
        <vertical/>
        <horizontal/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 tint="4.9989318521683403E-2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 tint="4.9989318521683403E-2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 tint="4.9989318521683403E-2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border>
        <top style="medium">
          <color theme="1"/>
        </top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8"/>
        <color theme="1" tint="4.9989318521683403E-2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dd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8" tint="0.39994506668294322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ill>
        <patternFill>
          <bgColor rgb="FFFFFF0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0"/>
      </font>
    </dxf>
    <dxf>
      <fill>
        <patternFill>
          <bgColor rgb="FFFFFF00"/>
        </patternFill>
      </fill>
      <border>
        <left/>
        <right/>
        <top/>
        <bottom/>
      </border>
    </dxf>
    <dxf>
      <fill>
        <patternFill>
          <bgColor theme="0"/>
        </patternFill>
      </fill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numFmt numFmtId="0" formatCode="General"/>
    </dxf>
    <dxf>
      <numFmt numFmtId="0" formatCode="General"/>
    </dxf>
    <dxf>
      <font>
        <b/>
        <sz val="14"/>
      </font>
      <numFmt numFmtId="166" formatCode="dddd"/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numFmt numFmtId="166" formatCode="dddd"/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numFmt numFmtId="166" formatCode="dddd"/>
      <alignment horizontal="center" vertical="center"/>
    </dxf>
    <dxf>
      <font>
        <b/>
        <sz val="14"/>
      </font>
      <numFmt numFmtId="166" formatCode="dddd"/>
      <alignment horizontal="center" vertical="center"/>
    </dxf>
    <dxf>
      <font>
        <b/>
        <sz val="14"/>
      </font>
      <numFmt numFmtId="166" formatCode="dddd"/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numFmt numFmtId="166" formatCode="dddd"/>
      <fill>
        <patternFill patternType="solid">
          <fgColor indexed="64"/>
          <bgColor theme="4"/>
        </patternFill>
      </fill>
      <alignment horizontal="center" vertical="center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alignment horizontal="center" vertical="center"/>
    </dxf>
    <dxf>
      <font>
        <b/>
        <sz val="14"/>
      </font>
      <alignment horizontal="center" vertical="center"/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  <sz val="14"/>
      </font>
      <alignment horizontal="center" vertical="center"/>
    </dxf>
    <dxf>
      <font>
        <b/>
        <sz val="14"/>
      </font>
      <alignment horizontal="center"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4"/>
      </font>
      <alignment horizontal="center" vertical="center"/>
    </dxf>
    <dxf>
      <font>
        <b/>
        <sz val="14"/>
      </font>
      <alignment horizontal="center" vertical="center"/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4"/>
      </font>
      <alignment horizontal="center" vertical="center"/>
    </dxf>
    <dxf>
      <font>
        <b/>
        <sz val="14"/>
      </font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4"/>
      </font>
      <alignment horizontal="center" vertical="center"/>
    </dxf>
    <dxf>
      <font>
        <b/>
        <sz val="14"/>
      </font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b/>
        <sz val="14"/>
      </font>
      <fill>
        <patternFill patternType="solid">
          <fgColor indexed="64"/>
          <bgColor theme="4"/>
        </patternFill>
      </fill>
      <alignment horizontal="center" vertical="center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rgb="FFFF3300"/>
        </patternFill>
      </fill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/>
        <i val="0"/>
        <color theme="0"/>
      </font>
      <fill>
        <patternFill>
          <bgColor rgb="FFFF000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1"/>
        </top>
        <bottom style="thin">
          <color theme="1"/>
        </bottom>
        <vertical/>
        <horizontal/>
      </border>
    </dxf>
    <dxf>
      <border>
        <top style="thin">
          <color theme="0"/>
        </top>
      </border>
    </dxf>
    <dxf>
      <border outline="0">
        <right style="thin">
          <color theme="0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76B54B"/>
      <color rgb="FF68A042"/>
      <color rgb="FF619428"/>
      <color rgb="FFEB563D"/>
      <color rgb="FFFF3300"/>
      <color rgb="FFF74B4B"/>
      <color rgb="FFFF66CC"/>
      <color rgb="FFFF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Excel  ..xlsm]Resultados!Tabela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Quantidade de pedidos por dia da semana</a:t>
            </a:r>
          </a:p>
        </c:rich>
      </c:tx>
      <c:layout>
        <c:manualLayout>
          <c:xMode val="edge"/>
          <c:yMode val="edge"/>
          <c:x val="0.16377761712905725"/>
          <c:y val="3.0190021223347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Resultados!$H$5:$H$9</c:f>
              <c:strCache>
                <c:ptCount val="4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</c:strCache>
            </c:strRef>
          </c:cat>
          <c:val>
            <c:numRef>
              <c:f>Resultados!$I$5:$I$9</c:f>
              <c:numCache>
                <c:formatCode>General</c:formatCode>
                <c:ptCount val="4"/>
                <c:pt idx="0">
                  <c:v>11</c:v>
                </c:pt>
                <c:pt idx="1">
                  <c:v>4</c:v>
                </c:pt>
                <c:pt idx="2">
                  <c:v>11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24-4657-9092-95482C2127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16136272"/>
        <c:axId val="1516138352"/>
      </c:barChart>
      <c:catAx>
        <c:axId val="151613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rgbClr val="FFFF00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6138352"/>
        <c:crosses val="autoZero"/>
        <c:auto val="1"/>
        <c:lblAlgn val="ctr"/>
        <c:lblOffset val="100"/>
        <c:noMultiLvlLbl val="0"/>
      </c:catAx>
      <c:valAx>
        <c:axId val="15161383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1613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Excel  ..xlsm]Resultados!Tabela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tx1"/>
                </a:solidFill>
              </a:rPr>
              <a:t>Soma de</a:t>
            </a:r>
            <a:r>
              <a:rPr lang="en-US" sz="2400" b="1" baseline="0">
                <a:solidFill>
                  <a:schemeClr val="tx1"/>
                </a:solidFill>
              </a:rPr>
              <a:t> pedidos por lanche</a:t>
            </a:r>
            <a:endParaRPr lang="en-US" sz="24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Resultados!$K$4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Resultados!$J$5:$J$11</c:f>
              <c:strCache>
                <c:ptCount val="6"/>
                <c:pt idx="0">
                  <c:v>Lanche do Barão</c:v>
                </c:pt>
                <c:pt idx="1">
                  <c:v>Lanche do Chef</c:v>
                </c:pt>
                <c:pt idx="2">
                  <c:v>Lanche do mineiro</c:v>
                </c:pt>
                <c:pt idx="3">
                  <c:v>Lanche do alemão</c:v>
                </c:pt>
                <c:pt idx="4">
                  <c:v>Lanche do inglês</c:v>
                </c:pt>
                <c:pt idx="5">
                  <c:v>Lanche do Vegetariano</c:v>
                </c:pt>
              </c:strCache>
            </c:strRef>
          </c:cat>
          <c:val>
            <c:numRef>
              <c:f>Resultados!$K$5:$K$11</c:f>
              <c:numCache>
                <c:formatCode>General</c:formatCode>
                <c:ptCount val="6"/>
                <c:pt idx="0">
                  <c:v>10</c:v>
                </c:pt>
                <c:pt idx="1">
                  <c:v>14</c:v>
                </c:pt>
                <c:pt idx="2">
                  <c:v>95</c:v>
                </c:pt>
                <c:pt idx="3">
                  <c:v>140</c:v>
                </c:pt>
                <c:pt idx="4">
                  <c:v>44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8B-4950-86F7-8BBB7E3BA6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1135664"/>
        <c:axId val="891133584"/>
      </c:barChart>
      <c:catAx>
        <c:axId val="89113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rgbClr val="FFFF00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133584"/>
        <c:crosses val="autoZero"/>
        <c:auto val="1"/>
        <c:lblAlgn val="ctr"/>
        <c:lblOffset val="100"/>
        <c:noMultiLvlLbl val="0"/>
      </c:catAx>
      <c:valAx>
        <c:axId val="891133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11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Excel  ..xlsm]Resultados!Tabela dinâmica5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800" b="1">
                <a:solidFill>
                  <a:schemeClr val="tx1"/>
                </a:solidFill>
              </a:rPr>
              <a:t>Quantidade de pedido</a:t>
            </a:r>
            <a:r>
              <a:rPr lang="en-US" sz="2800" b="1" baseline="0">
                <a:solidFill>
                  <a:schemeClr val="tx1"/>
                </a:solidFill>
              </a:rPr>
              <a:t> por bairro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Resultados!$L$5:$L$9</c:f>
              <c:strCache>
                <c:ptCount val="4"/>
                <c:pt idx="0">
                  <c:v>Cará - Cará</c:v>
                </c:pt>
                <c:pt idx="1">
                  <c:v>Chapada</c:v>
                </c:pt>
                <c:pt idx="2">
                  <c:v>Colônia Dona Luiza</c:v>
                </c:pt>
                <c:pt idx="3">
                  <c:v>Periquitos</c:v>
                </c:pt>
              </c:strCache>
            </c:strRef>
          </c:cat>
          <c:val>
            <c:numRef>
              <c:f>Resultados!$M$5:$M$9</c:f>
              <c:numCache>
                <c:formatCode>General</c:formatCode>
                <c:ptCount val="4"/>
                <c:pt idx="0">
                  <c:v>17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B-456E-A468-2BEE6C5F5B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0319472"/>
        <c:axId val="1670316144"/>
      </c:barChart>
      <c:catAx>
        <c:axId val="167031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rgbClr val="FFFF00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0316144"/>
        <c:crosses val="autoZero"/>
        <c:auto val="1"/>
        <c:lblAlgn val="ctr"/>
        <c:lblOffset val="100"/>
        <c:noMultiLvlLbl val="0"/>
      </c:catAx>
      <c:valAx>
        <c:axId val="1670316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703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[Projeto Excel  ..xlsm]Resultados!Tabela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Pedidos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Resultados!$O$4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Resultados!$N$5:$N$9</c:f>
              <c:strCache>
                <c:ptCount val="4"/>
                <c:pt idx="0">
                  <c:v>Julho</c:v>
                </c:pt>
                <c:pt idx="1">
                  <c:v>Dezembro</c:v>
                </c:pt>
                <c:pt idx="2">
                  <c:v>(vazio)</c:v>
                </c:pt>
                <c:pt idx="3">
                  <c:v>Novembro</c:v>
                </c:pt>
              </c:strCache>
            </c:strRef>
          </c:cat>
          <c:val>
            <c:numRef>
              <c:f>Resultados!$O$5:$O$9</c:f>
              <c:numCache>
                <c:formatCode>General</c:formatCode>
                <c:ptCount val="4"/>
                <c:pt idx="0">
                  <c:v>2</c:v>
                </c:pt>
                <c:pt idx="1">
                  <c:v>28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6-429B-8A1E-09CE78908C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1135664"/>
        <c:axId val="891133584"/>
      </c:barChart>
      <c:catAx>
        <c:axId val="89113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rgbClr val="FFFF00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133584"/>
        <c:crosses val="autoZero"/>
        <c:auto val="1"/>
        <c:lblAlgn val="ctr"/>
        <c:lblOffset val="100"/>
        <c:noMultiLvlLbl val="0"/>
      </c:catAx>
      <c:valAx>
        <c:axId val="891133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11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[Projeto Excel  ..xlsm]Resultados!Tabela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pedidos por 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Resultados!$Q$4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Resultados!$P$5:$P$9</c:f>
              <c:strCache>
                <c:ptCount val="4"/>
                <c:pt idx="0">
                  <c:v>2015</c:v>
                </c:pt>
                <c:pt idx="1">
                  <c:v>2020</c:v>
                </c:pt>
                <c:pt idx="2">
                  <c:v>2021</c:v>
                </c:pt>
                <c:pt idx="3">
                  <c:v>(vazio)</c:v>
                </c:pt>
              </c:strCache>
            </c:strRef>
          </c:cat>
          <c:val>
            <c:numRef>
              <c:f>Resultados!$Q$5:$Q$9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593-B66E-91220C7228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1135664"/>
        <c:axId val="891133584"/>
      </c:barChart>
      <c:catAx>
        <c:axId val="89113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rgbClr val="FFFF00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1133584"/>
        <c:crosses val="autoZero"/>
        <c:auto val="1"/>
        <c:lblAlgn val="ctr"/>
        <c:lblOffset val="100"/>
        <c:noMultiLvlLbl val="0"/>
      </c:catAx>
      <c:valAx>
        <c:axId val="891133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911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elefones!A1"/><Relationship Id="rId3" Type="http://schemas.openxmlformats.org/officeDocument/2006/relationships/hyperlink" Target="#'Controle Mercadorias'!A1"/><Relationship Id="rId7" Type="http://schemas.openxmlformats.org/officeDocument/2006/relationships/hyperlink" Target="#Vendas!A1"/><Relationship Id="rId2" Type="http://schemas.openxmlformats.org/officeDocument/2006/relationships/hyperlink" Target="#'Despesas Fixas'!A1"/><Relationship Id="rId1" Type="http://schemas.openxmlformats.org/officeDocument/2006/relationships/image" Target="../media/image1.jpeg"/><Relationship Id="rId6" Type="http://schemas.openxmlformats.org/officeDocument/2006/relationships/hyperlink" Target="#Gr&#225;fic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Telefones!A1"/><Relationship Id="rId3" Type="http://schemas.openxmlformats.org/officeDocument/2006/relationships/hyperlink" Target="#'Controle Mercadorias'!A1"/><Relationship Id="rId7" Type="http://schemas.openxmlformats.org/officeDocument/2006/relationships/hyperlink" Target="#Gr&#225;ficos!A1"/><Relationship Id="rId2" Type="http://schemas.openxmlformats.org/officeDocument/2006/relationships/hyperlink" Target="#'Despesas Fixas'!A1"/><Relationship Id="rId1" Type="http://schemas.openxmlformats.org/officeDocument/2006/relationships/hyperlink" Target="#Menu!A1"/><Relationship Id="rId6" Type="http://schemas.openxmlformats.org/officeDocument/2006/relationships/hyperlink" Target="#Venda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Telefones!A1"/><Relationship Id="rId3" Type="http://schemas.openxmlformats.org/officeDocument/2006/relationships/hyperlink" Target="#'Controle Mercadorias'!A1"/><Relationship Id="rId7" Type="http://schemas.openxmlformats.org/officeDocument/2006/relationships/hyperlink" Target="#Gr&#225;ficos!A1"/><Relationship Id="rId2" Type="http://schemas.openxmlformats.org/officeDocument/2006/relationships/hyperlink" Target="#'Despesas Fixas'!A1"/><Relationship Id="rId1" Type="http://schemas.openxmlformats.org/officeDocument/2006/relationships/hyperlink" Target="#Menu!A1"/><Relationship Id="rId6" Type="http://schemas.openxmlformats.org/officeDocument/2006/relationships/hyperlink" Target="#Venda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Telefones!A1"/><Relationship Id="rId2" Type="http://schemas.openxmlformats.org/officeDocument/2006/relationships/hyperlink" Target="#'Despesas Fixas'!A1"/><Relationship Id="rId1" Type="http://schemas.openxmlformats.org/officeDocument/2006/relationships/hyperlink" Target="#Menu!A1"/><Relationship Id="rId6" Type="http://schemas.openxmlformats.org/officeDocument/2006/relationships/hyperlink" Target="#Gr&#225;ficos!A1"/><Relationship Id="rId5" Type="http://schemas.openxmlformats.org/officeDocument/2006/relationships/hyperlink" Target="#Vendas!A1"/><Relationship Id="rId4" Type="http://schemas.openxmlformats.org/officeDocument/2006/relationships/hyperlink" Target="#'Controle de Estoque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Telefones!A1"/><Relationship Id="rId2" Type="http://schemas.openxmlformats.org/officeDocument/2006/relationships/hyperlink" Target="#'Despesas Fixas'!A1"/><Relationship Id="rId1" Type="http://schemas.openxmlformats.org/officeDocument/2006/relationships/hyperlink" Target="#Menu!A1"/><Relationship Id="rId6" Type="http://schemas.openxmlformats.org/officeDocument/2006/relationships/hyperlink" Target="#Gr&#225;ficos!A1"/><Relationship Id="rId5" Type="http://schemas.openxmlformats.org/officeDocument/2006/relationships/hyperlink" Target="#Vendas!A1"/><Relationship Id="rId4" Type="http://schemas.openxmlformats.org/officeDocument/2006/relationships/hyperlink" Target="#Investimentos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13" Type="http://schemas.openxmlformats.org/officeDocument/2006/relationships/hyperlink" Target="#Gr&#225;ficos!A1"/><Relationship Id="rId3" Type="http://schemas.openxmlformats.org/officeDocument/2006/relationships/image" Target="../media/image4.emf"/><Relationship Id="rId7" Type="http://schemas.openxmlformats.org/officeDocument/2006/relationships/hyperlink" Target="#Menu!A1"/><Relationship Id="rId12" Type="http://schemas.openxmlformats.org/officeDocument/2006/relationships/hyperlink" Target="#Vendas!A1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hyperlink" Target="#'Controle de Estoque'!A1"/><Relationship Id="rId5" Type="http://schemas.openxmlformats.org/officeDocument/2006/relationships/image" Target="../media/image6.emf"/><Relationship Id="rId10" Type="http://schemas.openxmlformats.org/officeDocument/2006/relationships/hyperlink" Target="#Investimentos!A1"/><Relationship Id="rId4" Type="http://schemas.openxmlformats.org/officeDocument/2006/relationships/image" Target="../media/image5.emf"/><Relationship Id="rId9" Type="http://schemas.openxmlformats.org/officeDocument/2006/relationships/hyperlink" Target="#'Controle Mercadorias'!A1"/><Relationship Id="rId14" Type="http://schemas.openxmlformats.org/officeDocument/2006/relationships/hyperlink" Target="#Telefones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Telefones!A1"/><Relationship Id="rId3" Type="http://schemas.openxmlformats.org/officeDocument/2006/relationships/hyperlink" Target="#'Controle Mercadorias'!A1"/><Relationship Id="rId7" Type="http://schemas.openxmlformats.org/officeDocument/2006/relationships/hyperlink" Target="#Gr&#225;ficos!A1"/><Relationship Id="rId2" Type="http://schemas.openxmlformats.org/officeDocument/2006/relationships/hyperlink" Target="#'Despesas Fixas'!A1"/><Relationship Id="rId1" Type="http://schemas.openxmlformats.org/officeDocument/2006/relationships/hyperlink" Target="#Menu!A1"/><Relationship Id="rId6" Type="http://schemas.openxmlformats.org/officeDocument/2006/relationships/hyperlink" Target="#Venda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Gr&#225;ficos!A1"/><Relationship Id="rId3" Type="http://schemas.openxmlformats.org/officeDocument/2006/relationships/hyperlink" Target="#'Despesas Fixas'!A1"/><Relationship Id="rId7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14.emf"/><Relationship Id="rId6" Type="http://schemas.openxmlformats.org/officeDocument/2006/relationships/hyperlink" Target="#'Controle de Estoque'!A1"/><Relationship Id="rId5" Type="http://schemas.openxmlformats.org/officeDocument/2006/relationships/hyperlink" Target="#Investimentos!A1"/><Relationship Id="rId4" Type="http://schemas.openxmlformats.org/officeDocument/2006/relationships/hyperlink" Target="#'Controle Mercadorias'!A1"/><Relationship Id="rId9" Type="http://schemas.openxmlformats.org/officeDocument/2006/relationships/hyperlink" Target="#Telefone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7040</xdr:rowOff>
    </xdr:from>
    <xdr:to>
      <xdr:col>9</xdr:col>
      <xdr:colOff>604631</xdr:colOff>
      <xdr:row>22</xdr:row>
      <xdr:rowOff>142875</xdr:rowOff>
    </xdr:to>
    <xdr:pic>
      <xdr:nvPicPr>
        <xdr:cNvPr id="11" name="Imagem 10" descr="Frutas sortidas e mistas Foto gratuita">
          <a:extLst>
            <a:ext uri="{FF2B5EF4-FFF2-40B4-BE49-F238E27FC236}">
              <a16:creationId xmlns:a16="http://schemas.microsoft.com/office/drawing/2014/main" id="{C266CBF2-5570-4C23-B89D-9D1C0CB92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40"/>
          <a:ext cx="6091031" cy="43268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444748</xdr:colOff>
      <xdr:row>1</xdr:row>
      <xdr:rowOff>139977</xdr:rowOff>
    </xdr:from>
    <xdr:to>
      <xdr:col>3</xdr:col>
      <xdr:colOff>489888</xdr:colOff>
      <xdr:row>3</xdr:row>
      <xdr:rowOff>131694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B00549-226B-438C-94A1-FF51AA4DC137}"/>
            </a:ext>
          </a:extLst>
        </xdr:cNvPr>
        <xdr:cNvSpPr/>
      </xdr:nvSpPr>
      <xdr:spPr>
        <a:xfrm>
          <a:off x="444748" y="330477"/>
          <a:ext cx="1873940" cy="372717"/>
        </a:xfrm>
        <a:prstGeom prst="roundRect">
          <a:avLst/>
        </a:prstGeom>
        <a:solidFill>
          <a:schemeClr val="bg2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Despesas Fixas</a:t>
          </a:r>
        </a:p>
      </xdr:txBody>
    </xdr:sp>
    <xdr:clientData/>
  </xdr:twoCellAnchor>
  <xdr:twoCellAnchor>
    <xdr:from>
      <xdr:col>0</xdr:col>
      <xdr:colOff>449416</xdr:colOff>
      <xdr:row>4</xdr:row>
      <xdr:rowOff>73302</xdr:rowOff>
    </xdr:from>
    <xdr:to>
      <xdr:col>3</xdr:col>
      <xdr:colOff>505451</xdr:colOff>
      <xdr:row>6</xdr:row>
      <xdr:rowOff>65019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817EFD-103A-4E5C-A8F3-1E109F7EBA38}"/>
            </a:ext>
          </a:extLst>
        </xdr:cNvPr>
        <xdr:cNvSpPr/>
      </xdr:nvSpPr>
      <xdr:spPr>
        <a:xfrm>
          <a:off x="449416" y="835302"/>
          <a:ext cx="1884835" cy="372717"/>
        </a:xfrm>
        <a:prstGeom prst="roundRect">
          <a:avLst/>
        </a:prstGeom>
        <a:solidFill>
          <a:schemeClr val="bg2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Compras Mercadorias</a:t>
          </a:r>
        </a:p>
      </xdr:txBody>
    </xdr:sp>
    <xdr:clientData/>
  </xdr:twoCellAnchor>
  <xdr:twoCellAnchor>
    <xdr:from>
      <xdr:col>0</xdr:col>
      <xdr:colOff>447861</xdr:colOff>
      <xdr:row>6</xdr:row>
      <xdr:rowOff>168552</xdr:rowOff>
    </xdr:from>
    <xdr:to>
      <xdr:col>3</xdr:col>
      <xdr:colOff>493001</xdr:colOff>
      <xdr:row>8</xdr:row>
      <xdr:rowOff>160707</xdr:rowOff>
    </xdr:to>
    <xdr:sp macro="" textlink="">
      <xdr:nvSpPr>
        <xdr:cNvPr id="14" name="Retângulo: Cantos Arredondado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BC11CE-A3DC-4E0E-A453-C5FE5624F169}"/>
            </a:ext>
          </a:extLst>
        </xdr:cNvPr>
        <xdr:cNvSpPr/>
      </xdr:nvSpPr>
      <xdr:spPr>
        <a:xfrm>
          <a:off x="447861" y="1311552"/>
          <a:ext cx="1873940" cy="373155"/>
        </a:xfrm>
        <a:prstGeom prst="roundRect">
          <a:avLst/>
        </a:prstGeom>
        <a:solidFill>
          <a:schemeClr val="bg2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Investimentos</a:t>
          </a:r>
        </a:p>
      </xdr:txBody>
    </xdr:sp>
    <xdr:clientData/>
  </xdr:twoCellAnchor>
  <xdr:twoCellAnchor>
    <xdr:from>
      <xdr:col>0</xdr:col>
      <xdr:colOff>457200</xdr:colOff>
      <xdr:row>9</xdr:row>
      <xdr:rowOff>101877</xdr:rowOff>
    </xdr:from>
    <xdr:to>
      <xdr:col>3</xdr:col>
      <xdr:colOff>502340</xdr:colOff>
      <xdr:row>11</xdr:row>
      <xdr:rowOff>82828</xdr:rowOff>
    </xdr:to>
    <xdr:sp macro="" textlink="">
      <xdr:nvSpPr>
        <xdr:cNvPr id="15" name="Retângulo: Cantos Arredondados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2C1CC3-2525-4702-833B-AF962DD66BB8}"/>
            </a:ext>
          </a:extLst>
        </xdr:cNvPr>
        <xdr:cNvSpPr/>
      </xdr:nvSpPr>
      <xdr:spPr>
        <a:xfrm>
          <a:off x="457200" y="1816377"/>
          <a:ext cx="1873940" cy="361951"/>
        </a:xfrm>
        <a:prstGeom prst="roundRect">
          <a:avLst/>
        </a:prstGeom>
        <a:solidFill>
          <a:schemeClr val="bg2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Controle</a:t>
          </a:r>
          <a:r>
            <a:rPr lang="pt-BR" sz="1600" b="1">
              <a:solidFill>
                <a:schemeClr val="bg1"/>
              </a:solidFill>
            </a:rPr>
            <a:t> de </a:t>
          </a:r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Estoque</a:t>
          </a:r>
        </a:p>
      </xdr:txBody>
    </xdr:sp>
    <xdr:clientData/>
  </xdr:twoCellAnchor>
  <xdr:twoCellAnchor>
    <xdr:from>
      <xdr:col>0</xdr:col>
      <xdr:colOff>457200</xdr:colOff>
      <xdr:row>15</xdr:row>
      <xdr:rowOff>25677</xdr:rowOff>
    </xdr:from>
    <xdr:to>
      <xdr:col>3</xdr:col>
      <xdr:colOff>513234</xdr:colOff>
      <xdr:row>16</xdr:row>
      <xdr:rowOff>178077</xdr:rowOff>
    </xdr:to>
    <xdr:sp macro="" textlink="">
      <xdr:nvSpPr>
        <xdr:cNvPr id="16" name="Retângulo: Cantos Arredondados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AF0306D-2C69-48F6-B5D3-3FDCFA4FE1C5}"/>
            </a:ext>
          </a:extLst>
        </xdr:cNvPr>
        <xdr:cNvSpPr/>
      </xdr:nvSpPr>
      <xdr:spPr>
        <a:xfrm>
          <a:off x="457200" y="2883177"/>
          <a:ext cx="1884834" cy="342900"/>
        </a:xfrm>
        <a:prstGeom prst="roundRect">
          <a:avLst/>
        </a:prstGeom>
        <a:solidFill>
          <a:schemeClr val="bg2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Resultados</a:t>
          </a:r>
        </a:p>
      </xdr:txBody>
    </xdr:sp>
    <xdr:clientData/>
  </xdr:twoCellAnchor>
  <xdr:twoCellAnchor>
    <xdr:from>
      <xdr:col>0</xdr:col>
      <xdr:colOff>454087</xdr:colOff>
      <xdr:row>12</xdr:row>
      <xdr:rowOff>63777</xdr:rowOff>
    </xdr:from>
    <xdr:to>
      <xdr:col>3</xdr:col>
      <xdr:colOff>499227</xdr:colOff>
      <xdr:row>14</xdr:row>
      <xdr:rowOff>35202</xdr:rowOff>
    </xdr:to>
    <xdr:sp macro="" textlink="">
      <xdr:nvSpPr>
        <xdr:cNvPr id="17" name="Retângulo: Cantos Arredondados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78D09D4-4C18-4D6C-A189-46F47F0AC7D4}"/>
            </a:ext>
          </a:extLst>
        </xdr:cNvPr>
        <xdr:cNvSpPr/>
      </xdr:nvSpPr>
      <xdr:spPr>
        <a:xfrm>
          <a:off x="454087" y="2349777"/>
          <a:ext cx="1873940" cy="352425"/>
        </a:xfrm>
        <a:prstGeom prst="roundRect">
          <a:avLst/>
        </a:prstGeom>
        <a:solidFill>
          <a:schemeClr val="bg2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0</xdr:col>
      <xdr:colOff>457200</xdr:colOff>
      <xdr:row>17</xdr:row>
      <xdr:rowOff>180975</xdr:rowOff>
    </xdr:from>
    <xdr:to>
      <xdr:col>3</xdr:col>
      <xdr:colOff>502340</xdr:colOff>
      <xdr:row>19</xdr:row>
      <xdr:rowOff>152400</xdr:rowOff>
    </xdr:to>
    <xdr:sp macro="" textlink="">
      <xdr:nvSpPr>
        <xdr:cNvPr id="10" name="Retângulo: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96C55-F2D9-483D-AD16-AF471E678601}"/>
            </a:ext>
          </a:extLst>
        </xdr:cNvPr>
        <xdr:cNvSpPr/>
      </xdr:nvSpPr>
      <xdr:spPr>
        <a:xfrm>
          <a:off x="457200" y="3419475"/>
          <a:ext cx="1873940" cy="352425"/>
        </a:xfrm>
        <a:prstGeom prst="roundRect">
          <a:avLst/>
        </a:prstGeom>
        <a:solidFill>
          <a:schemeClr val="bg2">
            <a:lumMod val="5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Telefones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19405</xdr:rowOff>
    </xdr:from>
    <xdr:to>
      <xdr:col>3</xdr:col>
      <xdr:colOff>322032</xdr:colOff>
      <xdr:row>3</xdr:row>
      <xdr:rowOff>0</xdr:rowOff>
    </xdr:to>
    <xdr:sp macro="[0]!Abri_despesas" textlink="">
      <xdr:nvSpPr>
        <xdr:cNvPr id="2" name="Retângulo 1">
          <a:extLst>
            <a:ext uri="{FF2B5EF4-FFF2-40B4-BE49-F238E27FC236}">
              <a16:creationId xmlns:a16="http://schemas.microsoft.com/office/drawing/2014/main" id="{210710C7-E3F1-4C14-83C8-F0C0D977B388}"/>
            </a:ext>
          </a:extLst>
        </xdr:cNvPr>
        <xdr:cNvSpPr/>
      </xdr:nvSpPr>
      <xdr:spPr>
        <a:xfrm>
          <a:off x="0" y="1665869"/>
          <a:ext cx="5057318" cy="1224000"/>
        </a:xfrm>
        <a:prstGeom prst="rect">
          <a:avLst/>
        </a:prstGeom>
        <a:gradFill flip="none" rotWithShape="1">
          <a:gsLst>
            <a:gs pos="5000">
              <a:schemeClr val="accent6">
                <a:lumMod val="75000"/>
              </a:schemeClr>
            </a:gs>
            <a:gs pos="23000">
              <a:schemeClr val="accent6">
                <a:lumMod val="75000"/>
              </a:schemeClr>
            </a:gs>
            <a:gs pos="69000">
              <a:srgbClr val="76B54B"/>
            </a:gs>
            <a:gs pos="97000">
              <a:srgbClr val="619428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3200" b="1">
              <a:solidFill>
                <a:schemeClr val="tx1"/>
              </a:solidFill>
              <a:latin typeface="Berlin Sans FB Demi" panose="020E0802020502020306" pitchFamily="34" charset="0"/>
              <a:ea typeface="+mn-ea"/>
              <a:cs typeface="+mn-cs"/>
            </a:rPr>
            <a:t>INSERIR DESPESAS</a:t>
          </a:r>
        </a:p>
      </xdr:txBody>
    </xdr:sp>
    <xdr:clientData/>
  </xdr:twoCellAnchor>
  <xdr:twoCellAnchor editAs="absolute">
    <xdr:from>
      <xdr:col>3</xdr:col>
      <xdr:colOff>330280</xdr:colOff>
      <xdr:row>1</xdr:row>
      <xdr:rowOff>19405</xdr:rowOff>
    </xdr:from>
    <xdr:to>
      <xdr:col>5</xdr:col>
      <xdr:colOff>1225051</xdr:colOff>
      <xdr:row>3</xdr:row>
      <xdr:rowOff>0</xdr:rowOff>
    </xdr:to>
    <xdr:sp macro="[0]!Abre_excluir_despesas" textlink="">
      <xdr:nvSpPr>
        <xdr:cNvPr id="3" name="Retângulo 2">
          <a:extLst>
            <a:ext uri="{FF2B5EF4-FFF2-40B4-BE49-F238E27FC236}">
              <a16:creationId xmlns:a16="http://schemas.microsoft.com/office/drawing/2014/main" id="{E86339BF-9FE1-4F05-8579-430816234DBD}"/>
            </a:ext>
          </a:extLst>
        </xdr:cNvPr>
        <xdr:cNvSpPr/>
      </xdr:nvSpPr>
      <xdr:spPr>
        <a:xfrm>
          <a:off x="5065566" y="1665869"/>
          <a:ext cx="5044949" cy="1224000"/>
        </a:xfrm>
        <a:prstGeom prst="rect">
          <a:avLst/>
        </a:prstGeom>
        <a:gradFill flip="none" rotWithShape="1">
          <a:gsLst>
            <a:gs pos="0">
              <a:srgbClr val="FF3300"/>
            </a:gs>
            <a:gs pos="30000">
              <a:srgbClr val="EB563D"/>
            </a:gs>
            <a:gs pos="69000">
              <a:srgbClr val="FF0000"/>
            </a:gs>
            <a:gs pos="97000">
              <a:srgbClr val="C0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3200" b="1">
              <a:solidFill>
                <a:schemeClr val="tx1"/>
              </a:solidFill>
              <a:latin typeface="Berlin Sans FB Demi" panose="020E0802020502020306" pitchFamily="34" charset="0"/>
              <a:ea typeface="+mn-ea"/>
              <a:cs typeface="+mn-cs"/>
            </a:rPr>
            <a:t>EXCLUIR DESPESA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1487755</xdr:colOff>
      <xdr:row>1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A97D1523-100B-4680-856E-63832CA06F79}"/>
            </a:ext>
          </a:extLst>
        </xdr:cNvPr>
        <xdr:cNvGrpSpPr/>
      </xdr:nvGrpSpPr>
      <xdr:grpSpPr>
        <a:xfrm>
          <a:off x="0" y="0"/>
          <a:ext cx="18006826" cy="1646464"/>
          <a:chOff x="0" y="0"/>
          <a:chExt cx="18006826" cy="1646464"/>
        </a:xfrm>
      </xdr:grpSpPr>
      <xdr:sp macro="" textlink="">
        <xdr:nvSpPr>
          <xdr:cNvPr id="5" name="Retângulo: Cantos Diagonais Arredondados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A221EF-06E4-493B-87FF-7FB754A029F2}"/>
              </a:ext>
            </a:extLst>
          </xdr:cNvPr>
          <xdr:cNvSpPr/>
        </xdr:nvSpPr>
        <xdr:spPr>
          <a:xfrm>
            <a:off x="0" y="13607"/>
            <a:ext cx="2250853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500" b="1" i="1"/>
              <a:t>Menu Inicial</a:t>
            </a:r>
          </a:p>
        </xdr:txBody>
      </xdr:sp>
      <xdr:sp macro="" textlink="">
        <xdr:nvSpPr>
          <xdr:cNvPr id="6" name="Retângulo: Cantos Diagonais Arredondados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516E9A6-DD69-451F-88BE-F627F373619E}"/>
              </a:ext>
            </a:extLst>
          </xdr:cNvPr>
          <xdr:cNvSpPr/>
        </xdr:nvSpPr>
        <xdr:spPr>
          <a:xfrm>
            <a:off x="2253582" y="0"/>
            <a:ext cx="2250853" cy="1632857"/>
          </a:xfrm>
          <a:prstGeom prst="round2DiagRect">
            <a:avLst/>
          </a:prstGeom>
          <a:solidFill>
            <a:schemeClr val="accent6">
              <a:lumMod val="7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Despesas Fixas</a:t>
            </a:r>
          </a:p>
        </xdr:txBody>
      </xdr:sp>
      <xdr:sp macro="" textlink="">
        <xdr:nvSpPr>
          <xdr:cNvPr id="7" name="Retângulo: Cantos Diagonais Arredondados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24EDE40-961B-4B56-BA6E-61387F38F6B3}"/>
              </a:ext>
            </a:extLst>
          </xdr:cNvPr>
          <xdr:cNvSpPr/>
        </xdr:nvSpPr>
        <xdr:spPr>
          <a:xfrm>
            <a:off x="4501707" y="0"/>
            <a:ext cx="2250853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Mercadorias</a:t>
            </a:r>
          </a:p>
        </xdr:txBody>
      </xdr:sp>
      <xdr:sp macro="" textlink="">
        <xdr:nvSpPr>
          <xdr:cNvPr id="8" name="Retângulo: Cantos Diagonais Arredondados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35C77AD-9D25-42D2-BCE3-3970A639D02D}"/>
              </a:ext>
            </a:extLst>
          </xdr:cNvPr>
          <xdr:cNvSpPr/>
        </xdr:nvSpPr>
        <xdr:spPr>
          <a:xfrm>
            <a:off x="6752560" y="0"/>
            <a:ext cx="2250853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Investimentos</a:t>
            </a:r>
          </a:p>
        </xdr:txBody>
      </xdr:sp>
      <xdr:sp macro="" textlink="">
        <xdr:nvSpPr>
          <xdr:cNvPr id="9" name="Retângulo: Cantos Diagonais Arredondados 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8459151-823B-436C-822C-4A184910F28D}"/>
              </a:ext>
            </a:extLst>
          </xdr:cNvPr>
          <xdr:cNvSpPr/>
        </xdr:nvSpPr>
        <xdr:spPr>
          <a:xfrm>
            <a:off x="9003414" y="13607"/>
            <a:ext cx="2250853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Estoque</a:t>
            </a:r>
          </a:p>
        </xdr:txBody>
      </xdr:sp>
      <xdr:sp macro="" textlink="">
        <xdr:nvSpPr>
          <xdr:cNvPr id="10" name="Retângulo: Cantos Diagonais Arredondados 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482998F-159F-4B61-9BD2-9DA66FD29347}"/>
              </a:ext>
            </a:extLst>
          </xdr:cNvPr>
          <xdr:cNvSpPr/>
        </xdr:nvSpPr>
        <xdr:spPr>
          <a:xfrm>
            <a:off x="11256995" y="0"/>
            <a:ext cx="2250853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Vendas</a:t>
            </a:r>
          </a:p>
        </xdr:txBody>
      </xdr:sp>
      <xdr:sp macro="" textlink="">
        <xdr:nvSpPr>
          <xdr:cNvPr id="11" name="Retângulo: Cantos Diagonais Arredondados 1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7605BEC-1946-4AFC-B261-A42A65AD1626}"/>
              </a:ext>
            </a:extLst>
          </xdr:cNvPr>
          <xdr:cNvSpPr/>
        </xdr:nvSpPr>
        <xdr:spPr>
          <a:xfrm>
            <a:off x="13505120" y="0"/>
            <a:ext cx="2250853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Resultados</a:t>
            </a:r>
          </a:p>
        </xdr:txBody>
      </xdr:sp>
      <xdr:sp macro="" textlink="">
        <xdr:nvSpPr>
          <xdr:cNvPr id="12" name="Retângulo: Cantos Diagonais Arredondados 1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7B5EF5-DACE-44F4-83C0-5A59B9F5EDC4}"/>
              </a:ext>
            </a:extLst>
          </xdr:cNvPr>
          <xdr:cNvSpPr/>
        </xdr:nvSpPr>
        <xdr:spPr>
          <a:xfrm>
            <a:off x="15755973" y="0"/>
            <a:ext cx="2250853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Telefones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265649</xdr:colOff>
      <xdr:row>20</xdr:row>
      <xdr:rowOff>292243</xdr:rowOff>
    </xdr:from>
    <xdr:to>
      <xdr:col>0</xdr:col>
      <xdr:colOff>7465649</xdr:colOff>
      <xdr:row>20</xdr:row>
      <xdr:rowOff>3892243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427FA2-015D-47CB-97D6-8D959EF5A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279256</xdr:colOff>
      <xdr:row>22</xdr:row>
      <xdr:rowOff>341110</xdr:rowOff>
    </xdr:from>
    <xdr:to>
      <xdr:col>0</xdr:col>
      <xdr:colOff>7479256</xdr:colOff>
      <xdr:row>22</xdr:row>
      <xdr:rowOff>3941110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22779F-C4B0-44B2-AD80-8D5BDCA50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279256</xdr:colOff>
      <xdr:row>21</xdr:row>
      <xdr:rowOff>273288</xdr:rowOff>
    </xdr:from>
    <xdr:to>
      <xdr:col>0</xdr:col>
      <xdr:colOff>7479256</xdr:colOff>
      <xdr:row>21</xdr:row>
      <xdr:rowOff>3873288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C3C056-6A14-4398-9B4E-7F685F0840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279255</xdr:colOff>
      <xdr:row>23</xdr:row>
      <xdr:rowOff>236824</xdr:rowOff>
    </xdr:from>
    <xdr:to>
      <xdr:col>0</xdr:col>
      <xdr:colOff>7479255</xdr:colOff>
      <xdr:row>23</xdr:row>
      <xdr:rowOff>3836824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1B3669A-B53D-4DBE-8DF8-908B615F0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279256</xdr:colOff>
      <xdr:row>24</xdr:row>
      <xdr:rowOff>291562</xdr:rowOff>
    </xdr:from>
    <xdr:to>
      <xdr:col>0</xdr:col>
      <xdr:colOff>7479256</xdr:colOff>
      <xdr:row>24</xdr:row>
      <xdr:rowOff>3891562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E5805CD-2807-4EE5-A106-1FC122129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317</xdr:rowOff>
    </xdr:from>
    <xdr:to>
      <xdr:col>4</xdr:col>
      <xdr:colOff>767357</xdr:colOff>
      <xdr:row>4</xdr:row>
      <xdr:rowOff>54102</xdr:rowOff>
    </xdr:to>
    <xdr:sp macro="[0]!testee" textlink="">
      <xdr:nvSpPr>
        <xdr:cNvPr id="2" name="Retângulo 1">
          <a:extLst>
            <a:ext uri="{FF2B5EF4-FFF2-40B4-BE49-F238E27FC236}">
              <a16:creationId xmlns:a16="http://schemas.microsoft.com/office/drawing/2014/main" id="{130F9A21-27FC-4339-9EA0-CF34B4D502A1}"/>
            </a:ext>
          </a:extLst>
        </xdr:cNvPr>
        <xdr:cNvSpPr/>
      </xdr:nvSpPr>
      <xdr:spPr>
        <a:xfrm>
          <a:off x="0" y="1660388"/>
          <a:ext cx="5040000" cy="1224000"/>
        </a:xfrm>
        <a:prstGeom prst="rect">
          <a:avLst/>
        </a:prstGeom>
        <a:gradFill flip="none" rotWithShape="1">
          <a:gsLst>
            <a:gs pos="5000">
              <a:schemeClr val="accent6">
                <a:lumMod val="75000"/>
              </a:schemeClr>
            </a:gs>
            <a:gs pos="23000">
              <a:schemeClr val="accent6">
                <a:lumMod val="75000"/>
              </a:schemeClr>
            </a:gs>
            <a:gs pos="69000">
              <a:srgbClr val="76B54B"/>
            </a:gs>
            <a:gs pos="97000">
              <a:srgbClr val="619428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3200" b="1">
              <a:solidFill>
                <a:schemeClr val="tx1"/>
              </a:solidFill>
              <a:latin typeface="Berlin Sans FB Demi" panose="020E0802020502020306" pitchFamily="34" charset="0"/>
              <a:ea typeface="+mn-ea"/>
              <a:cs typeface="+mn-cs"/>
            </a:rPr>
            <a:t>INSERIR COMPRA/PERDA</a:t>
          </a:r>
        </a:p>
      </xdr:txBody>
    </xdr:sp>
    <xdr:clientData/>
  </xdr:twoCellAnchor>
  <xdr:twoCellAnchor editAs="absolute">
    <xdr:from>
      <xdr:col>4</xdr:col>
      <xdr:colOff>775607</xdr:colOff>
      <xdr:row>1</xdr:row>
      <xdr:rowOff>317</xdr:rowOff>
    </xdr:from>
    <xdr:to>
      <xdr:col>8</xdr:col>
      <xdr:colOff>1366071</xdr:colOff>
      <xdr:row>4</xdr:row>
      <xdr:rowOff>54102</xdr:rowOff>
    </xdr:to>
    <xdr:sp macro="[0]!Abre_excluir_mercadoria" textlink="">
      <xdr:nvSpPr>
        <xdr:cNvPr id="4" name="Retângulo 3">
          <a:extLst>
            <a:ext uri="{FF2B5EF4-FFF2-40B4-BE49-F238E27FC236}">
              <a16:creationId xmlns:a16="http://schemas.microsoft.com/office/drawing/2014/main" id="{2019CD1B-C248-4DB6-838A-CB8509EA8E55}"/>
            </a:ext>
          </a:extLst>
        </xdr:cNvPr>
        <xdr:cNvSpPr/>
      </xdr:nvSpPr>
      <xdr:spPr>
        <a:xfrm>
          <a:off x="5048250" y="1660388"/>
          <a:ext cx="5040000" cy="1224000"/>
        </a:xfrm>
        <a:prstGeom prst="rect">
          <a:avLst/>
        </a:prstGeom>
        <a:gradFill flip="none" rotWithShape="1">
          <a:gsLst>
            <a:gs pos="0">
              <a:srgbClr val="FF3300"/>
            </a:gs>
            <a:gs pos="30000">
              <a:srgbClr val="EB563D"/>
            </a:gs>
            <a:gs pos="69000">
              <a:srgbClr val="FF0000"/>
            </a:gs>
            <a:gs pos="97000">
              <a:srgbClr val="C0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3200" b="1">
              <a:solidFill>
                <a:schemeClr val="tx1"/>
              </a:solidFill>
              <a:latin typeface="Berlin Sans FB Demi" panose="020E0802020502020306" pitchFamily="34" charset="0"/>
              <a:ea typeface="+mn-ea"/>
              <a:cs typeface="+mn-cs"/>
            </a:rPr>
            <a:t>EXCLUIR MERCADORIA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13</xdr:col>
      <xdr:colOff>121103</xdr:colOff>
      <xdr:row>0</xdr:row>
      <xdr:rowOff>1646464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6621BCC-13B4-4304-AFD0-7EF7C10F2971}"/>
            </a:ext>
          </a:extLst>
        </xdr:cNvPr>
        <xdr:cNvGrpSpPr/>
      </xdr:nvGrpSpPr>
      <xdr:grpSpPr>
        <a:xfrm>
          <a:off x="0" y="0"/>
          <a:ext cx="17973674" cy="1646464"/>
          <a:chOff x="0" y="0"/>
          <a:chExt cx="17973674" cy="1646464"/>
        </a:xfrm>
      </xdr:grpSpPr>
      <xdr:sp macro="" textlink="">
        <xdr:nvSpPr>
          <xdr:cNvPr id="6" name="Retângulo: Cantos Diagonai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1D69526-D945-4ED8-822C-35D38B132037}"/>
              </a:ext>
            </a:extLst>
          </xdr:cNvPr>
          <xdr:cNvSpPr/>
        </xdr:nvSpPr>
        <xdr:spPr>
          <a:xfrm>
            <a:off x="0" y="13607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500" b="1" i="1"/>
              <a:t>Menu Inicial</a:t>
            </a:r>
          </a:p>
        </xdr:txBody>
      </xdr:sp>
      <xdr:sp macro="" textlink="">
        <xdr:nvSpPr>
          <xdr:cNvPr id="7" name="Retângulo: Cantos Diagonai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EE01FD-8630-40A5-ADD2-8E920BEE7B81}"/>
              </a:ext>
            </a:extLst>
          </xdr:cNvPr>
          <xdr:cNvSpPr/>
        </xdr:nvSpPr>
        <xdr:spPr>
          <a:xfrm>
            <a:off x="2249433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Despesas Fixas</a:t>
            </a:r>
          </a:p>
        </xdr:txBody>
      </xdr:sp>
      <xdr:sp macro="" textlink="">
        <xdr:nvSpPr>
          <xdr:cNvPr id="8" name="Retângulo: Cantos Diagonai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57DFEB1-F39E-4692-B210-1FE88CC3CFAF}"/>
              </a:ext>
            </a:extLst>
          </xdr:cNvPr>
          <xdr:cNvSpPr/>
        </xdr:nvSpPr>
        <xdr:spPr>
          <a:xfrm>
            <a:off x="4493419" y="0"/>
            <a:ext cx="2246709" cy="1632857"/>
          </a:xfrm>
          <a:prstGeom prst="round2DiagRect">
            <a:avLst/>
          </a:prstGeom>
          <a:solidFill>
            <a:schemeClr val="accent6">
              <a:lumMod val="7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Mercadorias</a:t>
            </a:r>
          </a:p>
        </xdr:txBody>
      </xdr:sp>
      <xdr:sp macro="" textlink="">
        <xdr:nvSpPr>
          <xdr:cNvPr id="9" name="Retângulo: Cantos Diagonai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A40255F-3343-4238-B5EA-7334C9DC350C}"/>
              </a:ext>
            </a:extLst>
          </xdr:cNvPr>
          <xdr:cNvSpPr/>
        </xdr:nvSpPr>
        <xdr:spPr>
          <a:xfrm>
            <a:off x="6740128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Investimentos</a:t>
            </a:r>
          </a:p>
        </xdr:txBody>
      </xdr:sp>
      <xdr:sp macro="" textlink="">
        <xdr:nvSpPr>
          <xdr:cNvPr id="10" name="Retângulo: Cantos Diagonai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6727B40-B35B-469D-8570-FCF389BC8F12}"/>
              </a:ext>
            </a:extLst>
          </xdr:cNvPr>
          <xdr:cNvSpPr/>
        </xdr:nvSpPr>
        <xdr:spPr>
          <a:xfrm>
            <a:off x="8986838" y="13607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Estoque</a:t>
            </a:r>
          </a:p>
        </xdr:txBody>
      </xdr:sp>
      <xdr:sp macro="" textlink="">
        <xdr:nvSpPr>
          <xdr:cNvPr id="11" name="Retângulo: Cantos Diagonai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184BE47-0284-4142-B027-B97B63E9FABB}"/>
              </a:ext>
            </a:extLst>
          </xdr:cNvPr>
          <xdr:cNvSpPr/>
        </xdr:nvSpPr>
        <xdr:spPr>
          <a:xfrm>
            <a:off x="11236270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Vendas</a:t>
            </a:r>
          </a:p>
        </xdr:txBody>
      </xdr:sp>
      <xdr:sp macro="" textlink="">
        <xdr:nvSpPr>
          <xdr:cNvPr id="12" name="Retângulo: Cantos Diagonai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6A2016E-C818-4774-9BA4-52447ADFFC0B}"/>
              </a:ext>
            </a:extLst>
          </xdr:cNvPr>
          <xdr:cNvSpPr/>
        </xdr:nvSpPr>
        <xdr:spPr>
          <a:xfrm>
            <a:off x="13480256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Resultados</a:t>
            </a:r>
          </a:p>
        </xdr:txBody>
      </xdr:sp>
      <xdr:sp macro="" textlink="">
        <xdr:nvSpPr>
          <xdr:cNvPr id="13" name="Retângulo: Cantos Diagonai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E693A6E-AA20-4C4B-B395-098F357E66BA}"/>
              </a:ext>
            </a:extLst>
          </xdr:cNvPr>
          <xdr:cNvSpPr/>
        </xdr:nvSpPr>
        <xdr:spPr>
          <a:xfrm>
            <a:off x="15726965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Telefones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1236</xdr:rowOff>
    </xdr:from>
    <xdr:to>
      <xdr:col>9</xdr:col>
      <xdr:colOff>2890071</xdr:colOff>
      <xdr:row>1</xdr:row>
      <xdr:rowOff>1211035</xdr:rowOff>
    </xdr:to>
    <xdr:sp macro="[0]!Abri_investimento" textlink="">
      <xdr:nvSpPr>
        <xdr:cNvPr id="2" name="Retângulo 1">
          <a:extLst>
            <a:ext uri="{FF2B5EF4-FFF2-40B4-BE49-F238E27FC236}">
              <a16:creationId xmlns:a16="http://schemas.microsoft.com/office/drawing/2014/main" id="{8DD9BF2B-9FDE-4A32-BB0C-1757AD8D9F81}"/>
            </a:ext>
          </a:extLst>
        </xdr:cNvPr>
        <xdr:cNvSpPr/>
      </xdr:nvSpPr>
      <xdr:spPr>
        <a:xfrm>
          <a:off x="0" y="1647700"/>
          <a:ext cx="5040000" cy="1209799"/>
        </a:xfrm>
        <a:prstGeom prst="rect">
          <a:avLst/>
        </a:prstGeom>
        <a:gradFill flip="none" rotWithShape="1">
          <a:gsLst>
            <a:gs pos="5000">
              <a:schemeClr val="accent6">
                <a:lumMod val="75000"/>
              </a:schemeClr>
            </a:gs>
            <a:gs pos="23000">
              <a:schemeClr val="accent6">
                <a:lumMod val="75000"/>
              </a:schemeClr>
            </a:gs>
            <a:gs pos="69000">
              <a:srgbClr val="76B54B"/>
            </a:gs>
            <a:gs pos="97000">
              <a:srgbClr val="619428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3200" b="1">
              <a:solidFill>
                <a:schemeClr val="tx1"/>
              </a:solidFill>
              <a:latin typeface="Berlin Sans FB Demi" panose="020E0802020502020306" pitchFamily="34" charset="0"/>
              <a:ea typeface="+mn-ea"/>
              <a:cs typeface="+mn-cs"/>
            </a:rPr>
            <a:t>INSERIR/PAGAR INVESTIMENTO</a:t>
          </a:r>
        </a:p>
      </xdr:txBody>
    </xdr:sp>
    <xdr:clientData/>
  </xdr:twoCellAnchor>
  <xdr:twoCellAnchor editAs="absolute">
    <xdr:from>
      <xdr:col>9</xdr:col>
      <xdr:colOff>2908727</xdr:colOff>
      <xdr:row>1</xdr:row>
      <xdr:rowOff>1235</xdr:rowOff>
    </xdr:from>
    <xdr:to>
      <xdr:col>10</xdr:col>
      <xdr:colOff>1566977</xdr:colOff>
      <xdr:row>1</xdr:row>
      <xdr:rowOff>1210835</xdr:rowOff>
    </xdr:to>
    <xdr:sp macro="[0]!Abre_excluir_investimento" textlink="">
      <xdr:nvSpPr>
        <xdr:cNvPr id="3" name="Retângulo 2">
          <a:extLst>
            <a:ext uri="{FF2B5EF4-FFF2-40B4-BE49-F238E27FC236}">
              <a16:creationId xmlns:a16="http://schemas.microsoft.com/office/drawing/2014/main" id="{0400C1B7-D2FF-421E-8C07-33AD4A0C7A61}"/>
            </a:ext>
          </a:extLst>
        </xdr:cNvPr>
        <xdr:cNvSpPr/>
      </xdr:nvSpPr>
      <xdr:spPr>
        <a:xfrm>
          <a:off x="5051852" y="1649060"/>
          <a:ext cx="5040000" cy="1209600"/>
        </a:xfrm>
        <a:prstGeom prst="rect">
          <a:avLst/>
        </a:prstGeom>
        <a:gradFill flip="none" rotWithShape="1">
          <a:gsLst>
            <a:gs pos="0">
              <a:srgbClr val="FF3300"/>
            </a:gs>
            <a:gs pos="30000">
              <a:srgbClr val="EB563D"/>
            </a:gs>
            <a:gs pos="69000">
              <a:srgbClr val="FF0000"/>
            </a:gs>
            <a:gs pos="97000">
              <a:srgbClr val="C0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solidFill>
                <a:schemeClr val="tx1"/>
              </a:solidFill>
              <a:latin typeface="Berlin Sans FB Demi" panose="020E0802020502020306" pitchFamily="34" charset="0"/>
            </a:rPr>
            <a:t>EXCLUIR INVESTIMENTO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483052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0AA173F-FBCA-4262-916A-C72802798F2A}"/>
            </a:ext>
          </a:extLst>
        </xdr:cNvPr>
        <xdr:cNvGrpSpPr/>
      </xdr:nvGrpSpPr>
      <xdr:grpSpPr>
        <a:xfrm>
          <a:off x="0" y="0"/>
          <a:ext cx="17968231" cy="1646464"/>
          <a:chOff x="0" y="0"/>
          <a:chExt cx="17968231" cy="1646464"/>
        </a:xfrm>
      </xdr:grpSpPr>
      <xdr:sp macro="" textlink="">
        <xdr:nvSpPr>
          <xdr:cNvPr id="23" name="Retângulo: Cantos Diagonais Arredondados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B9A980-4020-4C62-98AB-14F53E8FBE1E}"/>
              </a:ext>
            </a:extLst>
          </xdr:cNvPr>
          <xdr:cNvSpPr/>
        </xdr:nvSpPr>
        <xdr:spPr>
          <a:xfrm>
            <a:off x="0" y="13607"/>
            <a:ext cx="2246028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500" b="1" i="1"/>
              <a:t>Menu Inicial</a:t>
            </a:r>
          </a:p>
        </xdr:txBody>
      </xdr:sp>
      <xdr:sp macro="" textlink="">
        <xdr:nvSpPr>
          <xdr:cNvPr id="24" name="Retângulo: Cantos Diagonais Arredondados 2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009800F-4939-4721-A12F-D1B41A646CF3}"/>
              </a:ext>
            </a:extLst>
          </xdr:cNvPr>
          <xdr:cNvSpPr/>
        </xdr:nvSpPr>
        <xdr:spPr>
          <a:xfrm>
            <a:off x="2248752" y="0"/>
            <a:ext cx="2246028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Despesas Fixas</a:t>
            </a:r>
          </a:p>
        </xdr:txBody>
      </xdr:sp>
      <xdr:sp macro="" textlink="">
        <xdr:nvSpPr>
          <xdr:cNvPr id="25" name="Retângulo: Cantos Diagonais Arredondados 2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EFF4A52-3A9D-49F9-A7DA-C4EF68DF12DA}"/>
              </a:ext>
            </a:extLst>
          </xdr:cNvPr>
          <xdr:cNvSpPr/>
        </xdr:nvSpPr>
        <xdr:spPr>
          <a:xfrm>
            <a:off x="4492058" y="0"/>
            <a:ext cx="2246028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Mercadorias</a:t>
            </a:r>
          </a:p>
        </xdr:txBody>
      </xdr:sp>
      <xdr:sp macro="" textlink="">
        <xdr:nvSpPr>
          <xdr:cNvPr id="26" name="Retângulo: Cantos Diagonais Arredondados 25">
            <a:extLst>
              <a:ext uri="{FF2B5EF4-FFF2-40B4-BE49-F238E27FC236}">
                <a16:creationId xmlns:a16="http://schemas.microsoft.com/office/drawing/2014/main" id="{E7969F90-17D8-4695-918C-A142F68C1C5C}"/>
              </a:ext>
            </a:extLst>
          </xdr:cNvPr>
          <xdr:cNvSpPr/>
        </xdr:nvSpPr>
        <xdr:spPr>
          <a:xfrm>
            <a:off x="6738086" y="0"/>
            <a:ext cx="2246028" cy="1632857"/>
          </a:xfrm>
          <a:prstGeom prst="round2DiagRect">
            <a:avLst/>
          </a:prstGeom>
          <a:solidFill>
            <a:schemeClr val="accent6">
              <a:lumMod val="7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Investimentos</a:t>
            </a:r>
          </a:p>
        </xdr:txBody>
      </xdr:sp>
      <xdr:sp macro="" textlink="">
        <xdr:nvSpPr>
          <xdr:cNvPr id="27" name="Retângulo: Cantos Diagonais Arredondados 2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99ECC31-1CD5-4037-880E-188289E18F18}"/>
              </a:ext>
            </a:extLst>
          </xdr:cNvPr>
          <xdr:cNvSpPr/>
        </xdr:nvSpPr>
        <xdr:spPr>
          <a:xfrm>
            <a:off x="8984116" y="13607"/>
            <a:ext cx="2246028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Estoque</a:t>
            </a:r>
          </a:p>
        </xdr:txBody>
      </xdr:sp>
      <xdr:sp macro="" textlink="">
        <xdr:nvSpPr>
          <xdr:cNvPr id="28" name="Retângulo: Cantos Diagonais Arredondados 2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DFF056-3A19-4EF4-AB58-B5E16200699A}"/>
              </a:ext>
            </a:extLst>
          </xdr:cNvPr>
          <xdr:cNvSpPr/>
        </xdr:nvSpPr>
        <xdr:spPr>
          <a:xfrm>
            <a:off x="11232868" y="0"/>
            <a:ext cx="2246028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Vendas</a:t>
            </a:r>
          </a:p>
        </xdr:txBody>
      </xdr:sp>
      <xdr:sp macro="" textlink="">
        <xdr:nvSpPr>
          <xdr:cNvPr id="29" name="Retângulo: Cantos Diagonais Arredondados 2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AF0C55B-B8AA-408C-8EEC-4AB55ED81EAE}"/>
              </a:ext>
            </a:extLst>
          </xdr:cNvPr>
          <xdr:cNvSpPr/>
        </xdr:nvSpPr>
        <xdr:spPr>
          <a:xfrm>
            <a:off x="13476174" y="0"/>
            <a:ext cx="2246028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Resultados</a:t>
            </a:r>
          </a:p>
        </xdr:txBody>
      </xdr:sp>
      <xdr:sp macro="" textlink="">
        <xdr:nvSpPr>
          <xdr:cNvPr id="30" name="Retângulo: Cantos Diagonais Arredondados 2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942DAAC-BD10-4CBF-BD97-0551ABBF5162}"/>
              </a:ext>
            </a:extLst>
          </xdr:cNvPr>
          <xdr:cNvSpPr/>
        </xdr:nvSpPr>
        <xdr:spPr>
          <a:xfrm>
            <a:off x="15722203" y="0"/>
            <a:ext cx="2246028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Telefones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1503588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CE8573F-E045-478F-95DF-24111A532099}"/>
            </a:ext>
          </a:extLst>
        </xdr:cNvPr>
        <xdr:cNvGrpSpPr/>
      </xdr:nvGrpSpPr>
      <xdr:grpSpPr>
        <a:xfrm>
          <a:off x="0" y="0"/>
          <a:ext cx="18009052" cy="1646464"/>
          <a:chOff x="0" y="0"/>
          <a:chExt cx="18009052" cy="1646464"/>
        </a:xfrm>
      </xdr:grpSpPr>
      <xdr:sp macro="" textlink="">
        <xdr:nvSpPr>
          <xdr:cNvPr id="34" name="Retângulo: Cantos Diagonais Arredondados 3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56E4D0E-F053-4373-9767-FC1058667397}"/>
              </a:ext>
            </a:extLst>
          </xdr:cNvPr>
          <xdr:cNvSpPr/>
        </xdr:nvSpPr>
        <xdr:spPr>
          <a:xfrm>
            <a:off x="0" y="13607"/>
            <a:ext cx="2251131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500" b="1" i="1"/>
              <a:t>Menu Inicial</a:t>
            </a:r>
          </a:p>
        </xdr:txBody>
      </xdr:sp>
      <xdr:sp macro="" textlink="">
        <xdr:nvSpPr>
          <xdr:cNvPr id="35" name="Retângulo: Cantos Diagonais Arredondados 3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E977E1-D481-4BE4-9597-BC32584230D9}"/>
              </a:ext>
            </a:extLst>
          </xdr:cNvPr>
          <xdr:cNvSpPr/>
        </xdr:nvSpPr>
        <xdr:spPr>
          <a:xfrm>
            <a:off x="2253860" y="0"/>
            <a:ext cx="2251131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Despesas Fixas</a:t>
            </a:r>
          </a:p>
        </xdr:txBody>
      </xdr:sp>
      <xdr:sp macro="" textlink="">
        <xdr:nvSpPr>
          <xdr:cNvPr id="36" name="Retângulo: Cantos Diagonais Arredondados 3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EDADB57-0157-4D5F-9EDA-4C6FF717BE8D}"/>
              </a:ext>
            </a:extLst>
          </xdr:cNvPr>
          <xdr:cNvSpPr/>
        </xdr:nvSpPr>
        <xdr:spPr>
          <a:xfrm>
            <a:off x="4502263" y="0"/>
            <a:ext cx="2251131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Mercadorias</a:t>
            </a:r>
          </a:p>
        </xdr:txBody>
      </xdr:sp>
      <xdr:sp macro="" textlink="">
        <xdr:nvSpPr>
          <xdr:cNvPr id="37" name="Retângulo: Cantos Diagonais Arredondados 3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1A6ABFF-06A8-4B8E-958B-813DC8F75C5A}"/>
              </a:ext>
            </a:extLst>
          </xdr:cNvPr>
          <xdr:cNvSpPr/>
        </xdr:nvSpPr>
        <xdr:spPr>
          <a:xfrm>
            <a:off x="6753394" y="0"/>
            <a:ext cx="2251131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Investimentos</a:t>
            </a:r>
          </a:p>
        </xdr:txBody>
      </xdr:sp>
      <xdr:sp macro="" textlink="">
        <xdr:nvSpPr>
          <xdr:cNvPr id="38" name="Retângulo: Cantos Diagonais Arredondados 37">
            <a:extLst>
              <a:ext uri="{FF2B5EF4-FFF2-40B4-BE49-F238E27FC236}">
                <a16:creationId xmlns:a16="http://schemas.microsoft.com/office/drawing/2014/main" id="{0BBFC606-4A64-4882-92C9-057FDE63A01E}"/>
              </a:ext>
            </a:extLst>
          </xdr:cNvPr>
          <xdr:cNvSpPr/>
        </xdr:nvSpPr>
        <xdr:spPr>
          <a:xfrm>
            <a:off x="9004527" y="13607"/>
            <a:ext cx="2251131" cy="1632857"/>
          </a:xfrm>
          <a:prstGeom prst="round2DiagRect">
            <a:avLst/>
          </a:prstGeom>
          <a:solidFill>
            <a:schemeClr val="accent6">
              <a:lumMod val="7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Estoque</a:t>
            </a:r>
          </a:p>
        </xdr:txBody>
      </xdr:sp>
      <xdr:sp macro="" textlink="">
        <xdr:nvSpPr>
          <xdr:cNvPr id="39" name="Retângulo: Cantos Diagonais Arredondados 3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1A2C9E7-BA07-483E-8C41-C814EA0CD005}"/>
              </a:ext>
            </a:extLst>
          </xdr:cNvPr>
          <xdr:cNvSpPr/>
        </xdr:nvSpPr>
        <xdr:spPr>
          <a:xfrm>
            <a:off x="11258387" y="0"/>
            <a:ext cx="2251131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Vendas</a:t>
            </a:r>
          </a:p>
        </xdr:txBody>
      </xdr:sp>
      <xdr:sp macro="" textlink="">
        <xdr:nvSpPr>
          <xdr:cNvPr id="40" name="Retângulo: Cantos Diagonais Arredondados 3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6B6F6F3-23FC-4A34-BB29-0CBEB2D3ECC6}"/>
              </a:ext>
            </a:extLst>
          </xdr:cNvPr>
          <xdr:cNvSpPr/>
        </xdr:nvSpPr>
        <xdr:spPr>
          <a:xfrm>
            <a:off x="13506790" y="0"/>
            <a:ext cx="2251131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Resultados</a:t>
            </a:r>
          </a:p>
        </xdr:txBody>
      </xdr:sp>
      <xdr:sp macro="" textlink="">
        <xdr:nvSpPr>
          <xdr:cNvPr id="41" name="Retângulo: Cantos Diagonais Arredondados 4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EA3D13AF-7BC1-451A-8D10-18C9DBD9DF55}"/>
              </a:ext>
            </a:extLst>
          </xdr:cNvPr>
          <xdr:cNvSpPr/>
        </xdr:nvSpPr>
        <xdr:spPr>
          <a:xfrm>
            <a:off x="15757921" y="0"/>
            <a:ext cx="2251131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Telefones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1224801</xdr:colOff>
      <xdr:row>1</xdr:row>
      <xdr:rowOff>0</xdr:rowOff>
    </xdr:from>
    <xdr:to>
      <xdr:col>8</xdr:col>
      <xdr:colOff>2532529</xdr:colOff>
      <xdr:row>1</xdr:row>
      <xdr:rowOff>347382</xdr:rowOff>
    </xdr:to>
    <xdr:sp macro="[0]!Macro20" textlink="">
      <xdr:nvSpPr>
        <xdr:cNvPr id="5" name="Retângulo: Cantos Diagonais Arredondados 4">
          <a:extLst>
            <a:ext uri="{FF2B5EF4-FFF2-40B4-BE49-F238E27FC236}">
              <a16:creationId xmlns:a16="http://schemas.microsoft.com/office/drawing/2014/main" id="{D0F3F820-0D27-4EFC-9EE6-3E45D8D42C1C}"/>
            </a:ext>
          </a:extLst>
        </xdr:cNvPr>
        <xdr:cNvSpPr/>
      </xdr:nvSpPr>
      <xdr:spPr>
        <a:xfrm>
          <a:off x="11926419" y="190500"/>
          <a:ext cx="4277286" cy="347382"/>
        </a:xfrm>
        <a:prstGeom prst="round2DiagRect">
          <a:avLst>
            <a:gd name="adj1" fmla="val 25556"/>
            <a:gd name="adj2" fmla="val 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ATUALIZAR</a:t>
          </a:r>
          <a:r>
            <a:rPr lang="pt-BR" sz="1600" b="1" baseline="0">
              <a:solidFill>
                <a:schemeClr val="bg1"/>
              </a:solidFill>
            </a:rPr>
            <a:t> DADOS</a:t>
          </a:r>
        </a:p>
        <a:p>
          <a:pPr algn="ctr"/>
          <a:endParaRPr lang="pt-BR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27214</xdr:colOff>
      <xdr:row>1</xdr:row>
      <xdr:rowOff>27213</xdr:rowOff>
    </xdr:from>
    <xdr:to>
      <xdr:col>3</xdr:col>
      <xdr:colOff>122464</xdr:colOff>
      <xdr:row>4</xdr:row>
      <xdr:rowOff>108855</xdr:rowOff>
    </xdr:to>
    <xdr:sp macro="[0]!Abre_vendas" textlink="">
      <xdr:nvSpPr>
        <xdr:cNvPr id="2" name="Retângulo 1">
          <a:extLst>
            <a:ext uri="{FF2B5EF4-FFF2-40B4-BE49-F238E27FC236}">
              <a16:creationId xmlns:a16="http://schemas.microsoft.com/office/drawing/2014/main" id="{2AC8322A-71BB-4E44-B1FB-D905C4F597E6}"/>
            </a:ext>
          </a:extLst>
        </xdr:cNvPr>
        <xdr:cNvSpPr/>
      </xdr:nvSpPr>
      <xdr:spPr>
        <a:xfrm>
          <a:off x="27214" y="1660070"/>
          <a:ext cx="2394857" cy="979714"/>
        </a:xfrm>
        <a:prstGeom prst="rect">
          <a:avLst/>
        </a:prstGeom>
        <a:gradFill flip="none" rotWithShape="1">
          <a:gsLst>
            <a:gs pos="5000">
              <a:schemeClr val="accent6">
                <a:lumMod val="75000"/>
              </a:schemeClr>
            </a:gs>
            <a:gs pos="23000">
              <a:schemeClr val="accent6">
                <a:lumMod val="75000"/>
              </a:schemeClr>
            </a:gs>
            <a:gs pos="69000">
              <a:srgbClr val="76B54B"/>
            </a:gs>
            <a:gs pos="97000">
              <a:srgbClr val="619428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800" b="1">
              <a:solidFill>
                <a:schemeClr val="tx1"/>
              </a:solidFill>
              <a:latin typeface="Berlin Sans FB Demi" panose="020E0802020502020306" pitchFamily="34" charset="0"/>
              <a:ea typeface="+mn-ea"/>
              <a:cs typeface="+mn-cs"/>
            </a:rPr>
            <a:t>INSERIR VENDA</a:t>
          </a:r>
        </a:p>
      </xdr:txBody>
    </xdr:sp>
    <xdr:clientData/>
  </xdr:twoCellAnchor>
  <xdr:twoCellAnchor editAs="absolute">
    <xdr:from>
      <xdr:col>3</xdr:col>
      <xdr:colOff>149678</xdr:colOff>
      <xdr:row>1</xdr:row>
      <xdr:rowOff>27213</xdr:rowOff>
    </xdr:from>
    <xdr:to>
      <xdr:col>5</xdr:col>
      <xdr:colOff>27215</xdr:colOff>
      <xdr:row>5</xdr:row>
      <xdr:rowOff>0</xdr:rowOff>
    </xdr:to>
    <xdr:sp macro="[0]!Abre_excluir_venda" textlink="">
      <xdr:nvSpPr>
        <xdr:cNvPr id="3" name="Retângulo 2">
          <a:extLst>
            <a:ext uri="{FF2B5EF4-FFF2-40B4-BE49-F238E27FC236}">
              <a16:creationId xmlns:a16="http://schemas.microsoft.com/office/drawing/2014/main" id="{8EC15EE6-90D7-4E40-8D02-718814D4A987}"/>
            </a:ext>
          </a:extLst>
        </xdr:cNvPr>
        <xdr:cNvSpPr/>
      </xdr:nvSpPr>
      <xdr:spPr>
        <a:xfrm>
          <a:off x="2449285" y="1660070"/>
          <a:ext cx="2694216" cy="984120"/>
        </a:xfrm>
        <a:prstGeom prst="rect">
          <a:avLst/>
        </a:prstGeom>
        <a:gradFill flip="none" rotWithShape="1">
          <a:gsLst>
            <a:gs pos="0">
              <a:srgbClr val="FF3300"/>
            </a:gs>
            <a:gs pos="30000">
              <a:srgbClr val="EB563D"/>
            </a:gs>
            <a:gs pos="69000">
              <a:srgbClr val="FF0000"/>
            </a:gs>
            <a:gs pos="97000">
              <a:srgbClr val="C0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800" b="1">
              <a:solidFill>
                <a:schemeClr val="tx1"/>
              </a:solidFill>
              <a:latin typeface="Berlin Sans FB Demi" panose="020E0802020502020306" pitchFamily="34" charset="0"/>
              <a:ea typeface="+mn-ea"/>
              <a:cs typeface="+mn-cs"/>
            </a:rPr>
            <a:t>EXCLUIR VENDA </a:t>
          </a:r>
        </a:p>
      </xdr:txBody>
    </xdr:sp>
    <xdr:clientData/>
  </xdr:twoCellAnchor>
  <xdr:twoCellAnchor editAs="absolute">
    <xdr:from>
      <xdr:col>5</xdr:col>
      <xdr:colOff>13607</xdr:colOff>
      <xdr:row>1</xdr:row>
      <xdr:rowOff>13607</xdr:rowOff>
    </xdr:from>
    <xdr:to>
      <xdr:col>12</xdr:col>
      <xdr:colOff>1699502</xdr:colOff>
      <xdr:row>4</xdr:row>
      <xdr:rowOff>99330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30C0CB40-48CA-4C82-83CA-27D3767492DE}"/>
            </a:ext>
          </a:extLst>
        </xdr:cNvPr>
        <xdr:cNvGrpSpPr/>
      </xdr:nvGrpSpPr>
      <xdr:grpSpPr>
        <a:xfrm>
          <a:off x="5129893" y="1646464"/>
          <a:ext cx="13306395" cy="983795"/>
          <a:chOff x="4925786" y="579628"/>
          <a:chExt cx="11815883" cy="985193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A7D5C79C-8D79-4667-891D-C8100DA497F6}"/>
              </a:ext>
            </a:extLst>
          </xdr:cNvPr>
          <xdr:cNvSpPr/>
        </xdr:nvSpPr>
        <xdr:spPr>
          <a:xfrm>
            <a:off x="6223289" y="580007"/>
            <a:ext cx="2240896" cy="5076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tx1"/>
                </a:solidFill>
              </a:rPr>
              <a:t>Cliente</a:t>
            </a:r>
            <a:r>
              <a:rPr lang="pt-BR" sz="1800" b="1" baseline="0">
                <a:solidFill>
                  <a:schemeClr val="tx1"/>
                </a:solidFill>
              </a:rPr>
              <a:t> último pedido</a:t>
            </a:r>
            <a:endParaRPr lang="pt-BR" sz="1800" b="1">
              <a:solidFill>
                <a:schemeClr val="tx1"/>
              </a:solidFill>
            </a:endParaRPr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7780F97-371C-4C5A-A945-BE70C51E4860}"/>
              </a:ext>
            </a:extLst>
          </xdr:cNvPr>
          <xdr:cNvSpPr/>
        </xdr:nvSpPr>
        <xdr:spPr>
          <a:xfrm>
            <a:off x="8482962" y="580007"/>
            <a:ext cx="3123155" cy="5076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tx1"/>
                </a:solidFill>
              </a:rPr>
              <a:t>Valor total último pedido</a:t>
            </a:r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4A020CD9-AF1F-47DE-9128-591CF1A4BF36}"/>
              </a:ext>
            </a:extLst>
          </xdr:cNvPr>
          <xdr:cNvSpPr/>
        </xdr:nvSpPr>
        <xdr:spPr>
          <a:xfrm>
            <a:off x="11624893" y="580007"/>
            <a:ext cx="1732928" cy="5076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tx1"/>
                </a:solidFill>
              </a:rPr>
              <a:t>Endereço</a:t>
            </a:r>
          </a:p>
        </xdr:txBody>
      </xdr:sp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7447395B-181D-4C1D-8930-D0EB628CDB54}"/>
              </a:ext>
            </a:extLst>
          </xdr:cNvPr>
          <xdr:cNvSpPr/>
        </xdr:nvSpPr>
        <xdr:spPr>
          <a:xfrm>
            <a:off x="13376597" y="580007"/>
            <a:ext cx="917541" cy="5076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tx1"/>
                </a:solidFill>
              </a:rPr>
              <a:t>N°</a:t>
            </a:r>
          </a:p>
        </xdr:txBody>
      </xdr:sp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E642AE75-DC8B-452B-8EF8-5421212E7E58}"/>
              </a:ext>
            </a:extLst>
          </xdr:cNvPr>
          <xdr:cNvSpPr/>
        </xdr:nvSpPr>
        <xdr:spPr>
          <a:xfrm>
            <a:off x="4925786" y="579628"/>
            <a:ext cx="1278726" cy="507979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tx1"/>
                </a:solidFill>
              </a:rPr>
              <a:t>ID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8" name="Imagem 7">
                <a:extLst>
                  <a:ext uri="{FF2B5EF4-FFF2-40B4-BE49-F238E27FC236}">
                    <a16:creationId xmlns:a16="http://schemas.microsoft.com/office/drawing/2014/main" id="{14AC5F0B-DD36-4017-9671-1FBCE189C1BA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ImagemNome" spid="_x0000_s44439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6215940" y="1114161"/>
                <a:ext cx="2242800" cy="45066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9" name="Imagem 8">
                <a:extLst>
                  <a:ext uri="{FF2B5EF4-FFF2-40B4-BE49-F238E27FC236}">
                    <a16:creationId xmlns:a16="http://schemas.microsoft.com/office/drawing/2014/main" id="{95404DA0-4D43-4115-9180-58CE6113350F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imagem4" spid="_x0000_s44440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8486480" y="1103281"/>
                <a:ext cx="3124800" cy="46154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1" name="Imagem 10">
                <a:extLst>
                  <a:ext uri="{FF2B5EF4-FFF2-40B4-BE49-F238E27FC236}">
                    <a16:creationId xmlns:a16="http://schemas.microsoft.com/office/drawing/2014/main" id="{2A9C7E18-F04D-4C49-AE28-C39CFC0DE6E3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ImagemRua" spid="_x0000_s44441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1632253" y="1110730"/>
                <a:ext cx="1733839" cy="454091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3" name="Imagem 12">
                <a:extLst>
                  <a:ext uri="{FF2B5EF4-FFF2-40B4-BE49-F238E27FC236}">
                    <a16:creationId xmlns:a16="http://schemas.microsoft.com/office/drawing/2014/main" id="{332E4F08-801F-4BED-B19D-01FB47EC981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ImagemNumero" spid="_x0000_s44442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13385581" y="1105460"/>
                <a:ext cx="918482" cy="459361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5" name="Imagem 14">
                <a:extLst>
                  <a:ext uri="{FF2B5EF4-FFF2-40B4-BE49-F238E27FC236}">
                    <a16:creationId xmlns:a16="http://schemas.microsoft.com/office/drawing/2014/main" id="{914B1B1D-74E5-4F50-BCE4-382375FC309C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ImagemID" spid="_x0000_s44443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4931460" y="1103802"/>
                <a:ext cx="1262177" cy="461019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EA3647CD-EEF5-4549-8404-DC3AEF3CE36E}"/>
              </a:ext>
            </a:extLst>
          </xdr:cNvPr>
          <xdr:cNvSpPr/>
        </xdr:nvSpPr>
        <xdr:spPr>
          <a:xfrm>
            <a:off x="14312917" y="588064"/>
            <a:ext cx="2417904" cy="503447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tx1"/>
                </a:solidFill>
              </a:rPr>
              <a:t>Complemento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7" name="Imagem 16">
                <a:extLst>
                  <a:ext uri="{FF2B5EF4-FFF2-40B4-BE49-F238E27FC236}">
                    <a16:creationId xmlns:a16="http://schemas.microsoft.com/office/drawing/2014/main" id="{2291E03F-2FAF-44BA-8478-7C1A89FB700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ImagemComplemento" spid="_x0000_s44444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14324099" y="1110302"/>
                <a:ext cx="2417570" cy="454518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1236888</xdr:colOff>
      <xdr:row>1</xdr:row>
      <xdr:rowOff>13607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6062FFF-6881-4BCB-A1E5-FDCD0042C8B4}"/>
            </a:ext>
          </a:extLst>
        </xdr:cNvPr>
        <xdr:cNvGrpSpPr/>
      </xdr:nvGrpSpPr>
      <xdr:grpSpPr>
        <a:xfrm>
          <a:off x="0" y="0"/>
          <a:ext cx="17973674" cy="1646464"/>
          <a:chOff x="0" y="0"/>
          <a:chExt cx="17973674" cy="1646464"/>
        </a:xfrm>
      </xdr:grpSpPr>
      <xdr:sp macro="" textlink="">
        <xdr:nvSpPr>
          <xdr:cNvPr id="28" name="Retângulo: Cantos Diagonais Arredondados 2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46263E7-C5DE-4794-8C15-E8CCE70F1791}"/>
              </a:ext>
            </a:extLst>
          </xdr:cNvPr>
          <xdr:cNvSpPr/>
        </xdr:nvSpPr>
        <xdr:spPr>
          <a:xfrm>
            <a:off x="0" y="13607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500" b="1" i="1"/>
              <a:t>Menu Inicial</a:t>
            </a:r>
          </a:p>
        </xdr:txBody>
      </xdr:sp>
      <xdr:sp macro="" textlink="">
        <xdr:nvSpPr>
          <xdr:cNvPr id="29" name="Retângulo: Cantos Diagonais Arredondados 2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B47E1B-FB26-4C1E-B146-9C3FDA5FE511}"/>
              </a:ext>
            </a:extLst>
          </xdr:cNvPr>
          <xdr:cNvSpPr/>
        </xdr:nvSpPr>
        <xdr:spPr>
          <a:xfrm>
            <a:off x="2249433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Despesas Fixas</a:t>
            </a:r>
          </a:p>
        </xdr:txBody>
      </xdr:sp>
      <xdr:sp macro="" textlink="">
        <xdr:nvSpPr>
          <xdr:cNvPr id="30" name="Retângulo: Cantos Diagonais Arredondados 2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43E34D4-8C7F-4062-A318-0482324254B7}"/>
              </a:ext>
            </a:extLst>
          </xdr:cNvPr>
          <xdr:cNvSpPr/>
        </xdr:nvSpPr>
        <xdr:spPr>
          <a:xfrm>
            <a:off x="4493419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Mercadorias</a:t>
            </a:r>
          </a:p>
        </xdr:txBody>
      </xdr:sp>
      <xdr:sp macro="" textlink="">
        <xdr:nvSpPr>
          <xdr:cNvPr id="31" name="Retângulo: Cantos Diagonais Arredondados 3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62774BC-6308-451E-BCD1-F79A6A02A00F}"/>
              </a:ext>
            </a:extLst>
          </xdr:cNvPr>
          <xdr:cNvSpPr/>
        </xdr:nvSpPr>
        <xdr:spPr>
          <a:xfrm>
            <a:off x="6740128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Investimentos</a:t>
            </a:r>
          </a:p>
        </xdr:txBody>
      </xdr:sp>
      <xdr:sp macro="" textlink="">
        <xdr:nvSpPr>
          <xdr:cNvPr id="32" name="Retângulo: Cantos Diagonais Arredondados 3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34D381F-C5A1-445C-8E39-BA0D7674F2EF}"/>
              </a:ext>
            </a:extLst>
          </xdr:cNvPr>
          <xdr:cNvSpPr/>
        </xdr:nvSpPr>
        <xdr:spPr>
          <a:xfrm>
            <a:off x="8986838" y="13607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Estoque</a:t>
            </a:r>
          </a:p>
        </xdr:txBody>
      </xdr:sp>
      <xdr:sp macro="" textlink="">
        <xdr:nvSpPr>
          <xdr:cNvPr id="33" name="Retângulo: Cantos Diagonais Arredondados 32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B6DBEC74-B8EC-45FF-8E42-960A6F1403A0}"/>
              </a:ext>
            </a:extLst>
          </xdr:cNvPr>
          <xdr:cNvSpPr/>
        </xdr:nvSpPr>
        <xdr:spPr>
          <a:xfrm>
            <a:off x="11236270" y="0"/>
            <a:ext cx="2246709" cy="1632857"/>
          </a:xfrm>
          <a:prstGeom prst="round2DiagRect">
            <a:avLst/>
          </a:prstGeom>
          <a:solidFill>
            <a:schemeClr val="accent6">
              <a:lumMod val="7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Vendas</a:t>
            </a:r>
          </a:p>
        </xdr:txBody>
      </xdr:sp>
      <xdr:sp macro="" textlink="">
        <xdr:nvSpPr>
          <xdr:cNvPr id="34" name="Retângulo: Cantos Diagonais Arredondados 3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5AEEAE95-2396-4CB2-A043-D076167797E3}"/>
              </a:ext>
            </a:extLst>
          </xdr:cNvPr>
          <xdr:cNvSpPr/>
        </xdr:nvSpPr>
        <xdr:spPr>
          <a:xfrm>
            <a:off x="13480256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Resultados</a:t>
            </a:r>
          </a:p>
        </xdr:txBody>
      </xdr:sp>
      <xdr:sp macro="" textlink="">
        <xdr:nvSpPr>
          <xdr:cNvPr id="35" name="Retângulo: Cantos Diagonais Arredondados 34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761A3752-F2F2-49B9-94A5-B75AE13741D4}"/>
              </a:ext>
            </a:extLst>
          </xdr:cNvPr>
          <xdr:cNvSpPr/>
        </xdr:nvSpPr>
        <xdr:spPr>
          <a:xfrm>
            <a:off x="15726965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Telefones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1114424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6510901-B6EF-4FDA-9129-302C974A1DB3}"/>
            </a:ext>
          </a:extLst>
        </xdr:cNvPr>
        <xdr:cNvGrpSpPr/>
      </xdr:nvGrpSpPr>
      <xdr:grpSpPr>
        <a:xfrm>
          <a:off x="0" y="0"/>
          <a:ext cx="17973674" cy="1646464"/>
          <a:chOff x="0" y="0"/>
          <a:chExt cx="17973674" cy="1646464"/>
        </a:xfrm>
      </xdr:grpSpPr>
      <xdr:sp macro="" textlink="">
        <xdr:nvSpPr>
          <xdr:cNvPr id="3" name="Retângulo: Cantos Diagonais Arredondado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E946EC0-2A33-4098-9BA8-CCA8B97E40CD}"/>
              </a:ext>
            </a:extLst>
          </xdr:cNvPr>
          <xdr:cNvSpPr/>
        </xdr:nvSpPr>
        <xdr:spPr>
          <a:xfrm>
            <a:off x="0" y="13607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500" b="1" i="1" u="none">
                <a:solidFill>
                  <a:schemeClr val="bg1"/>
                </a:solidFill>
              </a:rPr>
              <a:t>Menu Inicial</a:t>
            </a:r>
          </a:p>
        </xdr:txBody>
      </xdr:sp>
      <xdr:sp macro="" textlink="">
        <xdr:nvSpPr>
          <xdr:cNvPr id="4" name="Retângulo: Cantos Diagonais Arredondados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8DA6E09-97D4-4446-A935-BD8AAD47150B}"/>
              </a:ext>
            </a:extLst>
          </xdr:cNvPr>
          <xdr:cNvSpPr/>
        </xdr:nvSpPr>
        <xdr:spPr>
          <a:xfrm>
            <a:off x="2249433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 u="none">
                <a:solidFill>
                  <a:schemeClr val="bg1"/>
                </a:solidFill>
                <a:latin typeface="+mn-lt"/>
                <a:ea typeface="+mn-ea"/>
                <a:cs typeface="+mn-cs"/>
              </a:rPr>
              <a:t>Despesas Fixas</a:t>
            </a:r>
          </a:p>
        </xdr:txBody>
      </xdr:sp>
      <xdr:sp macro="" textlink="">
        <xdr:nvSpPr>
          <xdr:cNvPr id="5" name="Retângulo: Cantos Diagonais Arredondados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B9ACBA6-B035-4D43-BDD6-648CBAF4AD35}"/>
              </a:ext>
            </a:extLst>
          </xdr:cNvPr>
          <xdr:cNvSpPr/>
        </xdr:nvSpPr>
        <xdr:spPr>
          <a:xfrm>
            <a:off x="4493419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 u="none">
                <a:solidFill>
                  <a:schemeClr val="bg1"/>
                </a:solidFill>
                <a:latin typeface="+mn-lt"/>
                <a:ea typeface="+mn-ea"/>
                <a:cs typeface="+mn-cs"/>
              </a:rPr>
              <a:t>Controle de Mercadorias</a:t>
            </a:r>
          </a:p>
        </xdr:txBody>
      </xdr:sp>
      <xdr:sp macro="" textlink="">
        <xdr:nvSpPr>
          <xdr:cNvPr id="6" name="Retângulo: Cantos Diagonais Arredondados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D993C99-0FEC-4228-9BE6-84D95916569B}"/>
              </a:ext>
            </a:extLst>
          </xdr:cNvPr>
          <xdr:cNvSpPr/>
        </xdr:nvSpPr>
        <xdr:spPr>
          <a:xfrm>
            <a:off x="6740128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 u="none">
                <a:solidFill>
                  <a:schemeClr val="bg1"/>
                </a:solidFill>
                <a:latin typeface="+mn-lt"/>
                <a:ea typeface="+mn-ea"/>
                <a:cs typeface="+mn-cs"/>
              </a:rPr>
              <a:t>Investimentos</a:t>
            </a:r>
          </a:p>
        </xdr:txBody>
      </xdr:sp>
      <xdr:sp macro="" textlink="">
        <xdr:nvSpPr>
          <xdr:cNvPr id="7" name="Retângulo: Cantos Diagonais Arredondados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C420ECD-E1C0-467E-B642-EEF4D31CA27E}"/>
              </a:ext>
            </a:extLst>
          </xdr:cNvPr>
          <xdr:cNvSpPr/>
        </xdr:nvSpPr>
        <xdr:spPr>
          <a:xfrm>
            <a:off x="8986838" y="13607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 u="none">
                <a:solidFill>
                  <a:schemeClr val="bg1"/>
                </a:solidFill>
                <a:latin typeface="+mn-lt"/>
                <a:ea typeface="+mn-ea"/>
                <a:cs typeface="+mn-cs"/>
              </a:rPr>
              <a:t>Controle de Estoque</a:t>
            </a:r>
          </a:p>
        </xdr:txBody>
      </xdr:sp>
      <xdr:sp macro="" textlink="">
        <xdr:nvSpPr>
          <xdr:cNvPr id="8" name="Retângulo: Cantos Diagonais Arredondados 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BD8093D-2290-47A0-9218-9E5A131EE674}"/>
              </a:ext>
            </a:extLst>
          </xdr:cNvPr>
          <xdr:cNvSpPr/>
        </xdr:nvSpPr>
        <xdr:spPr>
          <a:xfrm>
            <a:off x="11236270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 u="none">
                <a:solidFill>
                  <a:schemeClr val="bg1"/>
                </a:solidFill>
                <a:latin typeface="+mn-lt"/>
                <a:ea typeface="+mn-ea"/>
                <a:cs typeface="+mn-cs"/>
              </a:rPr>
              <a:t>Vendas</a:t>
            </a:r>
          </a:p>
        </xdr:txBody>
      </xdr:sp>
      <xdr:sp macro="" textlink="">
        <xdr:nvSpPr>
          <xdr:cNvPr id="9" name="Retângulo: Cantos Diagonais Arredondados 8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8A7F7BA-D368-4DBF-A964-CDA096667AE4}"/>
              </a:ext>
            </a:extLst>
          </xdr:cNvPr>
          <xdr:cNvSpPr/>
        </xdr:nvSpPr>
        <xdr:spPr>
          <a:xfrm>
            <a:off x="13480256" y="0"/>
            <a:ext cx="2246709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 u="none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Resultados</a:t>
            </a:r>
          </a:p>
        </xdr:txBody>
      </xdr:sp>
      <xdr:sp macro="" textlink="">
        <xdr:nvSpPr>
          <xdr:cNvPr id="10" name="Retângulo: Cantos Diagonais Arredondados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692C029-7B0B-4FBE-B537-6E17BBD43386}"/>
              </a:ext>
            </a:extLst>
          </xdr:cNvPr>
          <xdr:cNvSpPr/>
        </xdr:nvSpPr>
        <xdr:spPr>
          <a:xfrm>
            <a:off x="15726965" y="0"/>
            <a:ext cx="2246709" cy="1632857"/>
          </a:xfrm>
          <a:prstGeom prst="round2DiagRect">
            <a:avLst/>
          </a:prstGeom>
          <a:solidFill>
            <a:schemeClr val="accent6">
              <a:lumMod val="7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 u="none">
                <a:solidFill>
                  <a:schemeClr val="bg1"/>
                </a:solidFill>
                <a:latin typeface="+mn-lt"/>
                <a:ea typeface="+mn-ea"/>
                <a:cs typeface="+mn-cs"/>
              </a:rPr>
              <a:t>Telefones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32659</xdr:colOff>
          <xdr:row>4</xdr:row>
          <xdr:rowOff>287107</xdr:rowOff>
        </xdr:from>
        <xdr:to>
          <xdr:col>8</xdr:col>
          <xdr:colOff>1016111</xdr:colOff>
          <xdr:row>26</xdr:row>
          <xdr:rowOff>21767</xdr:rowOff>
        </xdr:to>
        <xdr:pic>
          <xdr:nvPicPr>
            <xdr:cNvPr id="2" name="Imagem 1">
              <a:extLst>
                <a:ext uri="{FF2B5EF4-FFF2-40B4-BE49-F238E27FC236}">
                  <a16:creationId xmlns:a16="http://schemas.microsoft.com/office/drawing/2014/main" id="{56B34747-7812-4D0F-BF3D-13FF36CBA5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Gráfico" spid="_x0000_s394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733802" y="2804428"/>
              <a:ext cx="6467130" cy="4048125"/>
            </a:xfrm>
            <a:prstGeom prst="rect">
              <a:avLst/>
            </a:prstGeom>
            <a:ln w="3175">
              <a:solidFill>
                <a:schemeClr val="bg1"/>
              </a:solidFill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13607</xdr:colOff>
      <xdr:row>15</xdr:row>
      <xdr:rowOff>81643</xdr:rowOff>
    </xdr:from>
    <xdr:to>
      <xdr:col>1</xdr:col>
      <xdr:colOff>589029</xdr:colOff>
      <xdr:row>26</xdr:row>
      <xdr:rowOff>176893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e do Mês.1 1">
              <a:extLst>
                <a:ext uri="{FF2B5EF4-FFF2-40B4-BE49-F238E27FC236}">
                  <a16:creationId xmlns:a16="http://schemas.microsoft.com/office/drawing/2014/main" id="{6BE400E2-34C7-40FE-B4E8-44DD7A63E6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 do Mês.1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07" y="4816929"/>
              <a:ext cx="1582351" cy="2190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585107</xdr:colOff>
      <xdr:row>2</xdr:row>
      <xdr:rowOff>142195</xdr:rowOff>
    </xdr:from>
    <xdr:to>
      <xdr:col>3</xdr:col>
      <xdr:colOff>158603</xdr:colOff>
      <xdr:row>10</xdr:row>
      <xdr:rowOff>68035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no 1">
              <a:extLst>
                <a:ext uri="{FF2B5EF4-FFF2-40B4-BE49-F238E27FC236}">
                  <a16:creationId xmlns:a16="http://schemas.microsoft.com/office/drawing/2014/main" id="{C7FAFFC9-E0F4-4AC5-8525-1C89FC9B89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2036" y="2264909"/>
              <a:ext cx="1587353" cy="15859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28736</xdr:colOff>
      <xdr:row>2</xdr:row>
      <xdr:rowOff>87085</xdr:rowOff>
    </xdr:from>
    <xdr:to>
      <xdr:col>1</xdr:col>
      <xdr:colOff>585107</xdr:colOff>
      <xdr:row>11</xdr:row>
      <xdr:rowOff>40056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manas 1">
              <a:extLst>
                <a:ext uri="{FF2B5EF4-FFF2-40B4-BE49-F238E27FC236}">
                  <a16:creationId xmlns:a16="http://schemas.microsoft.com/office/drawing/2014/main" id="{06D5D18A-A721-4FE3-9AB1-596F67DE15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736" y="2209799"/>
              <a:ext cx="1563300" cy="18035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0</xdr:rowOff>
    </xdr:from>
    <xdr:to>
      <xdr:col>21</xdr:col>
      <xdr:colOff>398048</xdr:colOff>
      <xdr:row>1</xdr:row>
      <xdr:rowOff>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9F76CD8-8C3D-4B29-B9E4-11D81E5BEF83}"/>
            </a:ext>
          </a:extLst>
        </xdr:cNvPr>
        <xdr:cNvGrpSpPr/>
      </xdr:nvGrpSpPr>
      <xdr:grpSpPr>
        <a:xfrm>
          <a:off x="0" y="0"/>
          <a:ext cx="18100941" cy="1646464"/>
          <a:chOff x="0" y="0"/>
          <a:chExt cx="18100941" cy="1646464"/>
        </a:xfrm>
      </xdr:grpSpPr>
      <xdr:sp macro="" textlink="">
        <xdr:nvSpPr>
          <xdr:cNvPr id="10" name="Retângulo: Cantos Diagonais Arredondados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041A59-483E-4808-A0FD-B452751908A1}"/>
              </a:ext>
            </a:extLst>
          </xdr:cNvPr>
          <xdr:cNvSpPr/>
        </xdr:nvSpPr>
        <xdr:spPr>
          <a:xfrm>
            <a:off x="0" y="13607"/>
            <a:ext cx="2262617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500" b="1" i="1"/>
              <a:t>Menu Inicial</a:t>
            </a:r>
          </a:p>
        </xdr:txBody>
      </xdr:sp>
      <xdr:sp macro="" textlink="">
        <xdr:nvSpPr>
          <xdr:cNvPr id="11" name="Retângulo: Cantos Diagonais Arredondados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15C0CD5-6C25-43FB-9B63-164BE63CD198}"/>
              </a:ext>
            </a:extLst>
          </xdr:cNvPr>
          <xdr:cNvSpPr/>
        </xdr:nvSpPr>
        <xdr:spPr>
          <a:xfrm>
            <a:off x="2265360" y="0"/>
            <a:ext cx="2262617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Despesas Fixas</a:t>
            </a:r>
          </a:p>
        </xdr:txBody>
      </xdr:sp>
      <xdr:sp macro="" textlink="">
        <xdr:nvSpPr>
          <xdr:cNvPr id="12" name="Retângulo: Cantos Diagonais Arredondados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BDA977B-7CE0-4B3A-BDE9-F6230DF043F7}"/>
              </a:ext>
            </a:extLst>
          </xdr:cNvPr>
          <xdr:cNvSpPr/>
        </xdr:nvSpPr>
        <xdr:spPr>
          <a:xfrm>
            <a:off x="4525236" y="0"/>
            <a:ext cx="2262617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Mercadorias</a:t>
            </a:r>
          </a:p>
        </xdr:txBody>
      </xdr:sp>
      <xdr:sp macro="" textlink="">
        <xdr:nvSpPr>
          <xdr:cNvPr id="13" name="Retângulo: Cantos Diagonais Arredondados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23E08A2-C4C0-4D11-9B6A-08F61AF6C96E}"/>
              </a:ext>
            </a:extLst>
          </xdr:cNvPr>
          <xdr:cNvSpPr/>
        </xdr:nvSpPr>
        <xdr:spPr>
          <a:xfrm>
            <a:off x="6787853" y="0"/>
            <a:ext cx="2262617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Investimentos</a:t>
            </a:r>
          </a:p>
        </xdr:txBody>
      </xdr:sp>
      <xdr:sp macro="" textlink="">
        <xdr:nvSpPr>
          <xdr:cNvPr id="14" name="Retângulo: Cantos Diagonais Arredondados 1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2B39D02-49A9-43D6-B9BC-7A14B0E5CC99}"/>
              </a:ext>
            </a:extLst>
          </xdr:cNvPr>
          <xdr:cNvSpPr/>
        </xdr:nvSpPr>
        <xdr:spPr>
          <a:xfrm>
            <a:off x="9050471" y="13607"/>
            <a:ext cx="2262617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Controle de Estoque</a:t>
            </a:r>
          </a:p>
        </xdr:txBody>
      </xdr:sp>
      <xdr:sp macro="" textlink="">
        <xdr:nvSpPr>
          <xdr:cNvPr id="15" name="Retângulo: Cantos Diagonais Arredondados 14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9E0108F-922A-404C-B442-C99F5B1571FB}"/>
              </a:ext>
            </a:extLst>
          </xdr:cNvPr>
          <xdr:cNvSpPr/>
        </xdr:nvSpPr>
        <xdr:spPr>
          <a:xfrm>
            <a:off x="11315831" y="0"/>
            <a:ext cx="2262617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Vendas</a:t>
            </a:r>
          </a:p>
        </xdr:txBody>
      </xdr:sp>
      <xdr:sp macro="" textlink="">
        <xdr:nvSpPr>
          <xdr:cNvPr id="16" name="Retângulo: Cantos Diagonais Arredondados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FAEDF73-EB2C-47BF-9792-89962E1586E5}"/>
              </a:ext>
            </a:extLst>
          </xdr:cNvPr>
          <xdr:cNvSpPr/>
        </xdr:nvSpPr>
        <xdr:spPr>
          <a:xfrm>
            <a:off x="13575707" y="0"/>
            <a:ext cx="2262617" cy="1632857"/>
          </a:xfrm>
          <a:prstGeom prst="round2DiagRect">
            <a:avLst/>
          </a:prstGeom>
          <a:solidFill>
            <a:schemeClr val="accent6">
              <a:lumMod val="7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Resultados</a:t>
            </a:r>
          </a:p>
        </xdr:txBody>
      </xdr:sp>
      <xdr:sp macro="" textlink="">
        <xdr:nvSpPr>
          <xdr:cNvPr id="17" name="Retângulo: Cantos Diagonais Arredondados 1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05749DA-2836-4C88-88F1-701033293F18}"/>
              </a:ext>
            </a:extLst>
          </xdr:cNvPr>
          <xdr:cNvSpPr/>
        </xdr:nvSpPr>
        <xdr:spPr>
          <a:xfrm>
            <a:off x="15838324" y="0"/>
            <a:ext cx="2262617" cy="1632857"/>
          </a:xfrm>
          <a:prstGeom prst="round2DiagRect">
            <a:avLst/>
          </a:prstGeom>
          <a:solidFill>
            <a:schemeClr val="tx1">
              <a:lumMod val="65000"/>
              <a:lumOff val="35000"/>
            </a:schemeClr>
          </a:solidFill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pt-BR" sz="2500" b="1" i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Telefones</a:t>
            </a:r>
          </a:p>
        </xdr:txBody>
      </xdr:sp>
    </xdr:grpSp>
    <xdr:clientData/>
  </xdr:twoCellAnchor>
  <xdr:twoCellAnchor>
    <xdr:from>
      <xdr:col>8</xdr:col>
      <xdr:colOff>149680</xdr:colOff>
      <xdr:row>4</xdr:row>
      <xdr:rowOff>40821</xdr:rowOff>
    </xdr:from>
    <xdr:to>
      <xdr:col>11</xdr:col>
      <xdr:colOff>149680</xdr:colOff>
      <xdr:row>8</xdr:row>
      <xdr:rowOff>40821</xdr:rowOff>
    </xdr:to>
    <xdr:cxnSp macro="">
      <xdr:nvCxnSpPr>
        <xdr:cNvPr id="4" name="Conector: Curvo 3">
          <a:extLst>
            <a:ext uri="{FF2B5EF4-FFF2-40B4-BE49-F238E27FC236}">
              <a16:creationId xmlns:a16="http://schemas.microsoft.com/office/drawing/2014/main" id="{B62C2855-2D11-41D8-9956-665B0EC44980}"/>
            </a:ext>
          </a:extLst>
        </xdr:cNvPr>
        <xdr:cNvCxnSpPr/>
      </xdr:nvCxnSpPr>
      <xdr:spPr>
        <a:xfrm rot="10800000">
          <a:off x="9021537" y="2558142"/>
          <a:ext cx="2394857" cy="884465"/>
        </a:xfrm>
        <a:prstGeom prst="curvedConnector3">
          <a:avLst>
            <a:gd name="adj1" fmla="val 31818"/>
          </a:avLst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217716</xdr:colOff>
      <xdr:row>10</xdr:row>
      <xdr:rowOff>136071</xdr:rowOff>
    </xdr:from>
    <xdr:to>
      <xdr:col>15</xdr:col>
      <xdr:colOff>27215</xdr:colOff>
      <xdr:row>22</xdr:row>
      <xdr:rowOff>27214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17ED139E-CA65-4C06-A738-85D02931CF03}"/>
            </a:ext>
          </a:extLst>
        </xdr:cNvPr>
        <xdr:cNvSpPr txBox="1"/>
      </xdr:nvSpPr>
      <xdr:spPr>
        <a:xfrm>
          <a:off x="10259787" y="3918857"/>
          <a:ext cx="3483428" cy="21771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OS</a:t>
          </a:r>
          <a:r>
            <a:rPr lang="pt-BR" sz="1600" b="1" baseline="0"/>
            <a:t> GRÁFICOS FUNCIONARÃO COMO UM DASHBOARD,  SENDO UTILIZADO SEGMENTAÇÃO DE DADOS PARA PODER ALTERAR AS DATAS. ELE NÃO ESTÁ FUNCIONANDO COM OS DADOS CORRETOS AINDA, MAS É POSSÍVEL ALTERAR OS GRÁFICOS QUE SE DESEJA VER E OS DADOS E AS DATA</a:t>
          </a:r>
          <a:endParaRPr lang="pt-BR" sz="1600" b="1"/>
        </a:p>
      </xdr:txBody>
    </xdr:sp>
    <xdr:clientData/>
  </xdr:twoCellAnchor>
  <xdr:twoCellAnchor>
    <xdr:from>
      <xdr:col>11</xdr:col>
      <xdr:colOff>176893</xdr:colOff>
      <xdr:row>7</xdr:row>
      <xdr:rowOff>95250</xdr:rowOff>
    </xdr:from>
    <xdr:to>
      <xdr:col>15</xdr:col>
      <xdr:colOff>503465</xdr:colOff>
      <xdr:row>9</xdr:row>
      <xdr:rowOff>108857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EB1DF69E-AEA4-4D5C-AC94-36F92226B76B}"/>
            </a:ext>
          </a:extLst>
        </xdr:cNvPr>
        <xdr:cNvSpPr txBox="1"/>
      </xdr:nvSpPr>
      <xdr:spPr>
        <a:xfrm>
          <a:off x="11443607" y="3306536"/>
          <a:ext cx="2775858" cy="394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latin typeface="Britannic Bold" panose="020B0903060703020204" pitchFamily="34" charset="0"/>
            </a:rPr>
            <a:t>LISTA</a:t>
          </a:r>
          <a:r>
            <a:rPr lang="pt-BR" sz="1400" baseline="0">
              <a:latin typeface="Britannic Bold" panose="020B0903060703020204" pitchFamily="34" charset="0"/>
            </a:rPr>
            <a:t> QUE PODE SER ALTERADA</a:t>
          </a:r>
          <a:endParaRPr lang="pt-BR" sz="1400">
            <a:latin typeface="Britannic Bold" panose="020B0903060703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123825</xdr:rowOff>
    </xdr:from>
    <xdr:to>
      <xdr:col>0</xdr:col>
      <xdr:colOff>1771650</xdr:colOff>
      <xdr:row>0</xdr:row>
      <xdr:rowOff>495300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E96DF05B-8B51-4274-91BD-80FE2F21D615}"/>
            </a:ext>
          </a:extLst>
        </xdr:cNvPr>
        <xdr:cNvSpPr/>
      </xdr:nvSpPr>
      <xdr:spPr>
        <a:xfrm>
          <a:off x="352425" y="123825"/>
          <a:ext cx="1419225" cy="371475"/>
        </a:xfrm>
        <a:prstGeom prst="rect">
          <a:avLst/>
        </a:prstGeom>
        <a:gradFill flip="none" rotWithShape="1">
          <a:gsLst>
            <a:gs pos="0">
              <a:srgbClr val="FF3300"/>
            </a:gs>
            <a:gs pos="30000">
              <a:srgbClr val="EB563D"/>
            </a:gs>
            <a:gs pos="69000">
              <a:srgbClr val="FF0000"/>
            </a:gs>
            <a:gs pos="97000">
              <a:srgbClr val="C0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3200" b="1">
            <a:solidFill>
              <a:schemeClr val="tx1"/>
            </a:solidFill>
            <a:latin typeface="Berlin Sans FB Demi" panose="020E0802020502020306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mm" refreshedDate="44559.621730208331" createdVersion="6" refreshedVersion="6" minRefreshableVersion="3" recordCount="64" xr:uid="{7F867AFD-AECD-4393-87BF-BA830D76086A}">
  <cacheSource type="worksheet">
    <worksheetSource name="Consulta3"/>
  </cacheSource>
  <cacheFields count="19">
    <cacheField name="Content.Id Venda" numFmtId="0">
      <sharedItems containsSemiMixedTypes="0" containsString="0" containsNumber="1" containsInteger="1" minValue="1" maxValue="33" count="33">
        <n v="2"/>
        <n v="1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</sharedItems>
    </cacheField>
    <cacheField name="Content.Telefone" numFmtId="0">
      <sharedItems containsBlank="1"/>
    </cacheField>
    <cacheField name="Content.Semana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Content.Data" numFmtId="14">
      <sharedItems containsDate="1" containsMixedTypes="1" minDate="2015-07-02T00:00:00" maxDate="2021-12-29T00:00:00" count="15">
        <s v="15/11/2021"/>
        <s v="-"/>
        <d v="2021-11-15T00:00:00"/>
        <d v="2015-07-02T00:00:00"/>
        <d v="2021-12-12T00:00:00"/>
        <d v="2021-12-15T00:00:00"/>
        <d v="2021-12-11T00:00:00"/>
        <s v="14/12/2021"/>
        <s v="15/12/2021"/>
        <d v="2020-12-28T00:00:00"/>
        <d v="2021-12-28T00:00:00"/>
        <d v="2021-12-26T00:00:00"/>
        <d v="2021-12-27T00:00:00"/>
        <d v="2021-12-25T00:00:00"/>
        <d v="2021-12-20T00:00:00"/>
      </sharedItems>
    </cacheField>
    <cacheField name="Content.Data - Copiar" numFmtId="0">
      <sharedItems containsBlank="1" count="8">
        <s v="Segunda-Feira"/>
        <m/>
        <s v="Quinta-Feira"/>
        <s v="Domingo"/>
        <s v="Quarta-Feira"/>
        <s v="Sábado"/>
        <s v="Terça-Feira"/>
        <s v="Sexta-Feira" u="1"/>
      </sharedItems>
    </cacheField>
    <cacheField name="Nome do Mês.1" numFmtId="0">
      <sharedItems containsBlank="1" count="6">
        <s v="Novembro"/>
        <m/>
        <s v="Julho"/>
        <s v="Dezembro"/>
        <s v="Abril" u="1"/>
        <s v="Fevereiro" u="1"/>
      </sharedItems>
    </cacheField>
    <cacheField name="Content.Produto" numFmtId="0">
      <sharedItems count="6">
        <s v="Lanche do Chef"/>
        <s v="Lanche do inglês"/>
        <s v="Lanche do alemão"/>
        <s v="Lanche do mineiro"/>
        <s v="Lanche do Vegetariano"/>
        <s v="Lanche do Barão"/>
      </sharedItems>
    </cacheField>
    <cacheField name="Content.Quantidade" numFmtId="2">
      <sharedItems containsSemiMixedTypes="0" containsString="0" containsNumber="1" containsInteger="1" minValue="1" maxValue="20"/>
    </cacheField>
    <cacheField name="Content.Preço Unitário" numFmtId="165">
      <sharedItems containsSemiMixedTypes="0" containsString="0" containsNumber="1" minValue="20.5" maxValue="28.5"/>
    </cacheField>
    <cacheField name="Content.Subtotal" numFmtId="165">
      <sharedItems containsSemiMixedTypes="0" containsString="0" containsNumber="1" minValue="20.5" maxValue="530"/>
    </cacheField>
    <cacheField name="Content.Região de Entrega" numFmtId="0">
      <sharedItems count="8">
        <s v="Cará - Cará"/>
        <s v="-"/>
        <s v="Centro"/>
        <s v="Chapada"/>
        <s v="Boa Vista"/>
        <s v="Contorno"/>
        <s v="Periquitos"/>
        <s v="Colônia Dona Luiza"/>
      </sharedItems>
    </cacheField>
    <cacheField name="Content.% de lucro" numFmtId="0">
      <sharedItems containsSemiMixedTypes="0" containsString="0" containsNumber="1" minValue="0.3" maxValue="0.3"/>
    </cacheField>
    <cacheField name="Content.Valor de Entrega" numFmtId="44">
      <sharedItems containsSemiMixedTypes="0" containsString="0" containsNumber="1" containsInteger="1" minValue="0" maxValue="10"/>
    </cacheField>
    <cacheField name="Content.Lucro" numFmtId="44">
      <sharedItems containsSemiMixedTypes="0" containsString="0" containsNumber="1" minValue="6.15" maxValue="159"/>
    </cacheField>
    <cacheField name="Content.Total" numFmtId="44">
      <sharedItems containsSemiMixedTypes="0" containsString="0" containsNumber="1" minValue="23.5" maxValue="540"/>
    </cacheField>
    <cacheField name="Content.Total para o Cliente" numFmtId="44">
      <sharedItems containsSemiMixedTypes="0" containsString="0" containsNumber="1" minValue="0" maxValue="1070" count="28">
        <n v="215"/>
        <n v="0"/>
        <n v="142.5"/>
        <n v="30.5"/>
        <n v="132.5"/>
        <n v="275"/>
        <n v="57"/>
        <n v="245"/>
        <n v="116"/>
        <n v="238"/>
        <n v="124"/>
        <n v="198"/>
        <n v="127.5"/>
        <n v="1070"/>
        <n v="295"/>
        <n v="151"/>
        <n v="672.5"/>
        <n v="362.5"/>
        <n v="339"/>
        <n v="96"/>
        <n v="209.5"/>
        <n v="221.5"/>
        <n v="381"/>
        <n v="222"/>
        <n v="255"/>
        <n v="51"/>
        <n v="63"/>
        <n v="174.5"/>
      </sharedItems>
    </cacheField>
    <cacheField name="Content.Forma de pagamento" numFmtId="0">
      <sharedItems containsBlank="1"/>
    </cacheField>
    <cacheField name="Ano" numFmtId="0">
      <sharedItems containsString="0" containsBlank="1" containsNumber="1" containsInteger="1" minValue="1900" maxValue="2021" count="5">
        <n v="2021"/>
        <m/>
        <n v="2015"/>
        <n v="2020"/>
        <n v="1900" u="1"/>
      </sharedItems>
    </cacheField>
    <cacheField name="Campo1" numFmtId="0" formula="'Content.Id Venda'" databaseField="0"/>
  </cacheFields>
  <extLst>
    <ext xmlns:x14="http://schemas.microsoft.com/office/spreadsheetml/2009/9/main" uri="{725AE2AE-9491-48be-B2B4-4EB974FC3084}">
      <x14:pivotCacheDefinition pivotCacheId="30118010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s v="(11)111111111"/>
    <x v="0"/>
    <x v="0"/>
    <x v="0"/>
    <x v="0"/>
    <x v="0"/>
    <n v="5"/>
    <n v="20.5"/>
    <n v="102.5"/>
    <x v="0"/>
    <n v="0.3"/>
    <n v="10"/>
    <n v="30.75"/>
    <n v="112.5"/>
    <x v="0"/>
    <s v="Pix"/>
    <x v="0"/>
  </r>
  <r>
    <x v="0"/>
    <s v="-"/>
    <x v="0"/>
    <x v="1"/>
    <x v="1"/>
    <x v="1"/>
    <x v="0"/>
    <n v="5"/>
    <n v="20.5"/>
    <n v="102.5"/>
    <x v="1"/>
    <n v="0.3"/>
    <n v="0"/>
    <n v="30.75"/>
    <n v="102.5"/>
    <x v="1"/>
    <s v="Pix"/>
    <x v="1"/>
  </r>
  <r>
    <x v="1"/>
    <s v="(42)999954138"/>
    <x v="0"/>
    <x v="2"/>
    <x v="0"/>
    <x v="0"/>
    <x v="1"/>
    <n v="5"/>
    <n v="28.5"/>
    <n v="142.5"/>
    <x v="2"/>
    <n v="0.3"/>
    <n v="0"/>
    <n v="42.75"/>
    <n v="142.5"/>
    <x v="2"/>
    <s v="Dinheiro"/>
    <x v="0"/>
  </r>
  <r>
    <x v="1"/>
    <m/>
    <x v="1"/>
    <x v="3"/>
    <x v="2"/>
    <x v="2"/>
    <x v="0"/>
    <n v="1"/>
    <n v="20.5"/>
    <n v="20.5"/>
    <x v="3"/>
    <n v="0.3"/>
    <n v="10"/>
    <n v="6.15"/>
    <n v="30.5"/>
    <x v="3"/>
    <m/>
    <x v="2"/>
  </r>
  <r>
    <x v="1"/>
    <s v="(33)333333333"/>
    <x v="2"/>
    <x v="4"/>
    <x v="3"/>
    <x v="3"/>
    <x v="2"/>
    <n v="5"/>
    <n v="26.5"/>
    <n v="132.5"/>
    <x v="0"/>
    <n v="0.3"/>
    <n v="0"/>
    <n v="39.75"/>
    <n v="132.5"/>
    <x v="4"/>
    <s v="Pix"/>
    <x v="0"/>
  </r>
  <r>
    <x v="2"/>
    <s v="(44)444444444"/>
    <x v="3"/>
    <x v="0"/>
    <x v="0"/>
    <x v="0"/>
    <x v="2"/>
    <n v="5"/>
    <n v="26.5"/>
    <n v="132.5"/>
    <x v="0"/>
    <n v="0.3"/>
    <n v="10"/>
    <n v="39.75"/>
    <n v="142.5"/>
    <x v="5"/>
    <s v="Pix"/>
    <x v="0"/>
  </r>
  <r>
    <x v="2"/>
    <s v="-"/>
    <x v="3"/>
    <x v="1"/>
    <x v="1"/>
    <x v="1"/>
    <x v="2"/>
    <n v="5"/>
    <n v="26.5"/>
    <n v="132.5"/>
    <x v="1"/>
    <n v="0.3"/>
    <n v="0"/>
    <n v="39.75"/>
    <n v="132.5"/>
    <x v="1"/>
    <s v="Pix"/>
    <x v="1"/>
  </r>
  <r>
    <x v="3"/>
    <s v="(11)111111111"/>
    <x v="3"/>
    <x v="0"/>
    <x v="0"/>
    <x v="0"/>
    <x v="3"/>
    <n v="1"/>
    <n v="23.5"/>
    <n v="23.5"/>
    <x v="4"/>
    <n v="0.3"/>
    <n v="10"/>
    <n v="7.05"/>
    <n v="33.5"/>
    <x v="6"/>
    <s v="Pix"/>
    <x v="0"/>
  </r>
  <r>
    <x v="3"/>
    <s v="-"/>
    <x v="3"/>
    <x v="1"/>
    <x v="1"/>
    <x v="1"/>
    <x v="3"/>
    <n v="1"/>
    <n v="23.5"/>
    <n v="23.5"/>
    <x v="1"/>
    <n v="0.3"/>
    <n v="0"/>
    <n v="7.05"/>
    <n v="23.5"/>
    <x v="1"/>
    <s v="Pix"/>
    <x v="1"/>
  </r>
  <r>
    <x v="4"/>
    <s v="(55)555555555"/>
    <x v="3"/>
    <x v="2"/>
    <x v="0"/>
    <x v="0"/>
    <x v="3"/>
    <n v="5"/>
    <n v="23.5"/>
    <n v="117.5"/>
    <x v="4"/>
    <n v="0.3"/>
    <n v="10"/>
    <n v="35.25"/>
    <n v="127.5"/>
    <x v="7"/>
    <s v="Pix"/>
    <x v="0"/>
  </r>
  <r>
    <x v="4"/>
    <s v="-"/>
    <x v="3"/>
    <x v="1"/>
    <x v="1"/>
    <x v="1"/>
    <x v="3"/>
    <n v="5"/>
    <n v="23.5"/>
    <n v="117.5"/>
    <x v="1"/>
    <n v="0.3"/>
    <n v="0"/>
    <n v="35.25"/>
    <n v="117.5"/>
    <x v="1"/>
    <s v="Pix"/>
    <x v="1"/>
  </r>
  <r>
    <x v="5"/>
    <s v="(11)111111111"/>
    <x v="3"/>
    <x v="2"/>
    <x v="0"/>
    <x v="0"/>
    <x v="3"/>
    <n v="1"/>
    <n v="23.5"/>
    <n v="23.5"/>
    <x v="4"/>
    <n v="0.3"/>
    <n v="10"/>
    <n v="7.05"/>
    <n v="33.5"/>
    <x v="6"/>
    <s v="Pix"/>
    <x v="0"/>
  </r>
  <r>
    <x v="5"/>
    <s v="-"/>
    <x v="3"/>
    <x v="1"/>
    <x v="1"/>
    <x v="1"/>
    <x v="3"/>
    <n v="1"/>
    <n v="23.5"/>
    <n v="23.5"/>
    <x v="1"/>
    <n v="0.3"/>
    <n v="0"/>
    <n v="7.05"/>
    <n v="23.5"/>
    <x v="1"/>
    <s v="Pix"/>
    <x v="1"/>
  </r>
  <r>
    <x v="6"/>
    <s v="(44)444444444"/>
    <x v="3"/>
    <x v="2"/>
    <x v="0"/>
    <x v="0"/>
    <x v="2"/>
    <n v="4"/>
    <n v="26.5"/>
    <n v="106"/>
    <x v="0"/>
    <n v="0.3"/>
    <n v="10"/>
    <n v="31.8"/>
    <n v="116"/>
    <x v="8"/>
    <s v="Pix"/>
    <x v="0"/>
  </r>
  <r>
    <x v="7"/>
    <s v="(55)555555555"/>
    <x v="3"/>
    <x v="5"/>
    <x v="4"/>
    <x v="3"/>
    <x v="1"/>
    <n v="4"/>
    <n v="28.5"/>
    <n v="114"/>
    <x v="0"/>
    <n v="0.3"/>
    <n v="10"/>
    <n v="34.200000000000003"/>
    <n v="124"/>
    <x v="9"/>
    <s v="Pix"/>
    <x v="0"/>
  </r>
  <r>
    <x v="7"/>
    <s v="-"/>
    <x v="3"/>
    <x v="1"/>
    <x v="1"/>
    <x v="1"/>
    <x v="1"/>
    <n v="4"/>
    <n v="28.5"/>
    <n v="114"/>
    <x v="1"/>
    <n v="0.3"/>
    <n v="0"/>
    <n v="34.200000000000003"/>
    <n v="114"/>
    <x v="1"/>
    <s v="Pix"/>
    <x v="1"/>
  </r>
  <r>
    <x v="8"/>
    <s v="(22)222222222"/>
    <x v="3"/>
    <x v="5"/>
    <x v="4"/>
    <x v="3"/>
    <x v="1"/>
    <n v="2"/>
    <n v="28.5"/>
    <n v="57"/>
    <x v="0"/>
    <n v="0.3"/>
    <n v="10"/>
    <n v="17.100000000000001"/>
    <n v="67"/>
    <x v="10"/>
    <s v="Dinheiro"/>
    <x v="0"/>
  </r>
  <r>
    <x v="8"/>
    <s v="-"/>
    <x v="3"/>
    <x v="1"/>
    <x v="1"/>
    <x v="1"/>
    <x v="1"/>
    <n v="2"/>
    <n v="28.5"/>
    <n v="57"/>
    <x v="1"/>
    <n v="0.3"/>
    <n v="0"/>
    <n v="17.100000000000001"/>
    <n v="57"/>
    <x v="1"/>
    <s v="Dinheiro"/>
    <x v="1"/>
  </r>
  <r>
    <x v="9"/>
    <s v="(22)222222222"/>
    <x v="3"/>
    <x v="5"/>
    <x v="4"/>
    <x v="3"/>
    <x v="2"/>
    <n v="2"/>
    <n v="26.5"/>
    <n v="53"/>
    <x v="4"/>
    <n v="0.3"/>
    <n v="10"/>
    <n v="15.9"/>
    <n v="63"/>
    <x v="8"/>
    <s v="Pix"/>
    <x v="0"/>
  </r>
  <r>
    <x v="9"/>
    <s v="-"/>
    <x v="3"/>
    <x v="1"/>
    <x v="1"/>
    <x v="1"/>
    <x v="2"/>
    <n v="2"/>
    <n v="26.5"/>
    <n v="53"/>
    <x v="1"/>
    <n v="0.3"/>
    <n v="0"/>
    <n v="15.9"/>
    <n v="53"/>
    <x v="1"/>
    <s v="Pix"/>
    <x v="1"/>
  </r>
  <r>
    <x v="10"/>
    <s v="(44)444444444"/>
    <x v="3"/>
    <x v="5"/>
    <x v="4"/>
    <x v="3"/>
    <x v="3"/>
    <n v="4"/>
    <n v="23.5"/>
    <n v="94"/>
    <x v="4"/>
    <n v="0.3"/>
    <n v="10"/>
    <n v="28.2"/>
    <n v="104"/>
    <x v="11"/>
    <s v="Pix"/>
    <x v="0"/>
  </r>
  <r>
    <x v="10"/>
    <s v="-"/>
    <x v="3"/>
    <x v="1"/>
    <x v="1"/>
    <x v="1"/>
    <x v="3"/>
    <n v="4"/>
    <n v="23.5"/>
    <n v="94"/>
    <x v="1"/>
    <n v="0.3"/>
    <n v="0"/>
    <n v="28.2"/>
    <n v="94"/>
    <x v="1"/>
    <s v="Pix"/>
    <x v="1"/>
  </r>
  <r>
    <x v="11"/>
    <s v="(55)555555555"/>
    <x v="3"/>
    <x v="5"/>
    <x v="4"/>
    <x v="3"/>
    <x v="3"/>
    <n v="5"/>
    <n v="23.5"/>
    <n v="117.5"/>
    <x v="0"/>
    <n v="0.3"/>
    <n v="10"/>
    <n v="35.25"/>
    <n v="127.5"/>
    <x v="12"/>
    <s v="Dinheiro"/>
    <x v="0"/>
  </r>
  <r>
    <x v="12"/>
    <s v="(22)222222222"/>
    <x v="3"/>
    <x v="6"/>
    <x v="5"/>
    <x v="3"/>
    <x v="3"/>
    <n v="2"/>
    <n v="23.5"/>
    <n v="47"/>
    <x v="3"/>
    <n v="0.3"/>
    <n v="10"/>
    <n v="14.1"/>
    <n v="57"/>
    <x v="6"/>
    <s v="Pix"/>
    <x v="0"/>
  </r>
  <r>
    <x v="13"/>
    <s v="(55)555555555"/>
    <x v="3"/>
    <x v="5"/>
    <x v="4"/>
    <x v="3"/>
    <x v="2"/>
    <n v="5"/>
    <n v="26.5"/>
    <n v="132.5"/>
    <x v="0"/>
    <n v="0.3"/>
    <n v="10"/>
    <n v="39.75"/>
    <n v="142.5"/>
    <x v="5"/>
    <s v="Pix"/>
    <x v="0"/>
  </r>
  <r>
    <x v="13"/>
    <s v="-"/>
    <x v="3"/>
    <x v="1"/>
    <x v="1"/>
    <x v="1"/>
    <x v="2"/>
    <n v="5"/>
    <n v="26.5"/>
    <n v="132.5"/>
    <x v="1"/>
    <n v="0.3"/>
    <n v="0"/>
    <n v="39.75"/>
    <n v="132.5"/>
    <x v="1"/>
    <s v="Pix"/>
    <x v="1"/>
  </r>
  <r>
    <x v="14"/>
    <s v="(22)222222222"/>
    <x v="3"/>
    <x v="7"/>
    <x v="6"/>
    <x v="3"/>
    <x v="2"/>
    <n v="20"/>
    <n v="26.5"/>
    <n v="530"/>
    <x v="0"/>
    <n v="0.3"/>
    <n v="10"/>
    <n v="159"/>
    <n v="540"/>
    <x v="13"/>
    <s v="Dinheiro"/>
    <x v="0"/>
  </r>
  <r>
    <x v="14"/>
    <s v="-"/>
    <x v="3"/>
    <x v="1"/>
    <x v="1"/>
    <x v="1"/>
    <x v="2"/>
    <n v="20"/>
    <n v="26.5"/>
    <n v="530"/>
    <x v="1"/>
    <n v="0.3"/>
    <n v="0"/>
    <n v="159"/>
    <n v="530"/>
    <x v="1"/>
    <s v="Dinheiro"/>
    <x v="1"/>
  </r>
  <r>
    <x v="15"/>
    <s v="(55)555555555"/>
    <x v="3"/>
    <x v="8"/>
    <x v="4"/>
    <x v="3"/>
    <x v="1"/>
    <n v="5"/>
    <n v="28.5"/>
    <n v="142.5"/>
    <x v="4"/>
    <n v="0.3"/>
    <n v="10"/>
    <n v="42.75"/>
    <n v="152.5"/>
    <x v="14"/>
    <s v="Pix"/>
    <x v="0"/>
  </r>
  <r>
    <x v="15"/>
    <s v="-"/>
    <x v="3"/>
    <x v="1"/>
    <x v="1"/>
    <x v="1"/>
    <x v="1"/>
    <n v="5"/>
    <n v="28.5"/>
    <n v="142.5"/>
    <x v="1"/>
    <n v="0.3"/>
    <n v="0"/>
    <n v="42.75"/>
    <n v="142.5"/>
    <x v="1"/>
    <s v="Pix"/>
    <x v="1"/>
  </r>
  <r>
    <x v="16"/>
    <s v="(22)222222222"/>
    <x v="3"/>
    <x v="8"/>
    <x v="4"/>
    <x v="3"/>
    <x v="3"/>
    <n v="2"/>
    <n v="23.5"/>
    <n v="47"/>
    <x v="0"/>
    <n v="0.3"/>
    <n v="10"/>
    <n v="14.1"/>
    <n v="57"/>
    <x v="15"/>
    <s v="Pix"/>
    <x v="0"/>
  </r>
  <r>
    <x v="16"/>
    <s v="-"/>
    <x v="3"/>
    <x v="1"/>
    <x v="1"/>
    <x v="1"/>
    <x v="3"/>
    <n v="2"/>
    <n v="23.5"/>
    <n v="47"/>
    <x v="1"/>
    <n v="0.3"/>
    <n v="0"/>
    <n v="14.1"/>
    <n v="47"/>
    <x v="1"/>
    <s v="Pix"/>
    <x v="1"/>
  </r>
  <r>
    <x v="16"/>
    <s v="-"/>
    <x v="3"/>
    <x v="1"/>
    <x v="1"/>
    <x v="1"/>
    <x v="3"/>
    <n v="2"/>
    <n v="23.5"/>
    <n v="47"/>
    <x v="1"/>
    <n v="0.3"/>
    <n v="0"/>
    <n v="14.1"/>
    <n v="47"/>
    <x v="1"/>
    <s v="Pix"/>
    <x v="1"/>
  </r>
  <r>
    <x v="17"/>
    <s v="(44)444444444"/>
    <x v="3"/>
    <x v="8"/>
    <x v="4"/>
    <x v="3"/>
    <x v="2"/>
    <n v="5"/>
    <n v="26.5"/>
    <n v="132.5"/>
    <x v="3"/>
    <n v="0.3"/>
    <n v="10"/>
    <n v="39.75"/>
    <n v="142.5"/>
    <x v="16"/>
    <s v="Pix"/>
    <x v="0"/>
  </r>
  <r>
    <x v="17"/>
    <s v="-"/>
    <x v="3"/>
    <x v="1"/>
    <x v="1"/>
    <x v="1"/>
    <x v="2"/>
    <n v="5"/>
    <n v="26.5"/>
    <n v="132.5"/>
    <x v="1"/>
    <n v="0.3"/>
    <n v="0"/>
    <n v="39.75"/>
    <n v="132.5"/>
    <x v="1"/>
    <s v="Pix"/>
    <x v="1"/>
  </r>
  <r>
    <x v="17"/>
    <s v="-"/>
    <x v="3"/>
    <x v="1"/>
    <x v="1"/>
    <x v="1"/>
    <x v="2"/>
    <n v="5"/>
    <n v="26.5"/>
    <n v="132.5"/>
    <x v="1"/>
    <n v="0.3"/>
    <n v="0"/>
    <n v="39.75"/>
    <n v="132.5"/>
    <x v="1"/>
    <s v="Pix"/>
    <x v="1"/>
  </r>
  <r>
    <x v="17"/>
    <s v="-"/>
    <x v="3"/>
    <x v="1"/>
    <x v="1"/>
    <x v="1"/>
    <x v="2"/>
    <n v="5"/>
    <n v="26.5"/>
    <n v="132.5"/>
    <x v="1"/>
    <n v="0.3"/>
    <n v="0"/>
    <n v="39.75"/>
    <n v="132.5"/>
    <x v="1"/>
    <s v="Pix"/>
    <x v="1"/>
  </r>
  <r>
    <x v="17"/>
    <s v="-"/>
    <x v="3"/>
    <x v="1"/>
    <x v="1"/>
    <x v="1"/>
    <x v="2"/>
    <n v="5"/>
    <n v="26.5"/>
    <n v="132.5"/>
    <x v="1"/>
    <n v="0.3"/>
    <n v="0"/>
    <n v="39.75"/>
    <n v="132.5"/>
    <x v="1"/>
    <s v="Pix"/>
    <x v="1"/>
  </r>
  <r>
    <x v="18"/>
    <s v="(22)222222222"/>
    <x v="3"/>
    <x v="4"/>
    <x v="3"/>
    <x v="3"/>
    <x v="3"/>
    <n v="5"/>
    <n v="23.5"/>
    <n v="117.5"/>
    <x v="0"/>
    <n v="0.3"/>
    <n v="10"/>
    <n v="35.25"/>
    <n v="127.5"/>
    <x v="17"/>
    <s v="Dinheiro"/>
    <x v="0"/>
  </r>
  <r>
    <x v="18"/>
    <s v="-"/>
    <x v="3"/>
    <x v="1"/>
    <x v="1"/>
    <x v="1"/>
    <x v="3"/>
    <n v="5"/>
    <n v="23.5"/>
    <n v="117.5"/>
    <x v="1"/>
    <n v="0.3"/>
    <n v="0"/>
    <n v="35.25"/>
    <n v="117.5"/>
    <x v="1"/>
    <s v="Dinheiro"/>
    <x v="1"/>
  </r>
  <r>
    <x v="18"/>
    <s v="-"/>
    <x v="3"/>
    <x v="1"/>
    <x v="1"/>
    <x v="1"/>
    <x v="3"/>
    <n v="5"/>
    <n v="23.5"/>
    <n v="117.5"/>
    <x v="1"/>
    <n v="0.3"/>
    <n v="0"/>
    <n v="35.25"/>
    <n v="117.5"/>
    <x v="1"/>
    <s v="Dinheiro"/>
    <x v="1"/>
  </r>
  <r>
    <x v="19"/>
    <s v="(52)222222222"/>
    <x v="3"/>
    <x v="4"/>
    <x v="3"/>
    <x v="3"/>
    <x v="2"/>
    <n v="5"/>
    <n v="26.5"/>
    <n v="132.5"/>
    <x v="4"/>
    <n v="0.3"/>
    <n v="10"/>
    <n v="39.75"/>
    <n v="142.5"/>
    <x v="5"/>
    <s v="Pix"/>
    <x v="0"/>
  </r>
  <r>
    <x v="19"/>
    <s v="-"/>
    <x v="3"/>
    <x v="1"/>
    <x v="1"/>
    <x v="1"/>
    <x v="2"/>
    <n v="5"/>
    <n v="26.5"/>
    <n v="132.5"/>
    <x v="1"/>
    <n v="0.3"/>
    <n v="0"/>
    <n v="39.75"/>
    <n v="132.5"/>
    <x v="1"/>
    <s v="Pix"/>
    <x v="1"/>
  </r>
  <r>
    <x v="20"/>
    <s v="(47)999954138"/>
    <x v="3"/>
    <x v="5"/>
    <x v="4"/>
    <x v="3"/>
    <x v="3"/>
    <n v="5"/>
    <n v="23.5"/>
    <n v="117.5"/>
    <x v="0"/>
    <n v="0.3"/>
    <n v="10"/>
    <n v="35.25"/>
    <n v="127.5"/>
    <x v="12"/>
    <s v="Dinheiro"/>
    <x v="0"/>
  </r>
  <r>
    <x v="21"/>
    <s v="(15)999999999"/>
    <x v="3"/>
    <x v="9"/>
    <x v="0"/>
    <x v="3"/>
    <x v="3"/>
    <n v="7"/>
    <n v="23.5"/>
    <n v="164.5"/>
    <x v="5"/>
    <n v="0.3"/>
    <n v="10"/>
    <n v="49.35"/>
    <n v="174.5"/>
    <x v="18"/>
    <s v="Pix"/>
    <x v="3"/>
  </r>
  <r>
    <x v="21"/>
    <s v="-"/>
    <x v="3"/>
    <x v="1"/>
    <x v="1"/>
    <x v="1"/>
    <x v="3"/>
    <n v="7"/>
    <n v="23.5"/>
    <n v="164.5"/>
    <x v="1"/>
    <n v="0.3"/>
    <n v="0"/>
    <n v="49.35"/>
    <n v="164.5"/>
    <x v="1"/>
    <s v="Pix"/>
    <x v="1"/>
  </r>
  <r>
    <x v="22"/>
    <s v="(15)999999999"/>
    <x v="3"/>
    <x v="10"/>
    <x v="6"/>
    <x v="3"/>
    <x v="1"/>
    <n v="5"/>
    <n v="28.5"/>
    <n v="142.5"/>
    <x v="3"/>
    <n v="0.3"/>
    <n v="10"/>
    <n v="42.75"/>
    <n v="152.5"/>
    <x v="14"/>
    <s v="Pix"/>
    <x v="0"/>
  </r>
  <r>
    <x v="22"/>
    <s v="-"/>
    <x v="3"/>
    <x v="1"/>
    <x v="1"/>
    <x v="1"/>
    <x v="1"/>
    <n v="5"/>
    <n v="28.5"/>
    <n v="142.5"/>
    <x v="1"/>
    <n v="0.3"/>
    <n v="0"/>
    <n v="42.75"/>
    <n v="142.5"/>
    <x v="1"/>
    <s v="Pix"/>
    <x v="1"/>
  </r>
  <r>
    <x v="23"/>
    <s v="(42)999954138"/>
    <x v="3"/>
    <x v="10"/>
    <x v="6"/>
    <x v="3"/>
    <x v="4"/>
    <n v="4"/>
    <n v="21.5"/>
    <n v="86"/>
    <x v="2"/>
    <n v="0.3"/>
    <n v="10"/>
    <n v="25.8"/>
    <n v="96"/>
    <x v="19"/>
    <s v="Dinheiro"/>
    <x v="0"/>
  </r>
  <r>
    <x v="24"/>
    <s v="(42)999954138"/>
    <x v="3"/>
    <x v="11"/>
    <x v="3"/>
    <x v="3"/>
    <x v="1"/>
    <n v="7"/>
    <n v="28.5"/>
    <n v="199.5"/>
    <x v="4"/>
    <n v="0.3"/>
    <n v="10"/>
    <n v="59.85"/>
    <n v="209.5"/>
    <x v="20"/>
    <s v="Pix"/>
    <x v="0"/>
  </r>
  <r>
    <x v="25"/>
    <s v="(99)999954138"/>
    <x v="3"/>
    <x v="5"/>
    <x v="4"/>
    <x v="3"/>
    <x v="3"/>
    <n v="9"/>
    <n v="23.5"/>
    <n v="211.5"/>
    <x v="0"/>
    <n v="0.3"/>
    <n v="10"/>
    <n v="63.45"/>
    <n v="221.5"/>
    <x v="21"/>
    <s v="Dinheiro"/>
    <x v="0"/>
  </r>
  <r>
    <x v="26"/>
    <s v="(02)999954138"/>
    <x v="3"/>
    <x v="12"/>
    <x v="0"/>
    <x v="3"/>
    <x v="3"/>
    <n v="5"/>
    <n v="23.5"/>
    <n v="117.5"/>
    <x v="6"/>
    <n v="0.3"/>
    <n v="10"/>
    <n v="35.25"/>
    <n v="127.5"/>
    <x v="7"/>
    <s v="Maquininha"/>
    <x v="0"/>
  </r>
  <r>
    <x v="26"/>
    <s v="-"/>
    <x v="3"/>
    <x v="1"/>
    <x v="1"/>
    <x v="1"/>
    <x v="3"/>
    <n v="5"/>
    <n v="23.5"/>
    <n v="117.5"/>
    <x v="1"/>
    <n v="0.3"/>
    <n v="0"/>
    <n v="35.25"/>
    <n v="117.5"/>
    <x v="1"/>
    <s v="Maquininha"/>
    <x v="1"/>
  </r>
  <r>
    <x v="27"/>
    <s v="(02)999954138"/>
    <x v="3"/>
    <x v="13"/>
    <x v="5"/>
    <x v="3"/>
    <x v="2"/>
    <n v="7"/>
    <n v="26.5"/>
    <n v="185.5"/>
    <x v="0"/>
    <n v="0.3"/>
    <n v="10"/>
    <n v="55.65"/>
    <n v="195.5"/>
    <x v="22"/>
    <s v="Pix"/>
    <x v="0"/>
  </r>
  <r>
    <x v="27"/>
    <s v="-"/>
    <x v="3"/>
    <x v="1"/>
    <x v="1"/>
    <x v="1"/>
    <x v="2"/>
    <n v="7"/>
    <n v="26.5"/>
    <n v="185.5"/>
    <x v="1"/>
    <n v="0.3"/>
    <n v="0"/>
    <n v="55.65"/>
    <n v="185.5"/>
    <x v="1"/>
    <s v="Pix"/>
    <x v="1"/>
  </r>
  <r>
    <x v="28"/>
    <s v="(02)999954138"/>
    <x v="3"/>
    <x v="4"/>
    <x v="3"/>
    <x v="3"/>
    <x v="2"/>
    <n v="4"/>
    <n v="26.5"/>
    <n v="106"/>
    <x v="0"/>
    <n v="0.3"/>
    <n v="10"/>
    <n v="31.8"/>
    <n v="116"/>
    <x v="23"/>
    <s v="Dinheiro"/>
    <x v="0"/>
  </r>
  <r>
    <x v="28"/>
    <s v="-"/>
    <x v="3"/>
    <x v="1"/>
    <x v="1"/>
    <x v="1"/>
    <x v="2"/>
    <n v="4"/>
    <n v="26.5"/>
    <n v="106"/>
    <x v="1"/>
    <n v="0.3"/>
    <n v="0"/>
    <n v="31.8"/>
    <n v="106"/>
    <x v="1"/>
    <s v="Dinheiro"/>
    <x v="1"/>
  </r>
  <r>
    <x v="29"/>
    <s v="(42)99954138"/>
    <x v="3"/>
    <x v="14"/>
    <x v="0"/>
    <x v="3"/>
    <x v="5"/>
    <n v="5"/>
    <n v="24.5"/>
    <n v="122.5"/>
    <x v="7"/>
    <n v="0.3"/>
    <n v="10"/>
    <n v="36.75"/>
    <n v="132.5"/>
    <x v="24"/>
    <s v="Dinheiro"/>
    <x v="0"/>
  </r>
  <r>
    <x v="29"/>
    <s v="-"/>
    <x v="3"/>
    <x v="1"/>
    <x v="1"/>
    <x v="1"/>
    <x v="5"/>
    <n v="5"/>
    <n v="24.5"/>
    <n v="122.5"/>
    <x v="1"/>
    <n v="0.3"/>
    <n v="0"/>
    <n v="36.75"/>
    <n v="122.5"/>
    <x v="1"/>
    <s v="Dinheiro"/>
    <x v="1"/>
  </r>
  <r>
    <x v="30"/>
    <s v="(42)99954138"/>
    <x v="3"/>
    <x v="10"/>
    <x v="6"/>
    <x v="3"/>
    <x v="2"/>
    <n v="8"/>
    <n v="26.5"/>
    <n v="212"/>
    <x v="0"/>
    <n v="0.3"/>
    <n v="10"/>
    <n v="63.6"/>
    <n v="222"/>
    <x v="23"/>
    <s v="Pix"/>
    <x v="0"/>
  </r>
  <r>
    <x v="31"/>
    <s v="(11)999954138"/>
    <x v="3"/>
    <x v="4"/>
    <x v="3"/>
    <x v="3"/>
    <x v="0"/>
    <n v="2"/>
    <n v="20.5"/>
    <n v="41"/>
    <x v="4"/>
    <n v="0.3"/>
    <n v="10"/>
    <n v="12.3"/>
    <n v="51"/>
    <x v="25"/>
    <s v="Dinheiro"/>
    <x v="0"/>
  </r>
  <r>
    <x v="32"/>
    <s v="(10)999954138"/>
    <x v="3"/>
    <x v="4"/>
    <x v="3"/>
    <x v="3"/>
    <x v="2"/>
    <n v="2"/>
    <n v="26.5"/>
    <n v="53"/>
    <x v="4"/>
    <n v="0.3"/>
    <n v="10"/>
    <n v="15.9"/>
    <n v="63"/>
    <x v="26"/>
    <s v="Maquininha"/>
    <x v="0"/>
  </r>
  <r>
    <x v="0"/>
    <s v="(80)999954138"/>
    <x v="3"/>
    <x v="14"/>
    <x v="0"/>
    <x v="3"/>
    <x v="3"/>
    <n v="7"/>
    <n v="23.5"/>
    <n v="164.5"/>
    <x v="6"/>
    <n v="0.3"/>
    <n v="10"/>
    <n v="49.35"/>
    <n v="174.5"/>
    <x v="27"/>
    <s v="Pix"/>
    <x v="0"/>
  </r>
  <r>
    <x v="1"/>
    <m/>
    <x v="3"/>
    <x v="3"/>
    <x v="2"/>
    <x v="2"/>
    <x v="0"/>
    <n v="1"/>
    <n v="20.5"/>
    <n v="20.5"/>
    <x v="0"/>
    <n v="0.3"/>
    <n v="10"/>
    <n v="6.15"/>
    <n v="30.5"/>
    <x v="3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E84A87-F206-4D01-9F3B-EF7128EB2DBC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9" rowHeaderCaption="Dias da semana">
  <location ref="H4:I9" firstHeaderRow="1" firstDataRow="1" firstDataCol="1"/>
  <pivotFields count="19"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9">
        <item x="0"/>
        <item x="6"/>
        <item x="4"/>
        <item x="2"/>
        <item m="1" x="7"/>
        <item h="1" x="1"/>
        <item h="1" x="5"/>
        <item h="1" x="3"/>
        <item t="default"/>
      </items>
    </pivotField>
    <pivotField showAll="0">
      <items count="7">
        <item m="1" x="5"/>
        <item m="1" x="4"/>
        <item x="2"/>
        <item x="0"/>
        <item x="3"/>
        <item x="1"/>
        <item t="default"/>
      </items>
    </pivotField>
    <pivotField showAll="0"/>
    <pivotField numFmtId="2" showAll="0"/>
    <pivotField numFmtId="165" showAll="0"/>
    <pivotField numFmtId="165" showAll="0"/>
    <pivotField dataField="1" showAll="0"/>
    <pivotField showAll="0"/>
    <pivotField showAll="0"/>
    <pivotField numFmtId="44" showAll="0"/>
    <pivotField showAll="0"/>
    <pivotField numFmtId="44" showAll="0"/>
    <pivotField showAll="0"/>
    <pivotField showAll="0">
      <items count="6">
        <item m="1" x="4"/>
        <item x="2"/>
        <item x="3"/>
        <item x="0"/>
        <item x="1"/>
        <item t="default"/>
      </items>
    </pivotField>
    <pivotField dragToRow="0" dragToCol="0" dragToPage="0" showAll="0" defaultSubtota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pedidos por dia da semana" fld="10" subtotal="count" baseField="0" baseItem="0"/>
  </dataFields>
  <formats count="15">
    <format dxfId="97">
      <pivotArea field="4" type="button" dataOnly="0" labelOnly="1" outline="0" axis="axisRow" fieldPosition="0"/>
    </format>
    <format dxfId="96">
      <pivotArea dataOnly="0" labelOnly="1" outline="0" axis="axisValues" fieldPosition="0"/>
    </format>
    <format dxfId="95">
      <pivotArea collapsedLevelsAreSubtotals="1" fieldPosition="0">
        <references count="1">
          <reference field="4" count="0"/>
        </references>
      </pivotArea>
    </format>
    <format dxfId="94">
      <pivotArea dataOnly="0" labelOnly="1" fieldPosition="0">
        <references count="1">
          <reference field="4" count="0"/>
        </references>
      </pivotArea>
    </format>
    <format dxfId="93">
      <pivotArea grandRow="1" outline="0" collapsedLevelsAreSubtotals="1" fieldPosition="0"/>
    </format>
    <format dxfId="92">
      <pivotArea dataOnly="0" labelOnly="1" grandRow="1" outline="0" fieldPosition="0"/>
    </format>
    <format dxfId="91">
      <pivotArea outline="0" collapsedLevelsAreSubtotals="1" fieldPosition="0"/>
    </format>
    <format dxfId="90">
      <pivotArea dataOnly="0" labelOnly="1" outline="0" axis="axisValues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4" type="button" dataOnly="0" labelOnly="1" outline="0" axis="axisRow" fieldPosition="0"/>
    </format>
    <format dxfId="86">
      <pivotArea dataOnly="0" labelOnly="1" grandRow="1" outline="0" fieldPosition="0"/>
    </format>
    <format dxfId="85">
      <pivotArea dataOnly="0" labelOnly="1" outline="0" axis="axisValues" fieldPosition="0"/>
    </format>
    <format dxfId="84">
      <pivotArea collapsedLevelsAreSubtotals="1" fieldPosition="0">
        <references count="1">
          <reference field="4" count="0"/>
        </references>
      </pivotArea>
    </format>
    <format dxfId="83">
      <pivotArea dataOnly="0" labelOnly="1" fieldPosition="0">
        <references count="1">
          <reference field="4" count="0"/>
        </references>
      </pivotArea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CF0FAF-1C58-4992-9174-72C20AB22EC5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 rowHeaderCaption="Anos">
  <location ref="P4:Q9" firstHeaderRow="1" firstDataRow="1" firstDataCol="1"/>
  <pivotFields count="19"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7">
        <item m="1" x="5"/>
        <item m="1" x="4"/>
        <item x="2"/>
        <item x="3"/>
        <item x="1"/>
        <item x="0"/>
        <item t="default"/>
      </items>
    </pivotField>
    <pivotField showAll="0"/>
    <pivotField numFmtId="2" showAll="0"/>
    <pivotField numFmtId="165" showAll="0"/>
    <pivotField numFmtId="165"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axis="axisRow" dataField="1" showAll="0">
      <items count="6">
        <item m="1" x="4"/>
        <item x="2"/>
        <item x="3"/>
        <item x="0"/>
        <item x="1"/>
        <item t="default"/>
      </items>
    </pivotField>
    <pivotField dragToRow="0" dragToCol="0" dragToPage="0" showAll="0" defaultSubtotal="0"/>
  </pivotFields>
  <rowFields count="1">
    <field x="17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Quantidade de pedido por ano" fld="17" subtotal="count" baseField="17" baseItem="1"/>
  </dataFields>
  <formats count="16">
    <format dxfId="113">
      <pivotArea field="5" type="button" dataOnly="0" labelOnly="1" outline="0"/>
    </format>
    <format dxfId="112">
      <pivotArea grandRow="1" outline="0" collapsedLevelsAreSubtotals="1" fieldPosition="0"/>
    </format>
    <format dxfId="111">
      <pivotArea dataOnly="0" labelOnly="1" grandRow="1" outline="0" fieldPosition="0"/>
    </format>
    <format dxfId="110">
      <pivotArea grandRow="1" outline="0" collapsedLevelsAreSubtotals="1" fieldPosition="0"/>
    </format>
    <format dxfId="109">
      <pivotArea collapsedLevelsAreSubtotals="1" fieldPosition="0">
        <references count="1">
          <reference field="17" count="0"/>
        </references>
      </pivotArea>
    </format>
    <format dxfId="108">
      <pivotArea dataOnly="0" labelOnly="1" fieldPosition="0">
        <references count="1">
          <reference field="17" count="0"/>
        </references>
      </pivotArea>
    </format>
    <format dxfId="107">
      <pivotArea field="17" type="button" dataOnly="0" labelOnly="1" outline="0" axis="axisRow" fieldPosition="0"/>
    </format>
    <format dxfId="106">
      <pivotArea dataOnly="0" labelOnly="1" outline="0" axis="axisValues" fieldPosition="0"/>
    </format>
    <format dxfId="105">
      <pivotArea collapsedLevelsAreSubtotals="1" fieldPosition="0">
        <references count="1">
          <reference field="17" count="0"/>
        </references>
      </pivotArea>
    </format>
    <format dxfId="104">
      <pivotArea dataOnly="0" labelOnly="1" fieldPosition="0">
        <references count="1">
          <reference field="17" count="0"/>
        </references>
      </pivotArea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17" type="button" dataOnly="0" labelOnly="1" outline="0" axis="axisRow" fieldPosition="0"/>
    </format>
    <format dxfId="100">
      <pivotArea dataOnly="0" labelOnly="1" fieldPosition="0">
        <references count="1">
          <reference field="17" count="0"/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</formats>
  <chartFormats count="1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4B3FC-5BE8-4B25-A564-605F9E04C55D}" name="Tabela dinâmica5" cacheId="0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6" indent="0" outline="1" outlineData="1" multipleFieldFilters="0" chartFormat="8" rowHeaderCaption="Bairros">
  <location ref="L4:M9" firstHeaderRow="1" firstDataRow="1" firstDataCol="1"/>
  <pivotFields count="19"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>
      <items count="9">
        <item x="0"/>
        <item x="6"/>
        <item x="4"/>
        <item x="2"/>
        <item m="1" x="7"/>
        <item x="1"/>
        <item x="5"/>
        <item x="3"/>
        <item t="default"/>
      </items>
    </pivotField>
    <pivotField showAll="0">
      <items count="7">
        <item m="1" x="5"/>
        <item m="1" x="4"/>
        <item x="2"/>
        <item x="0"/>
        <item x="3"/>
        <item x="1"/>
        <item t="default"/>
      </items>
    </pivotField>
    <pivotField showAll="0"/>
    <pivotField numFmtId="2" showAll="0"/>
    <pivotField numFmtId="165" showAll="0"/>
    <pivotField numFmtId="165" showAll="0"/>
    <pivotField axis="axisRow" dataField="1" showAll="0">
      <items count="9">
        <item h="1" x="1"/>
        <item x="0"/>
        <item x="3"/>
        <item x="7"/>
        <item x="6"/>
        <item h="1" x="4"/>
        <item h="1" x="5"/>
        <item h="1" x="2"/>
        <item t="default"/>
      </items>
    </pivotField>
    <pivotField showAll="0"/>
    <pivotField showAll="0"/>
    <pivotField numFmtId="44" showAll="0"/>
    <pivotField showAll="0"/>
    <pivotField numFmtId="44" showAll="0"/>
    <pivotField showAll="0"/>
    <pivotField showAll="0">
      <items count="6">
        <item m="1" x="4"/>
        <item x="2"/>
        <item x="3"/>
        <item x="0"/>
        <item x="1"/>
        <item t="default"/>
      </items>
    </pivotField>
    <pivotField dragToRow="0" dragToCol="0" dragToPage="0" showAll="0" defaultSubtotal="0"/>
  </pivotFields>
  <rowFields count="1">
    <field x="1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ntagem de pedidos por região de entrega" fld="10" subtotal="count" baseField="0" baseItem="0"/>
  </dataFields>
  <formats count="22">
    <format dxfId="135">
      <pivotArea field="2" type="button" dataOnly="0" labelOnly="1" outline="0"/>
    </format>
    <format dxfId="134">
      <pivotArea dataOnly="0" labelOnly="1" outline="0" axis="axisValues" fieldPosition="0"/>
    </format>
    <format dxfId="133">
      <pivotArea grandRow="1" outline="0" collapsedLevelsAreSubtotals="1" fieldPosition="0"/>
    </format>
    <format dxfId="132">
      <pivotArea dataOnly="0" labelOnly="1" grandRow="1" outline="0" fieldPosition="0"/>
    </format>
    <format dxfId="131">
      <pivotArea field="2" type="button" dataOnly="0" labelOnly="1" outline="0"/>
    </format>
    <format dxfId="130">
      <pivotArea grandRow="1" outline="0" collapsedLevelsAreSubtotals="1" fieldPosition="0"/>
    </format>
    <format dxfId="129">
      <pivotArea field="4" type="button" dataOnly="0" labelOnly="1" outline="0"/>
    </format>
    <format dxfId="128">
      <pivotArea field="10" type="button" dataOnly="0" labelOnly="1" outline="0" axis="axisRow" fieldPosition="0"/>
    </format>
    <format dxfId="127">
      <pivotArea collapsedLevelsAreSubtotals="1" fieldPosition="0">
        <references count="1">
          <reference field="10" count="2">
            <x v="2"/>
            <x v="3"/>
          </reference>
        </references>
      </pivotArea>
    </format>
    <format dxfId="126">
      <pivotArea dataOnly="0" labelOnly="1" fieldPosition="0">
        <references count="1">
          <reference field="10" count="2">
            <x v="2"/>
            <x v="3"/>
          </reference>
        </references>
      </pivotArea>
    </format>
    <format dxfId="125">
      <pivotArea collapsedLevelsAreSubtotals="1" fieldPosition="0">
        <references count="1">
          <reference field="10" count="2">
            <x v="2"/>
            <x v="3"/>
          </reference>
        </references>
      </pivotArea>
    </format>
    <format dxfId="124">
      <pivotArea dataOnly="0" labelOnly="1" fieldPosition="0">
        <references count="1">
          <reference field="10" count="2">
            <x v="2"/>
            <x v="3"/>
          </reference>
        </references>
      </pivotArea>
    </format>
    <format dxfId="123">
      <pivotArea collapsedLevelsAreSubtotals="1" fieldPosition="0">
        <references count="1">
          <reference field="10" count="0"/>
        </references>
      </pivotArea>
    </format>
    <format dxfId="122">
      <pivotArea dataOnly="0" labelOnly="1" fieldPosition="0">
        <references count="1">
          <reference field="10" count="0"/>
        </references>
      </pivotArea>
    </format>
    <format dxfId="121">
      <pivotArea collapsedLevelsAreSubtotals="1" fieldPosition="0">
        <references count="1">
          <reference field="10" count="0"/>
        </references>
      </pivotArea>
    </format>
    <format dxfId="120">
      <pivotArea dataOnly="0" labelOnly="1" fieldPosition="0">
        <references count="1">
          <reference field="10" count="0"/>
        </references>
      </pivotArea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10" type="button" dataOnly="0" labelOnly="1" outline="0" axis="axisRow" fieldPosition="0"/>
    </format>
    <format dxfId="116">
      <pivotArea dataOnly="0" labelOnly="1" fieldPosition="0">
        <references count="1">
          <reference field="10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250186-C375-411E-BEBC-6DB496CF7ACE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 rowHeaderCaption="Meses">
  <location ref="N4:O9" firstHeaderRow="1" firstDataRow="1" firstDataCol="1"/>
  <pivotFields count="19"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axis="axisRow" dataField="1" showAll="0">
      <items count="7">
        <item m="1" x="5"/>
        <item m="1" x="4"/>
        <item x="2"/>
        <item x="3"/>
        <item x="1"/>
        <item x="0"/>
        <item t="default"/>
      </items>
    </pivotField>
    <pivotField showAll="0"/>
    <pivotField numFmtId="2" showAll="0"/>
    <pivotField numFmtId="165" showAll="0"/>
    <pivotField numFmtId="165"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>
      <items count="6">
        <item m="1" x="4"/>
        <item x="2"/>
        <item x="3"/>
        <item x="0"/>
        <item x="1"/>
        <item t="default"/>
      </items>
    </pivotField>
    <pivotField dragToRow="0" dragToCol="0" dragToPage="0" showAll="0" defaultSubtotal="0"/>
  </pivotFields>
  <rowFields count="1">
    <field x="5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Quantidade de pedidos por mês" fld="5" subtotal="count" baseField="0" baseItem="0"/>
  </dataFields>
  <formats count="17">
    <format dxfId="152">
      <pivotArea field="5" type="button" dataOnly="0" labelOnly="1" outline="0" axis="axisRow" fieldPosition="0"/>
    </format>
    <format dxfId="151">
      <pivotArea dataOnly="0" labelOnly="1" outline="0" axis="axisValues" fieldPosition="0"/>
    </format>
    <format dxfId="150">
      <pivotArea grandRow="1" outline="0" collapsedLevelsAreSubtotals="1" fieldPosition="0"/>
    </format>
    <format dxfId="149">
      <pivotArea dataOnly="0" labelOnly="1" grandRow="1" outline="0" fieldPosition="0"/>
    </format>
    <format dxfId="148">
      <pivotArea collapsedLevelsAreSubtotals="1" fieldPosition="0">
        <references count="1">
          <reference field="5" count="0"/>
        </references>
      </pivotArea>
    </format>
    <format dxfId="147">
      <pivotArea dataOnly="0" labelOnly="1" fieldPosition="0">
        <references count="1">
          <reference field="5" count="0"/>
        </references>
      </pivotArea>
    </format>
    <format dxfId="146">
      <pivotArea collapsedLevelsAreSubtotals="1" fieldPosition="0">
        <references count="1">
          <reference field="5" count="0"/>
        </references>
      </pivotArea>
    </format>
    <format dxfId="145">
      <pivotArea dataOnly="0" labelOnly="1" fieldPosition="0">
        <references count="1">
          <reference field="5" count="0"/>
        </references>
      </pivotArea>
    </format>
    <format dxfId="144">
      <pivotArea grandRow="1" outline="0" collapsedLevelsAreSubtotals="1" fieldPosition="0"/>
    </format>
    <format dxfId="143">
      <pivotArea dataOnly="0" labelOnly="1" grandRow="1" outline="0" fieldPosition="0"/>
    </format>
    <format dxfId="142">
      <pivotArea dataOnly="0" labelOnly="1" outline="0" axis="axisValues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5" type="button" dataOnly="0" labelOnly="1" outline="0" axis="axisRow" fieldPosition="0"/>
    </format>
    <format dxfId="138">
      <pivotArea dataOnly="0" labelOnly="1" fieldPosition="0">
        <references count="1">
          <reference field="5" count="3">
            <x v="1"/>
            <x v="2"/>
            <x v="3"/>
          </reference>
        </references>
      </pivotArea>
    </format>
    <format dxfId="137">
      <pivotArea dataOnly="0" labelOnly="1" grandRow="1" outline="0" fieldPosition="0"/>
    </format>
    <format dxfId="136">
      <pivotArea dataOnly="0" labelOnly="1" outline="0" axis="axisValues" fieldPosition="0"/>
    </format>
  </format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B22FFE-0C7A-4D49-89B7-095DBF42036D}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0" rowHeaderCaption="Lanches">
  <location ref="J4:K11" firstHeaderRow="1" firstDataRow="1" firstDataCol="1"/>
  <pivotFields count="19"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7">
        <item m="1" x="5"/>
        <item m="1" x="4"/>
        <item x="2"/>
        <item x="0"/>
        <item x="3"/>
        <item x="1"/>
        <item t="default"/>
      </items>
    </pivotField>
    <pivotField axis="axisRow" showAll="0">
      <items count="7">
        <item x="5"/>
        <item x="0"/>
        <item x="3"/>
        <item x="2"/>
        <item x="1"/>
        <item x="4"/>
        <item t="default"/>
      </items>
    </pivotField>
    <pivotField dataField="1" numFmtId="2" showAll="0"/>
    <pivotField numFmtId="165" showAll="0"/>
    <pivotField numFmtId="165" showAll="0"/>
    <pivotField showAll="0"/>
    <pivotField showAll="0"/>
    <pivotField showAll="0"/>
    <pivotField numFmtId="44" showAll="0"/>
    <pivotField showAll="0"/>
    <pivotField numFmtId="44" showAll="0"/>
    <pivotField showAll="0"/>
    <pivotField showAll="0">
      <items count="6">
        <item m="1" x="4"/>
        <item x="2"/>
        <item x="3"/>
        <item x="0"/>
        <item x="1"/>
        <item t="default"/>
      </items>
    </pivotField>
    <pivotField dragToRow="0" dragToCol="0" dragToPage="0" showAll="0" defaultSubtota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Quantidade" fld="7" baseField="0" baseItem="0"/>
  </dataFields>
  <formats count="14">
    <format dxfId="166">
      <pivotArea field="6" type="button" dataOnly="0" labelOnly="1" outline="0" axis="axisRow" fieldPosition="0"/>
    </format>
    <format dxfId="165">
      <pivotArea dataOnly="0" labelOnly="1" outline="0" axis="axisValues" fieldPosition="0"/>
    </format>
    <format dxfId="164">
      <pivotArea grandRow="1" outline="0" collapsedLevelsAreSubtotals="1" fieldPosition="0"/>
    </format>
    <format dxfId="163">
      <pivotArea dataOnly="0" labelOnly="1" grandRow="1" outline="0" fieldPosition="0"/>
    </format>
    <format dxfId="162">
      <pivotArea collapsedLevelsAreSubtotals="1" fieldPosition="0">
        <references count="1">
          <reference field="6" count="0"/>
        </references>
      </pivotArea>
    </format>
    <format dxfId="161">
      <pivotArea dataOnly="0" labelOnly="1" fieldPosition="0">
        <references count="1">
          <reference field="6" count="0"/>
        </references>
      </pivotArea>
    </format>
    <format dxfId="160">
      <pivotArea collapsedLevelsAreSubtotals="1" fieldPosition="0">
        <references count="1">
          <reference field="6" count="0"/>
        </references>
      </pivotArea>
    </format>
    <format dxfId="159">
      <pivotArea dataOnly="0" labelOnly="1" fieldPosition="0">
        <references count="1">
          <reference field="6" count="0"/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6" type="button" dataOnly="0" labelOnly="1" outline="0" axis="axisRow" fieldPosition="0"/>
    </format>
    <format dxfId="155">
      <pivotArea dataOnly="0" labelOnly="1" fieldPosition="0">
        <references count="1">
          <reference field="6" count="0"/>
        </references>
      </pivotArea>
    </format>
    <format dxfId="154">
      <pivotArea dataOnly="0" labelOnly="1" grandRow="1" outline="0" fieldPosition="0"/>
    </format>
    <format dxfId="153">
      <pivotArea dataOnly="0" labelOnly="1" outline="0" axis="axisValues" fieldPosition="0"/>
    </format>
  </formats>
  <chartFormats count="1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ntent.Semana" xr10:uid="{E4C2656A-1BF5-4A3B-9164-4198B3245C69}" sourceName="Content.Semana">
  <pivotTables>
    <pivotTable tabId="4" name="Tabela dinâmica3"/>
    <pivotTable tabId="4" name="Tabela dinâmica1"/>
    <pivotTable tabId="4" name="Tabela dinâmica2"/>
    <pivotTable tabId="4" name="Tabela dinâmica4"/>
    <pivotTable tabId="4" name="Tabela dinâmica5"/>
  </pivotTables>
  <data>
    <tabular pivotCacheId="301180109">
      <items count="4">
        <i x="0" s="1"/>
        <i x="1" s="1"/>
        <i x="2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ome_do_Mês.1" xr10:uid="{B1FAA370-1704-42E6-879C-70B66581AFB2}" sourceName="Nome do Mês.1">
  <pivotTables>
    <pivotTable tabId="4" name="Tabela dinâmica3"/>
    <pivotTable tabId="4" name="Tabela dinâmica1"/>
    <pivotTable tabId="4" name="Tabela dinâmica2"/>
    <pivotTable tabId="4" name="Tabela dinâmica4"/>
    <pivotTable tabId="4" name="Tabela dinâmica5"/>
  </pivotTables>
  <data>
    <tabular pivotCacheId="301180109">
      <items count="6">
        <i x="2" s="1"/>
        <i x="0" s="1"/>
        <i x="3" s="1"/>
        <i x="1" s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E6EFFB0B-E1F2-48A1-B99A-D84261C4EA23}" sourceName="Ano">
  <pivotTables>
    <pivotTable tabId="4" name="Tabela dinâmica3"/>
    <pivotTable tabId="4" name="Tabela dinâmica1"/>
    <pivotTable tabId="4" name="Tabela dinâmica2"/>
    <pivotTable tabId="4" name="Tabela dinâmica4"/>
    <pivotTable tabId="4" name="Tabela dinâmica5"/>
  </pivotTables>
  <data>
    <tabular pivotCacheId="301180109">
      <items count="5">
        <i x="2" s="1"/>
        <i x="3" s="1"/>
        <i x="0" s="1"/>
        <i x="1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manas 1" xr10:uid="{B910B465-EEE5-469A-8BA0-1DA4021C243C}" cache="SegmentaçãodeDados_Content.Semana" caption="Semanas" style="SlicerStyleLight4" rowHeight="241300"/>
  <slicer name="Nome do Mês.1 1" xr10:uid="{45E0B589-28D0-40F2-8C14-E5DABF6B7901}" cache="SegmentaçãodeDados_Nome_do_Mês.1" caption="Mês" rowHeight="241300"/>
  <slicer name="Ano 1" xr10:uid="{2C26B019-A89A-4E77-B0C6-DAAA19BE8F19}" cache="SegmentaçãodeDados_Ano" caption="Ano" style="SlicerStyleLight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91FB8A-B23A-48EB-A3B0-C249393D5F77}" name="Despesas" displayName="Despesas" ref="B6:K19" totalsRowShown="0" headerRowDxfId="226" headerRowBorderDxfId="225" tableBorderDxfId="224" totalsRowBorderDxfId="223">
  <autoFilter ref="B6:K19" xr:uid="{02A69064-04E8-4DB7-AD6A-4DF042D72BCA}"/>
  <tableColumns count="10">
    <tableColumn id="1" xr3:uid="{0DF76905-73B0-446E-AD88-ABD63F674704}" name="Despesa " dataDxfId="222"/>
    <tableColumn id="10" xr3:uid="{ACDE8632-51E7-47C5-811B-EA76424F9C34}" name="ID" dataDxfId="221"/>
    <tableColumn id="2" xr3:uid="{8794D07A-0D2A-4B4A-9BC1-26F1E2A34EDF}" name="Itens" dataDxfId="220"/>
    <tableColumn id="5" xr3:uid="{B4F8939D-389C-4271-A138-91A46433604F}" name="Valor" dataDxfId="219" dataCellStyle="Moeda"/>
    <tableColumn id="3" xr3:uid="{BEFF9998-0407-460F-9E4A-7296507F430F}" name="Data" dataDxfId="218"/>
    <tableColumn id="9" xr3:uid="{DBB33377-8A26-46E6-9F90-E92FA63F2CE6}" name="Semana" dataDxfId="217">
      <calculatedColumnFormula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calculatedColumnFormula>
    </tableColumn>
    <tableColumn id="6" xr3:uid="{FDBF0B47-BF68-40DE-9D72-E23107C842F5}" name="Dia da semana" dataDxfId="216">
      <calculatedColumnFormula>IFERROR(IF(Despesas[[#This Row],[Data]]="","-",PROPER(TEXT(WEEKDAY(Despesas[[#This Row],[Data]],1),"dddd"))),"")</calculatedColumnFormula>
    </tableColumn>
    <tableColumn id="7" xr3:uid="{49A24A2D-BF6F-464E-904B-A52E18EF7012}" name="Dia" dataDxfId="215">
      <calculatedColumnFormula>DAY(Despesas[[#This Row],[Data]])</calculatedColumnFormula>
    </tableColumn>
    <tableColumn id="4" xr3:uid="{59FBFDCD-0517-4A8B-92FC-1C19D7DE89A1}" name="Mês" dataDxfId="214">
      <calculatedColumnFormula>PROPER(TEXT(Despesas[[#This Row],[Data]],"mmmm"))</calculatedColumnFormula>
    </tableColumn>
    <tableColumn id="8" xr3:uid="{A19097A3-A01E-438B-9C8B-73B7339C1B0E}" name="Ano" dataDxfId="213">
      <calculatedColumnFormula>PROPER(TEXT(Despesas[[#This Row],[Data]],"aaaa"))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49A9F2-14AE-47D8-BB85-43A36F4DB893}" name="Mercadorias" displayName="Mercadorias" ref="B6:M16" totalsRowShown="0" headerRowDxfId="210" dataDxfId="208" headerRowBorderDxfId="209" tableBorderDxfId="207" totalsRowBorderDxfId="206">
  <autoFilter ref="B6:M16" xr:uid="{50B4CB08-17F7-477B-9083-3D8FF6341FA8}"/>
  <sortState xmlns:xlrd2="http://schemas.microsoft.com/office/spreadsheetml/2017/richdata2" ref="B7:L16">
    <sortCondition descending="1" ref="B6:B16"/>
  </sortState>
  <tableColumns count="12">
    <tableColumn id="1" xr3:uid="{3AAF8B08-A025-42B0-A8E1-277369D20715}" name="Data de compra" dataDxfId="205"/>
    <tableColumn id="3" xr3:uid="{DE1CB625-7EE2-4287-B1A6-ECB0A0460C96}" name="Mercadoria" dataDxfId="204"/>
    <tableColumn id="12" xr3:uid="{9BAD635B-7D32-4A64-8D29-82DEAB66C2AA}" name="ID" dataDxfId="203"/>
    <tableColumn id="2" xr3:uid="{01F6CB8C-7F45-4BC4-A4AE-A7EAB7014CB9}" name="Dia" dataDxfId="202">
      <calculatedColumnFormula>DAY(Mercadorias[[#This Row],[Data de compra]])</calculatedColumnFormula>
    </tableColumn>
    <tableColumn id="10" xr3:uid="{A99BD12A-9C17-48F9-BCD7-2B86236B4A18}" name="Semana" dataDxfId="201">
      <calculatedColumnFormula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calculatedColumnFormula>
    </tableColumn>
    <tableColumn id="9" xr3:uid="{54FDC716-7752-4162-AE47-58262CBFC229}" name="Mês" dataDxfId="200">
      <calculatedColumnFormula>PROPER(TEXT(Mercadorias[[#This Row],[Data de compra]],"mmmm"))</calculatedColumnFormula>
    </tableColumn>
    <tableColumn id="7" xr3:uid="{A2D51522-4E4A-4128-B528-741F81FDC0E9}" name="Ano" dataDxfId="199">
      <calculatedColumnFormula>YEAR(Mercadorias[[#This Row],[Data de compra]])</calculatedColumnFormula>
    </tableColumn>
    <tableColumn id="4" xr3:uid="{159DB552-749E-46FE-ADA5-3E99D64FE211}" name="Tipo (Compra/Perda)" dataDxfId="198"/>
    <tableColumn id="5" xr3:uid="{97750F82-66AC-43B8-ACA2-4029781585F3}" name="Quantidade" dataDxfId="197"/>
    <tableColumn id="6" xr3:uid="{AF5B4018-A7E6-469B-A656-9821E7BB17DF}" name="Preço unitário" dataDxfId="196" dataCellStyle="Moeda">
      <calculatedColumnFormula>IFERROR(VLOOKUP(Mercadorias[[#This Row],[Mercadoria]],Produtos!$C$4:D27,3,),"-")</calculatedColumnFormula>
    </tableColumn>
    <tableColumn id="8" xr3:uid="{EFDC33FA-6BCE-41AB-9F5F-FE4922144A7B}" name="Valor Total" dataDxfId="195" dataCellStyle="Moeda">
      <calculatedColumnFormula>IFERROR(Mercadorias[[#This Row],[Quantidade]]*Mercadorias[[#This Row],[Preço unitário]],"-")</calculatedColumnFormula>
    </tableColumn>
    <tableColumn id="11" xr3:uid="{0BF93597-036E-4F66-93B3-197E10E05ED6}" name="Dia da semana" dataDxfId="194" dataCellStyle="Moeda">
      <calculatedColumnFormula>IFERROR(IF(Mercadorias[[#Headers],[Data de compra]]="","-",PROPER(TEXT(WEEKDAY(Mercadorias[Data de compra],1),"dddd"))),"")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9AC446-1574-4B71-857A-C8A53936EE6A}" name="Tabela1" displayName="Tabela1" ref="B7:L10" totalsRowShown="0" headerRowDxfId="191" dataDxfId="190">
  <autoFilter ref="B7:L10" xr:uid="{4EB33618-D911-44D9-95A0-1EFCFF85C357}"/>
  <tableColumns count="11">
    <tableColumn id="1" xr3:uid="{F4E1FC88-7485-4E42-A8EF-525C72A6672A}" name="Investimento" dataDxfId="189"/>
    <tableColumn id="6" xr3:uid="{46131FBE-92DC-4DE0-ADC0-2646DF762CDD}" name="Data do investimento" dataDxfId="188"/>
    <tableColumn id="2" xr3:uid="{54804565-614F-42E7-AFC8-1F0916EDDC93}" name="Data do útimo pagamento" dataDxfId="187"/>
    <tableColumn id="5" xr3:uid="{F44CC845-6283-4383-8922-BAA66535F883}" name="Valor da parcela" dataDxfId="186"/>
    <tableColumn id="3" xr3:uid="{3DE72ED6-8F55-4329-B075-4B1CB80C3DD0}" name="Valor pago até o momento" dataDxfId="185" dataCellStyle="Moeda"/>
    <tableColumn id="10" xr3:uid="{62A79221-B3E0-4C92-95AB-B6B73C267ADE}" name="Soma de juros pago" dataDxfId="184" dataCellStyle="Moeda"/>
    <tableColumn id="9" xr3:uid="{40BE1851-34D1-4C08-9CEF-6F72622594A9}" name="Quantidade de parcelas pagas" dataDxfId="183"/>
    <tableColumn id="8" xr3:uid="{ED9B1501-0D24-491D-88B1-3C2D5E42763F}" name="Quantidade total de parcelas" dataDxfId="182" dataCellStyle="Moeda"/>
    <tableColumn id="7" xr3:uid="{2D274E90-8B70-46C7-8CC9-66E99B53F945}" name="Valor restante para o término do investimento" dataDxfId="181" dataCellStyle="Moeda">
      <calculatedColumnFormula>Tabela1[[#This Row],[Investimento Total]]-Tabela1[[#This Row],[Valor pago até o momento]]</calculatedColumnFormula>
    </tableColumn>
    <tableColumn id="4" xr3:uid="{280F82DE-4469-406D-9223-DF4968768D2C}" name="Investimento Total" dataDxfId="180" dataCellStyle="Moeda"/>
    <tableColumn id="12" xr3:uid="{48B34006-CCE4-4506-9CAE-2E10BC544BD1}" name="Situção" dataDxfId="179" dataCellStyle="Moeda">
      <calculatedColumnFormula>IF(Tabela1[[#This Row],[Valor restante para o término do investimento]]=0,"Pago","Faltam parcelas ainda")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2EB3A6-41E0-4704-8F74-0123601F936E}" name="Tabela3" displayName="Tabela3" ref="A4:G28" totalsRowShown="0" headerRowDxfId="175" dataDxfId="174">
  <autoFilter ref="A4:G28" xr:uid="{FAF81CCC-7E73-4CF5-9AB8-23BC8A379F5B}"/>
  <tableColumns count="7">
    <tableColumn id="1" xr3:uid="{209871DB-4FA3-4C0D-BA19-B1C391C09E28}" name="Produto" dataDxfId="173"/>
    <tableColumn id="2" xr3:uid="{73FD4F89-C91D-4D75-8300-10F1E737C61C}" name="Data da última compra" dataDxfId="172">
      <calculatedColumnFormula>IFERROR(INDEX(Mercadorias[],MATCH(Tabela3[[#This Row],[Produto]],Mercadorias[Mercadoria],0),1),"-")</calculatedColumnFormula>
    </tableColumn>
    <tableColumn id="3" xr3:uid="{3F6524A6-1C44-4999-9469-665D77F559BD}" name="Quantidade Inicial" dataDxfId="171"/>
    <tableColumn id="4" xr3:uid="{5D8291E5-EC03-4FC9-8919-E61551B86C20}" name="Quantidade Usada" dataDxfId="170"/>
    <tableColumn id="5" xr3:uid="{48F8F8E5-E4F6-46C0-AF56-A1AC38D4BBF3}" name="Quantidade Comprada" dataDxfId="169">
      <calculatedColumnFormula>SUMIF(Mercadorias[Mercadoria],Tabela3[[#This Row],[Produto]],Mercadorias[Quantidade])</calculatedColumnFormula>
    </tableColumn>
    <tableColumn id="6" xr3:uid="{95DD9DFA-7115-42AE-9FFB-5854DBCEE8B9}" name="Quantidade Atual" dataDxfId="168">
      <calculatedColumnFormula>Tabela3[[#This Row],[Quantidade Inicial]]+Tabela3[[#This Row],[Quantidade Comprada]]-Tabela3[[#This Row],[Quantidade Usada]]</calculatedColumnFormula>
    </tableColumn>
    <tableColumn id="7" xr3:uid="{70DB0736-98C0-4677-8032-5E5D4FDCCBD3}" name="Situação" dataDxfId="167">
      <calculatedColumnFormula>IF(Tabela3[[#This Row],[Quantidade Atual]]&gt;50, "OK", IF(AND(Tabela3[[#This Row],[Quantidade Atual]]&lt;=50,Tabela3[[#This Row],[Quantidade Atual]]&gt;=20),"Atenção","Compra Obrigatória"))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F620E8-361F-4C16-8368-9C7F2540ECB2}" name="Vendas" displayName="Vendas" ref="B17:W24" totalsRowShown="0" headerRowDxfId="74" dataDxfId="73">
  <autoFilter ref="B17:W24" xr:uid="{5EEAB2E1-6497-46CD-AD65-4D0422C20809}"/>
  <sortState xmlns:xlrd2="http://schemas.microsoft.com/office/spreadsheetml/2017/richdata2" ref="B18:W24">
    <sortCondition descending="1" ref="B17:B24"/>
  </sortState>
  <tableColumns count="22">
    <tableColumn id="1" xr3:uid="{D237730D-EDA2-4EDE-B216-2F4C22630676}" name="Id Venda" dataDxfId="72"/>
    <tableColumn id="3" xr3:uid="{4D47C9A5-B0B4-4A6C-9D06-4CB7BDD599A1}" name="Telefone" dataDxfId="71"/>
    <tableColumn id="16" xr3:uid="{6311AA52-A03C-4FE6-A614-3181801525C8}" name="Semana" dataDxfId="70"/>
    <tableColumn id="2" xr3:uid="{726A5A22-789F-4C4A-AB92-9727ADD48685}" name="Data" dataDxfId="69"/>
    <tableColumn id="15" xr3:uid="{C023D779-7149-4929-9565-A8950F4F8A61}" name="Dia da semana" dataDxfId="68">
      <calculatedColumnFormula>IFERROR(IF(Vendas[[#This Row],[Data]]="","-",PROPER(TEXT(WEEKDAY(Vendas[[#This Row],[Data]],1),"dddd"))),"")</calculatedColumnFormula>
    </tableColumn>
    <tableColumn id="12" xr3:uid="{326FC596-2316-4347-B96C-071677F4DD32}" name="Produto" dataDxfId="67"/>
    <tableColumn id="4" xr3:uid="{501D8318-883D-4DEA-B4AC-0C667238F55E}" name="Quantidade" dataDxfId="66"/>
    <tableColumn id="5" xr3:uid="{88923685-BE1E-4CD7-BE3B-CEBF4A61DFCA}" name="Preço Unitário" dataDxfId="65" dataCellStyle="Moeda">
      <calculatedColumnFormula>IFERROR(VLOOKUP(Vendas[[#This Row],[Produto]],Produtos!$L$4:$M$22,2,),"-")</calculatedColumnFormula>
    </tableColumn>
    <tableColumn id="6" xr3:uid="{43FD9BA0-6048-4606-BFDE-5C9DB3ADDDA0}" name="Subtotal" dataDxfId="64" dataCellStyle="Moeda">
      <calculatedColumnFormula>IFERROR(Vendas[[#This Row],[Quantidade]]*Vendas[[#This Row],[Preço Unitário]],"")</calculatedColumnFormula>
    </tableColumn>
    <tableColumn id="8" xr3:uid="{4933488E-A662-4CAC-9174-7B04A62AC1CB}" name="Região de Entrega" dataDxfId="63"/>
    <tableColumn id="13" xr3:uid="{41630C72-8164-4C5A-8688-9B481689795C}" name="% de lucro" dataDxfId="62" dataCellStyle="Porcentagem">
      <calculatedColumnFormula>IFERROR(VLOOKUP(Vendas[[#This Row],[Produto]],Produtos!$L$3:$N$22,3,),"-")</calculatedColumnFormula>
    </tableColumn>
    <tableColumn id="9" xr3:uid="{1901DF5E-2CE3-438C-BF0F-893C6E7260EA}" name="Valor de Entrega" dataDxfId="61" dataCellStyle="Moeda">
      <calculatedColumnFormula>IFERROR(VLOOKUP(Vendas[[#This Row],[Região de Entrega]],Produtos!$I$4:$J$18,2,FALSE),0)</calculatedColumnFormula>
    </tableColumn>
    <tableColumn id="14" xr3:uid="{AB31587A-225D-4297-9B21-54C672893CFE}" name="Lucro" dataDxfId="60" dataCellStyle="Moeda">
      <calculatedColumnFormula>IFERROR(Vendas[[#This Row],[% de lucro]]*Vendas[[#This Row],[Subtotal]],"-")</calculatedColumnFormula>
    </tableColumn>
    <tableColumn id="10" xr3:uid="{4F293569-A357-4CB5-8AE2-04B77E3D68D6}" name="Lucro Total" dataDxfId="59">
      <calculatedColumnFormula>IF(Vendas[[#This Row],[Região de Entrega]]="-",0,SUMIFS(Vendas[Lucro],Vendas[Id Venda],Vendas[[#This Row],[Id Venda]]))</calculatedColumnFormula>
    </tableColumn>
    <tableColumn id="11" xr3:uid="{86F87CB7-3296-4773-93E1-605A75990343}" name="Total para o Cliente" dataDxfId="58">
      <calculatedColumnFormula>IF(Vendas[[#This Row],[Região de Entrega]]="-",0,SUMIFS(Vendas[Subtotal],Vendas[Id Venda],Vendas[[#This Row],[Id Venda]])+SUMIFS(Vendas[Valor de Entrega],Vendas[Id Venda],Vendas[[#This Row],[Id Venda]],Vendas[Região de Entrega],Vendas[[#This Row],[Região de Entrega]]))</calculatedColumnFormula>
    </tableColumn>
    <tableColumn id="7" xr3:uid="{70FF28AA-0841-40DE-AF76-41F047E36A1D}" name="Forma de pagamento" dataDxfId="57"/>
    <tableColumn id="17" xr3:uid="{833A53A3-EA44-46DC-9F7B-B28A73B60EED}" name="Mês" dataDxfId="56">
      <calculatedColumnFormula>IF(Vendas[[#This Row],[Forma de pagamento]]="","-",PROPER(TEXT(Vendas[[#This Row],[Data]],"mmmm")))</calculatedColumnFormula>
    </tableColumn>
    <tableColumn id="18" xr3:uid="{19F39BA3-ABB2-4A95-B625-348163964A1A}" name="Dia" dataDxfId="55">
      <calculatedColumnFormula>IF(Vendas[[#This Row],[Forma de pagamento]]="","-",DAY(Vendas[[#This Row],[Data]]))</calculatedColumnFormula>
    </tableColumn>
    <tableColumn id="21" xr3:uid="{167BB1B2-C08E-47CC-BC6A-EC69E1FEFAD4}" name="Cliente" dataDxfId="54"/>
    <tableColumn id="22" xr3:uid="{30BA6331-252F-418B-9FAE-C60C9FC0F360}" name="Endereço" dataDxfId="53"/>
    <tableColumn id="20" xr3:uid="{6CFA895B-7CC6-4F08-95AD-8986EB9EA501}" name="N° Residência" dataDxfId="52"/>
    <tableColumn id="23" xr3:uid="{FAF6CBED-7EBD-4236-B102-4677866C0C23}" name="Complemento" dataDxfId="51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421A9C-3E40-4F0F-B42E-934216E1793A}" name="Telefones" displayName="Telefones" ref="B4:M10" totalsRowShown="0" headerRowDxfId="43" dataDxfId="41" headerRowBorderDxfId="42" tableBorderDxfId="40" totalsRowBorderDxfId="39">
  <autoFilter ref="B4:M10" xr:uid="{B2183696-7BC5-431B-A37F-9DCFB1EB00FA}"/>
  <sortState xmlns:xlrd2="http://schemas.microsoft.com/office/spreadsheetml/2017/richdata2" ref="B5:M10">
    <sortCondition descending="1" ref="J4:J10"/>
  </sortState>
  <tableColumns count="12">
    <tableColumn id="1" xr3:uid="{BF801A4E-DEBC-45F8-8C64-859BEA8B1E9A}" name="Data do último pedido" dataDxfId="38" dataCellStyle="Moeda"/>
    <tableColumn id="4" xr3:uid="{3264BD9A-A308-4EF1-A88A-F352EC5DE704}" name="Número do celular/telefone" dataDxfId="37" dataCellStyle="Moeda"/>
    <tableColumn id="8" xr3:uid="{E98E47EF-F3F9-4BE2-9BDF-155090349D84}" name="Nome cliente" dataDxfId="36" dataCellStyle="Moeda"/>
    <tableColumn id="5" xr3:uid="{5FB65910-8456-4044-9383-E6EEFA8D343E}" name="Bairro" dataDxfId="35" dataCellStyle="Moeda"/>
    <tableColumn id="9" xr3:uid="{DB70EABD-C0F1-43AB-865E-50F18F55AA9B}" name="Rua" dataDxfId="34" dataCellStyle="Moeda"/>
    <tableColumn id="10" xr3:uid="{79C28FB8-D5B3-4E8F-B299-2C94CFDD0AE9}" name="Número da residência" dataDxfId="33" dataCellStyle="Moeda"/>
    <tableColumn id="11" xr3:uid="{6B030941-8D86-4E7F-88E1-381021801412}" name="N° de pedidos realizados" dataDxfId="32" dataCellStyle="Moeda"/>
    <tableColumn id="12" xr3:uid="{D5C9D4B4-B552-440A-91CE-49988D1BA2AD}" name="Complemento" dataDxfId="31" dataCellStyle="Moeda"/>
    <tableColumn id="2" xr3:uid="{7904A06B-16FD-46EF-A269-72EDF5CD3E49}" name="Tempo do último pedido em dias" dataDxfId="30" dataCellStyle="Moeda">
      <calculatedColumnFormula>TODAY()-Telefones[[#This Row],[Data do último pedido]]</calculatedColumnFormula>
    </tableColumn>
    <tableColumn id="3" xr3:uid="{DB5F5AA5-ACD1-42E6-9EDC-8BABCD6AF8E1}" name="Necessidade de ligar" dataDxfId="29">
      <calculatedColumnFormula>IF(Telefones[[#This Row],[Tempo do último pedido em dias]]&gt;40,"HÁ MAIS DE 40 DIAS SEM PEDIR - MANDAR MENSAGEM",IF(Telefones[[#This Row],[Tempo do último pedido em dias]]&lt;15,"ATENDIDO RECENTEMENTE","HÁ MAIS DE 15 DIAS SEM PEDIR"))</calculatedColumnFormula>
    </tableColumn>
    <tableColumn id="6" xr3:uid="{128B3C23-63C1-4C6D-B0E2-557FF6519A71}" name="Mensagem enviada" dataDxfId="28"/>
    <tableColumn id="7" xr3:uid="{EF826FC7-85CA-408F-96FF-17874615A6D0}" name="SITUAÇÃO DO CLIENTE" dataDxfId="27">
      <calculatedColumnFormula>IF(Telefones[[#This Row],[Tempo do último pedido em dias]]&gt;60,"CLIENTE NÃO ATIVO","CLIENTE ATIVO")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B09252-2932-4759-83A7-6EA99335DA17}" name="Cardápio" displayName="Cardápio" ref="L3:N22" totalsRowShown="0" headerRowDxfId="26">
  <autoFilter ref="L3:N22" xr:uid="{735C4A8F-3958-4D1E-97DB-6A483303AEB6}"/>
  <tableColumns count="3">
    <tableColumn id="1" xr3:uid="{B82D37E4-5EBB-4F66-9F24-755FF3F4FC8A}" name="Lanches" dataDxfId="25"/>
    <tableColumn id="2" xr3:uid="{B433FE26-D534-4C9C-A22E-292C8DE9450B}" name="Preços" dataDxfId="24" dataCellStyle="Moeda"/>
    <tableColumn id="3" xr3:uid="{EF44D613-A71F-4567-BA6C-ABFF388F620D}" name="% lucro" dataDxfId="23" dataCellStyle="Porcentagem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7F78856-5CFE-4B01-8D26-340D54618322}" name="Bairro" displayName="Bairro" ref="I3:J18" totalsRowShown="0" headerRowDxfId="22">
  <autoFilter ref="I3:J18" xr:uid="{4B9B9DD1-D433-41A3-A878-51F4FFEDA7A3}"/>
  <tableColumns count="2">
    <tableColumn id="1" xr3:uid="{41EF0026-0B1C-4EE7-8A54-8F60C5D511AF}" name="Regiões de Entrega" dataDxfId="21"/>
    <tableColumn id="2" xr3:uid="{C27EF319-03DF-40BF-94E3-45393968A02B}" name="Preço de entrega" dataDxfId="20" dataCellStyle="Moed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01B617B-E5CF-4CCD-996D-61440C032D3F}" name="Forma_Pagamento" displayName="Forma_Pagamento" ref="V3:V6" totalsRowShown="0" headerRowDxfId="19" dataDxfId="18">
  <autoFilter ref="V3:V6" xr:uid="{1487AE4B-446E-4A6E-88A2-9ED6C88D0037}"/>
  <tableColumns count="1">
    <tableColumn id="1" xr3:uid="{9D7FE066-ACC4-4840-B20C-47C8BF103062}" name="Pagamento" dataDxfId="17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1F71C7-D5CE-48E8-9793-F0737F3C3424}" name="Produtos" displayName="Produtos" ref="C3:D27" totalsRowShown="0" headerRowDxfId="16">
  <autoFilter ref="C3:D27" xr:uid="{1E19869F-1C0D-4F64-A507-5CB78CD1EF0A}"/>
  <tableColumns count="2">
    <tableColumn id="1" xr3:uid="{7E8ADE5C-8687-4A7C-B52B-C46FFBC7E064}" name="Produtos" dataDxfId="15"/>
    <tableColumn id="2" xr3:uid="{0622ED9C-757B-49DE-8FEC-0523C37592F5}" name="Preço de Compra Unitário" dataDxfId="14" dataCellStyle="Moed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3E3810E-052C-4EDF-B0EC-1DB91D0A914D}" name="Despesas1" displayName="Despesas1" ref="Q3:Q7" totalsRowShown="0" headerRowDxfId="13" dataDxfId="12" tableBorderDxfId="11">
  <autoFilter ref="Q3:Q7" xr:uid="{AC952F9E-BB24-4B3B-A2AD-AFF731BA6284}"/>
  <tableColumns count="1">
    <tableColumn id="1" xr3:uid="{534B8B0F-A4F5-4540-BD93-D23BE65CCC6D}" name="Coluna1" dataDxfId="10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010C7E-4F35-4BD6-9D6C-752156CDBC08}" name="Despesas2" displayName="Despesas2" ref="S3:T9" totalsRowShown="0" headerRowDxfId="9" dataDxfId="8">
  <autoFilter ref="S3:T9" xr:uid="{A465A269-584A-4B7B-8D47-BDDA4B41849E}"/>
  <tableColumns count="2">
    <tableColumn id="1" xr3:uid="{35752186-722F-479A-90EC-718D55BE7814}" name="Coluna1" dataDxfId="7"/>
    <tableColumn id="2" xr3:uid="{4FF6A5AD-8D77-4307-BEEC-FD3DA270BACC}" name="Coluna2" dataDxfId="6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0EC899-6961-4103-B176-DD0F07B270C5}" name="Despesas3" displayName="Despesas3" ref="X3:Y8" totalsRowShown="0" headerRowDxfId="5" headerRowBorderDxfId="4" tableBorderDxfId="3" totalsRowBorderDxfId="2">
  <autoFilter ref="X3:Y8" xr:uid="{D7FEB3E7-3195-42DC-BD3B-E03D1E1DDA33}"/>
  <tableColumns count="2">
    <tableColumn id="1" xr3:uid="{4469FD5E-E723-44D9-80E1-CB62E77A4F25}" name="Coluna1" dataDxfId="1"/>
    <tableColumn id="2" xr3:uid="{8CFC3150-84DE-48B8-8A81-3694E637E364}" name="Coluna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rgbClr val="FF3300"/>
            </a:gs>
            <a:gs pos="30000">
              <a:srgbClr val="EB563D"/>
            </a:gs>
            <a:gs pos="69000">
              <a:srgbClr val="FF0000"/>
            </a:gs>
            <a:gs pos="97000">
              <a:srgbClr val="C0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3200" b="1">
            <a:solidFill>
              <a:schemeClr val="tx1"/>
            </a:solidFill>
            <a:latin typeface="Berlin Sans FB Demi" panose="020E08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Escritório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Escritório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7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view="pageBreakPreview" zoomScaleNormal="115" zoomScaleSheetLayoutView="1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M19"/>
  <sheetViews>
    <sheetView showGridLines="0" showRowColHeaders="0" topLeftCell="B1" zoomScale="70" zoomScaleNormal="70" workbookViewId="0">
      <pane ySplit="6" topLeftCell="A7" activePane="bottomLeft" state="frozen"/>
      <selection activeCell="B1" sqref="B1"/>
      <selection pane="bottomLeft"/>
    </sheetView>
  </sheetViews>
  <sheetFormatPr defaultRowHeight="48" customHeight="1" x14ac:dyDescent="0.25"/>
  <cols>
    <col min="1" max="1" width="0" style="1" hidden="1" customWidth="1"/>
    <col min="2" max="2" width="44" style="1" bestFit="1" customWidth="1"/>
    <col min="3" max="3" width="27" style="1" customWidth="1"/>
    <col min="4" max="4" width="35.28515625" style="1" bestFit="1" customWidth="1"/>
    <col min="5" max="5" width="27" style="154" customWidth="1"/>
    <col min="6" max="6" width="27" style="63" customWidth="1"/>
    <col min="7" max="7" width="22.28515625" style="30" customWidth="1"/>
    <col min="8" max="8" width="27" style="63" customWidth="1"/>
    <col min="9" max="9" width="17" customWidth="1"/>
    <col min="10" max="10" width="21.42578125" style="1" customWidth="1"/>
    <col min="11" max="11" width="27" style="1" customWidth="1"/>
    <col min="12" max="12" width="20.5703125" style="1" bestFit="1" customWidth="1"/>
    <col min="14" max="14" width="21.140625" style="1" bestFit="1" customWidth="1"/>
    <col min="15" max="15" width="13.42578125" style="1" bestFit="1" customWidth="1"/>
    <col min="16" max="16" width="9.140625" style="1"/>
    <col min="17" max="17" width="13.42578125" style="1" bestFit="1" customWidth="1"/>
    <col min="18" max="16384" width="9.140625" style="1"/>
  </cols>
  <sheetData>
    <row r="1" spans="2:13" s="71" customFormat="1" ht="129.75" customHeight="1" x14ac:dyDescent="0.25">
      <c r="B1" s="74"/>
      <c r="C1" s="74"/>
      <c r="D1" s="74"/>
      <c r="E1" s="98"/>
      <c r="F1" s="97"/>
      <c r="G1" s="74"/>
      <c r="H1" s="74"/>
      <c r="I1" s="74"/>
      <c r="J1" s="74"/>
      <c r="K1" s="74"/>
      <c r="L1" s="74"/>
    </row>
    <row r="2" spans="2:13" customFormat="1" ht="53.25" customHeight="1" x14ac:dyDescent="0.25">
      <c r="E2" s="154"/>
      <c r="F2" s="63"/>
    </row>
    <row r="3" spans="2:13" ht="43.5" customHeight="1" x14ac:dyDescent="0.25">
      <c r="E3" s="3"/>
      <c r="F3" s="5"/>
      <c r="G3" s="32"/>
      <c r="H3" s="5"/>
      <c r="I3" s="1"/>
      <c r="M3" s="1"/>
    </row>
    <row r="4" spans="2:13" ht="48" hidden="1" customHeight="1" x14ac:dyDescent="0.25">
      <c r="B4" s="1" t="s">
        <v>124</v>
      </c>
      <c r="E4" s="3"/>
      <c r="F4" s="5"/>
      <c r="G4" s="32"/>
      <c r="H4" s="5"/>
      <c r="I4" s="1"/>
      <c r="M4" s="1"/>
    </row>
    <row r="5" spans="2:13" ht="48" hidden="1" customHeight="1" x14ac:dyDescent="0.25">
      <c r="E5" s="3"/>
      <c r="F5" s="5"/>
      <c r="G5" s="32"/>
      <c r="H5" s="5"/>
      <c r="I5" s="1"/>
      <c r="M5" s="1"/>
    </row>
    <row r="6" spans="2:13" s="73" customFormat="1" ht="48" customHeight="1" x14ac:dyDescent="0.25">
      <c r="B6" s="156" t="s">
        <v>196</v>
      </c>
      <c r="C6" s="156" t="s">
        <v>223</v>
      </c>
      <c r="D6" s="156" t="s">
        <v>30</v>
      </c>
      <c r="E6" s="177" t="s">
        <v>55</v>
      </c>
      <c r="F6" s="179" t="s">
        <v>31</v>
      </c>
      <c r="G6" s="156" t="s">
        <v>137</v>
      </c>
      <c r="H6" s="156" t="s">
        <v>133</v>
      </c>
      <c r="I6" s="156" t="s">
        <v>197</v>
      </c>
      <c r="J6" s="156" t="s">
        <v>187</v>
      </c>
      <c r="K6" s="157" t="s">
        <v>188</v>
      </c>
    </row>
    <row r="7" spans="2:13" ht="48" customHeight="1" x14ac:dyDescent="0.25">
      <c r="B7" s="107" t="s">
        <v>222</v>
      </c>
      <c r="C7" s="107" t="s">
        <v>280</v>
      </c>
      <c r="D7" s="107" t="s">
        <v>33</v>
      </c>
      <c r="E7" s="181">
        <v>6</v>
      </c>
      <c r="F7" s="161">
        <v>44573</v>
      </c>
      <c r="G7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7" s="161" t="str">
        <f>IFERROR(IF(Despesas[[#This Row],[Data]]="","-",PROPER(TEXT(WEEKDAY(Despesas[[#This Row],[Data]],1),"dddd"))),"")</f>
        <v>Quarta-Feira</v>
      </c>
      <c r="I7" s="107">
        <f>DAY(Despesas[[#This Row],[Data]])</f>
        <v>12</v>
      </c>
      <c r="J7" s="107" t="str">
        <f>PROPER(TEXT(Despesas[[#This Row],[Data]],"mmmm"))</f>
        <v>Janeiro</v>
      </c>
      <c r="K7" s="155" t="str">
        <f>PROPER(TEXT(Despesas[[#This Row],[Data]],"aaaa"))</f>
        <v>2022</v>
      </c>
    </row>
    <row r="8" spans="2:13" ht="48" customHeight="1" x14ac:dyDescent="0.25">
      <c r="B8" s="107" t="s">
        <v>222</v>
      </c>
      <c r="C8" s="107" t="s">
        <v>279</v>
      </c>
      <c r="D8" s="107" t="s">
        <v>33</v>
      </c>
      <c r="E8" s="181">
        <v>4</v>
      </c>
      <c r="F8" s="161">
        <v>44573</v>
      </c>
      <c r="G8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8" s="161" t="str">
        <f>IFERROR(IF(Despesas[[#This Row],[Data]]="","-",PROPER(TEXT(WEEKDAY(Despesas[[#This Row],[Data]],1),"dddd"))),"")</f>
        <v>Quarta-Feira</v>
      </c>
      <c r="I8" s="107">
        <f>DAY(Despesas[[#This Row],[Data]])</f>
        <v>12</v>
      </c>
      <c r="J8" s="107" t="str">
        <f>PROPER(TEXT(Despesas[[#This Row],[Data]],"mmmm"))</f>
        <v>Janeiro</v>
      </c>
      <c r="K8" s="155" t="str">
        <f>PROPER(TEXT(Despesas[[#This Row],[Data]],"aaaa"))</f>
        <v>2022</v>
      </c>
    </row>
    <row r="9" spans="2:13" ht="48" customHeight="1" x14ac:dyDescent="0.25">
      <c r="B9" s="107" t="s">
        <v>222</v>
      </c>
      <c r="C9" s="107" t="s">
        <v>277</v>
      </c>
      <c r="D9" s="107" t="s">
        <v>278</v>
      </c>
      <c r="E9" s="181">
        <v>1</v>
      </c>
      <c r="F9" s="161">
        <v>44573</v>
      </c>
      <c r="G9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9" s="161" t="str">
        <f>IFERROR(IF(Despesas[[#This Row],[Data]]="","-",PROPER(TEXT(WEEKDAY(Despesas[[#This Row],[Data]],1),"dddd"))),"")</f>
        <v>Quarta-Feira</v>
      </c>
      <c r="I9" s="107">
        <f>DAY(Despesas[[#This Row],[Data]])</f>
        <v>12</v>
      </c>
      <c r="J9" s="107" t="str">
        <f>PROPER(TEXT(Despesas[[#This Row],[Data]],"mmmm"))</f>
        <v>Janeiro</v>
      </c>
      <c r="K9" s="155" t="str">
        <f>PROPER(TEXT(Despesas[[#This Row],[Data]],"aaaa"))</f>
        <v>2022</v>
      </c>
    </row>
    <row r="10" spans="2:13" ht="48" customHeight="1" x14ac:dyDescent="0.25">
      <c r="B10" s="107" t="s">
        <v>4</v>
      </c>
      <c r="C10" s="107" t="s">
        <v>276</v>
      </c>
      <c r="D10" s="107" t="s">
        <v>6</v>
      </c>
      <c r="E10" s="181">
        <v>5</v>
      </c>
      <c r="F10" s="161">
        <v>44573</v>
      </c>
      <c r="G10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10" s="161" t="str">
        <f>IFERROR(IF(Despesas[[#This Row],[Data]]="","-",PROPER(TEXT(WEEKDAY(Despesas[[#This Row],[Data]],1),"dddd"))),"")</f>
        <v>Quarta-Feira</v>
      </c>
      <c r="I10" s="107">
        <f>DAY(Despesas[[#This Row],[Data]])</f>
        <v>12</v>
      </c>
      <c r="J10" s="107" t="str">
        <f>PROPER(TEXT(Despesas[[#This Row],[Data]],"mmmm"))</f>
        <v>Janeiro</v>
      </c>
      <c r="K10" s="155" t="str">
        <f>PROPER(TEXT(Despesas[[#This Row],[Data]],"aaaa"))</f>
        <v>2022</v>
      </c>
    </row>
    <row r="11" spans="2:13" ht="48" customHeight="1" x14ac:dyDescent="0.25">
      <c r="B11" s="107" t="s">
        <v>222</v>
      </c>
      <c r="C11" s="107" t="s">
        <v>275</v>
      </c>
      <c r="D11" s="107" t="s">
        <v>36</v>
      </c>
      <c r="E11" s="181">
        <v>5</v>
      </c>
      <c r="F11" s="161">
        <v>44573</v>
      </c>
      <c r="G11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11" s="161" t="str">
        <f>IFERROR(IF(Despesas[[#This Row],[Data]]="","-",PROPER(TEXT(WEEKDAY(Despesas[[#This Row],[Data]],1),"dddd"))),"")</f>
        <v>Quarta-Feira</v>
      </c>
      <c r="I11" s="107">
        <f>DAY(Despesas[[#This Row],[Data]])</f>
        <v>12</v>
      </c>
      <c r="J11" s="107" t="str">
        <f>PROPER(TEXT(Despesas[[#This Row],[Data]],"mmmm"))</f>
        <v>Janeiro</v>
      </c>
      <c r="K11" s="155" t="str">
        <f>PROPER(TEXT(Despesas[[#This Row],[Data]],"aaaa"))</f>
        <v>2022</v>
      </c>
    </row>
    <row r="12" spans="2:13" ht="48" customHeight="1" x14ac:dyDescent="0.25">
      <c r="B12" s="107" t="s">
        <v>54</v>
      </c>
      <c r="C12" s="107" t="s">
        <v>272</v>
      </c>
      <c r="D12" s="107" t="s">
        <v>258</v>
      </c>
      <c r="E12" s="181">
        <v>2000</v>
      </c>
      <c r="F12" s="161">
        <v>44573</v>
      </c>
      <c r="G12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12" s="161" t="str">
        <f>IFERROR(IF(Despesas[[#This Row],[Data]]="","-",PROPER(TEXT(WEEKDAY(Despesas[[#This Row],[Data]],1),"dddd"))),"")</f>
        <v>Quarta-Feira</v>
      </c>
      <c r="I12" s="107">
        <f>DAY(Despesas[[#This Row],[Data]])</f>
        <v>12</v>
      </c>
      <c r="J12" s="107" t="str">
        <f>PROPER(TEXT(Despesas[[#This Row],[Data]],"mmmm"))</f>
        <v>Janeiro</v>
      </c>
      <c r="K12" s="155" t="str">
        <f>PROPER(TEXT(Despesas[[#This Row],[Data]],"aaaa"))</f>
        <v>2022</v>
      </c>
    </row>
    <row r="13" spans="2:13" ht="48" customHeight="1" x14ac:dyDescent="0.25">
      <c r="B13" s="107" t="s">
        <v>222</v>
      </c>
      <c r="C13" s="107" t="s">
        <v>268</v>
      </c>
      <c r="D13" s="107" t="s">
        <v>33</v>
      </c>
      <c r="E13" s="181">
        <v>60</v>
      </c>
      <c r="F13" s="161">
        <v>44573</v>
      </c>
      <c r="G13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13" s="161" t="str">
        <f>IFERROR(IF(Despesas[[#This Row],[Data]]="","-",PROPER(TEXT(WEEKDAY(Despesas[[#This Row],[Data]],1),"dddd"))),"")</f>
        <v>Quarta-Feira</v>
      </c>
      <c r="I13" s="107">
        <f>DAY(Despesas[[#This Row],[Data]])</f>
        <v>12</v>
      </c>
      <c r="J13" s="107" t="str">
        <f>PROPER(TEXT(Despesas[[#This Row],[Data]],"mmmm"))</f>
        <v>Janeiro</v>
      </c>
      <c r="K13" s="155" t="str">
        <f>PROPER(TEXT(Despesas[[#This Row],[Data]],"aaaa"))</f>
        <v>2022</v>
      </c>
    </row>
    <row r="14" spans="2:13" ht="48" customHeight="1" x14ac:dyDescent="0.25">
      <c r="B14" s="107" t="s">
        <v>222</v>
      </c>
      <c r="C14" s="107" t="s">
        <v>267</v>
      </c>
      <c r="D14" s="107" t="s">
        <v>32</v>
      </c>
      <c r="E14" s="181">
        <v>100</v>
      </c>
      <c r="F14" s="161">
        <v>44573</v>
      </c>
      <c r="G14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2</v>
      </c>
      <c r="H14" s="161" t="str">
        <f>IFERROR(IF(Despesas[[#This Row],[Data]]="","-",PROPER(TEXT(WEEKDAY(Despesas[[#This Row],[Data]],1),"dddd"))),"")</f>
        <v>Quarta-Feira</v>
      </c>
      <c r="I14" s="107">
        <f>DAY(Despesas[[#This Row],[Data]])</f>
        <v>12</v>
      </c>
      <c r="J14" s="107" t="str">
        <f>PROPER(TEXT(Despesas[[#This Row],[Data]],"mmmm"))</f>
        <v>Janeiro</v>
      </c>
      <c r="K14" s="155" t="str">
        <f>PROPER(TEXT(Despesas[[#This Row],[Data]],"aaaa"))</f>
        <v>2022</v>
      </c>
    </row>
    <row r="15" spans="2:13" ht="48" customHeight="1" x14ac:dyDescent="0.25">
      <c r="B15" s="107" t="s">
        <v>222</v>
      </c>
      <c r="C15" s="107" t="s">
        <v>255</v>
      </c>
      <c r="D15" s="107" t="s">
        <v>32</v>
      </c>
      <c r="E15" s="160">
        <v>200</v>
      </c>
      <c r="F15" s="161">
        <v>44566</v>
      </c>
      <c r="G15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1</v>
      </c>
      <c r="H15" s="161" t="str">
        <f>IFERROR(IF(Despesas[[#This Row],[Data]]="","-",PROPER(TEXT(WEEKDAY(Despesas[[#This Row],[Data]],1),"dddd"))),"")</f>
        <v>Quarta-Feira</v>
      </c>
      <c r="I15" s="107">
        <f>DAY(Despesas[[#This Row],[Data]])</f>
        <v>5</v>
      </c>
      <c r="J15" s="107" t="str">
        <f>PROPER(TEXT(Despesas[[#This Row],[Data]],"mmmm"))</f>
        <v>Janeiro</v>
      </c>
      <c r="K15" s="155" t="str">
        <f>PROPER(TEXT(Despesas[[#This Row],[Data]],"aaaa"))</f>
        <v>2022</v>
      </c>
    </row>
    <row r="16" spans="2:13" ht="48" customHeight="1" x14ac:dyDescent="0.25">
      <c r="B16" s="107" t="s">
        <v>54</v>
      </c>
      <c r="C16" s="107" t="s">
        <v>254</v>
      </c>
      <c r="D16" s="107" t="s">
        <v>248</v>
      </c>
      <c r="E16" s="160">
        <v>300</v>
      </c>
      <c r="F16" s="161">
        <v>44566</v>
      </c>
      <c r="G16" s="162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1</v>
      </c>
      <c r="H16" s="161" t="str">
        <f>IFERROR(IF(Despesas[[#This Row],[Data]]="","-",PROPER(TEXT(WEEKDAY(Despesas[[#This Row],[Data]],1),"dddd"))),"")</f>
        <v>Quarta-Feira</v>
      </c>
      <c r="I16" s="107">
        <f>DAY(Despesas[[#This Row],[Data]])</f>
        <v>5</v>
      </c>
      <c r="J16" s="107" t="str">
        <f>PROPER(TEXT(Despesas[[#This Row],[Data]],"mmmm"))</f>
        <v>Janeiro</v>
      </c>
      <c r="K16" s="155" t="str">
        <f>PROPER(TEXT(Despesas[[#This Row],[Data]],"aaaa"))</f>
        <v>2022</v>
      </c>
    </row>
    <row r="17" spans="2:11" ht="48" customHeight="1" x14ac:dyDescent="0.25">
      <c r="B17" s="107" t="s">
        <v>222</v>
      </c>
      <c r="C17" s="107" t="s">
        <v>246</v>
      </c>
      <c r="D17" s="107" t="s">
        <v>33</v>
      </c>
      <c r="E17" s="160">
        <v>10</v>
      </c>
      <c r="F17" s="161">
        <v>44566</v>
      </c>
      <c r="G17" s="107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1</v>
      </c>
      <c r="H17" s="107" t="str">
        <f>IFERROR(IF(Despesas[[#This Row],[Data]]="","-",PROPER(TEXT(WEEKDAY(Despesas[[#This Row],[Data]],1),"dddd"))),"")</f>
        <v>Quarta-Feira</v>
      </c>
      <c r="I17" s="107">
        <f>DAY(Despesas[[#This Row],[Data]])</f>
        <v>5</v>
      </c>
      <c r="J17" s="107" t="str">
        <f>PROPER(TEXT(Despesas[[#This Row],[Data]],"mmmm"))</f>
        <v>Janeiro</v>
      </c>
      <c r="K17" s="155" t="str">
        <f>PROPER(TEXT(Despesas[[#This Row],[Data]],"aaaa"))</f>
        <v>2022</v>
      </c>
    </row>
    <row r="18" spans="2:11" ht="48" customHeight="1" x14ac:dyDescent="0.25">
      <c r="B18" s="107" t="s">
        <v>1</v>
      </c>
      <c r="C18" s="107" t="s">
        <v>245</v>
      </c>
      <c r="D18" s="107" t="s">
        <v>138</v>
      </c>
      <c r="E18" s="160">
        <v>100</v>
      </c>
      <c r="F18" s="161">
        <v>44566</v>
      </c>
      <c r="G18" s="107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1</v>
      </c>
      <c r="H18" s="107" t="str">
        <f>IFERROR(IF(Despesas[[#This Row],[Data]]="","-",PROPER(TEXT(WEEKDAY(Despesas[[#This Row],[Data]],1),"dddd"))),"")</f>
        <v>Quarta-Feira</v>
      </c>
      <c r="I18" s="107">
        <f>DAY(Despesas[[#This Row],[Data]])</f>
        <v>5</v>
      </c>
      <c r="J18" s="107" t="str">
        <f>PROPER(TEXT(Despesas[[#This Row],[Data]],"mmmm"))</f>
        <v>Janeiro</v>
      </c>
      <c r="K18" s="155" t="str">
        <f>PROPER(TEXT(Despesas[[#This Row],[Data]],"aaaa"))</f>
        <v>2022</v>
      </c>
    </row>
    <row r="19" spans="2:11" ht="48" customHeight="1" x14ac:dyDescent="0.25">
      <c r="B19" s="158" t="s">
        <v>222</v>
      </c>
      <c r="C19" s="158" t="s">
        <v>224</v>
      </c>
      <c r="D19" s="158" t="s">
        <v>33</v>
      </c>
      <c r="E19" s="178">
        <v>100</v>
      </c>
      <c r="F19" s="180">
        <v>44565</v>
      </c>
      <c r="G19" s="158">
        <f>_xlfn.IFS(AND(Despesas[[#This Row],[Dia]]&gt;=1,Despesas[[#This Row],[Dia]]&lt;=7),1,AND(Despesas[[#This Row],[Dia]]&gt;=8,Despesas[[#This Row],[Dia]]&lt;=14),2,AND(Despesas[[#This Row],[Dia]]&gt;=15,Despesas[[#This Row],[Dia]]&lt;=21),3,AND(Despesas[[#This Row],[Dia]]&gt;=22),4)</f>
        <v>1</v>
      </c>
      <c r="H19" s="158" t="str">
        <f>IFERROR(IF(Despesas[[#This Row],[Data]]="","-",PROPER(TEXT(WEEKDAY(Despesas[[#This Row],[Data]],1),"dddd"))),"")</f>
        <v>Terça-Feira</v>
      </c>
      <c r="I19" s="158">
        <f>DAY(Despesas[[#This Row],[Data]])</f>
        <v>4</v>
      </c>
      <c r="J19" s="158" t="str">
        <f>PROPER(TEXT(Despesas[[#This Row],[Data]],"mmmm"))</f>
        <v>Janeiro</v>
      </c>
      <c r="K19" s="159" t="str">
        <f>PROPER(TEXT(Despesas[[#This Row],[Data]],"aaaa"))</f>
        <v>2022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901E-A451-40D3-B0AC-C31DE4B22D43}">
  <sheetPr codeName="Planilha15"/>
  <dimension ref="A2:S27"/>
  <sheetViews>
    <sheetView topLeftCell="A15" zoomScale="55" zoomScaleNormal="55" workbookViewId="0">
      <selection activeCell="E20" sqref="E20"/>
    </sheetView>
  </sheetViews>
  <sheetFormatPr defaultRowHeight="15" x14ac:dyDescent="0.25"/>
  <cols>
    <col min="1" max="1" width="115.85546875" customWidth="1"/>
    <col min="2" max="2" width="30.28515625" customWidth="1"/>
    <col min="3" max="3" width="14.5703125" customWidth="1"/>
    <col min="5" max="5" width="27.140625" bestFit="1" customWidth="1"/>
    <col min="6" max="7" width="14.5703125" bestFit="1" customWidth="1"/>
    <col min="9" max="9" width="28.140625" bestFit="1" customWidth="1"/>
    <col min="11" max="11" width="16.7109375" bestFit="1" customWidth="1"/>
    <col min="13" max="13" width="28.140625" bestFit="1" customWidth="1"/>
    <col min="15" max="15" width="16.7109375" bestFit="1" customWidth="1"/>
    <col min="17" max="17" width="28.140625" bestFit="1" customWidth="1"/>
    <col min="19" max="19" width="16.7109375" bestFit="1" customWidth="1"/>
  </cols>
  <sheetData>
    <row r="2" spans="1:19" ht="15.75" thickBot="1" x14ac:dyDescent="0.3">
      <c r="B2" s="193" t="s">
        <v>125</v>
      </c>
      <c r="C2" s="193"/>
    </row>
    <row r="3" spans="1:19" ht="21.75" thickBot="1" x14ac:dyDescent="0.3">
      <c r="A3" t="s">
        <v>198</v>
      </c>
      <c r="B3" s="194" t="e">
        <f>SUM(#REF!)</f>
        <v>#REF!</v>
      </c>
      <c r="C3" s="195"/>
      <c r="E3" s="14" t="s">
        <v>131</v>
      </c>
      <c r="F3" s="14"/>
      <c r="G3" s="14">
        <f>SUM(IF(FREQUENCY(Vendas[Id Venda],Vendas[Id Venda])&gt;0,1,0))</f>
        <v>4</v>
      </c>
      <c r="I3" s="14" t="s">
        <v>131</v>
      </c>
      <c r="J3" s="14"/>
      <c r="K3" s="14" t="e">
        <f>SUM(IF(FREQUENCY(#REF!,#REF!)&gt;0,1,0))</f>
        <v>#REF!</v>
      </c>
      <c r="M3" s="14" t="s">
        <v>131</v>
      </c>
      <c r="N3" s="14"/>
      <c r="O3" s="14" t="e">
        <f>SUM(IF(FREQUENCY(#REF!,#REF!)&gt;0,1,0))</f>
        <v>#REF!</v>
      </c>
      <c r="Q3" s="14" t="s">
        <v>131</v>
      </c>
      <c r="R3" s="14"/>
      <c r="S3" s="14" t="e">
        <f>SUM(IF(FREQUENCY(#REF!,#REF!)&gt;0,1,0))</f>
        <v>#REF!</v>
      </c>
    </row>
    <row r="4" spans="1:19" ht="19.5" thickBot="1" x14ac:dyDescent="0.3">
      <c r="A4" t="s">
        <v>192</v>
      </c>
      <c r="E4" s="14" t="s">
        <v>126</v>
      </c>
      <c r="F4" s="14"/>
      <c r="G4" s="14" t="e">
        <f>SUMIFS(#REF!,#REF!,Vendas!#REF!)</f>
        <v>#REF!</v>
      </c>
      <c r="I4" s="14" t="s">
        <v>126</v>
      </c>
      <c r="J4" s="14"/>
      <c r="K4" s="17" t="e">
        <f>SUM(#REF!)</f>
        <v>#REF!</v>
      </c>
      <c r="M4" s="14" t="s">
        <v>126</v>
      </c>
      <c r="N4" s="14"/>
      <c r="O4" s="17" t="e">
        <f>SUM(#REF!)</f>
        <v>#REF!</v>
      </c>
      <c r="Q4" s="14" t="s">
        <v>126</v>
      </c>
      <c r="R4" s="14"/>
      <c r="S4" s="17" t="e">
        <f>SUM(#REF!)</f>
        <v>#REF!</v>
      </c>
    </row>
    <row r="5" spans="1:19" ht="19.5" thickBot="1" x14ac:dyDescent="0.3">
      <c r="A5" t="s">
        <v>199</v>
      </c>
      <c r="B5" s="16" t="str">
        <f>"TOTAL GASTO"</f>
        <v>TOTAL GASTO</v>
      </c>
      <c r="E5" s="14" t="s">
        <v>130</v>
      </c>
      <c r="F5" s="14"/>
      <c r="G5" s="14" t="e">
        <f>SUMIFS(#REF!,#REF!,Vendas!#REF!)</f>
        <v>#REF!</v>
      </c>
      <c r="I5" s="14" t="s">
        <v>130</v>
      </c>
      <c r="J5" s="14"/>
      <c r="K5" s="18" t="e">
        <f>SUM(#REF!)</f>
        <v>#REF!</v>
      </c>
      <c r="M5" s="14" t="s">
        <v>130</v>
      </c>
      <c r="N5" s="14"/>
      <c r="O5" s="18" t="e">
        <f>SUM(#REF!)</f>
        <v>#REF!</v>
      </c>
      <c r="Q5" s="14" t="s">
        <v>130</v>
      </c>
      <c r="R5" s="14"/>
      <c r="S5" s="18" t="e">
        <f>SUM(#REF!)</f>
        <v>#REF!</v>
      </c>
    </row>
    <row r="6" spans="1:19" ht="24" thickBot="1" x14ac:dyDescent="0.3">
      <c r="A6" t="s">
        <v>182</v>
      </c>
      <c r="B6" s="15">
        <f>SUM(Mercadorias[Valor Total])</f>
        <v>149</v>
      </c>
    </row>
    <row r="7" spans="1:19" x14ac:dyDescent="0.25">
      <c r="A7" t="s">
        <v>200</v>
      </c>
    </row>
    <row r="8" spans="1:19" x14ac:dyDescent="0.25">
      <c r="A8" t="s">
        <v>201</v>
      </c>
    </row>
    <row r="9" spans="1:19" x14ac:dyDescent="0.25">
      <c r="A9" t="s">
        <v>152</v>
      </c>
    </row>
    <row r="10" spans="1:19" x14ac:dyDescent="0.25">
      <c r="A10" t="s">
        <v>202</v>
      </c>
    </row>
    <row r="11" spans="1:19" x14ac:dyDescent="0.25">
      <c r="A11" t="s">
        <v>203</v>
      </c>
    </row>
    <row r="12" spans="1:19" x14ac:dyDescent="0.25">
      <c r="A12" t="s">
        <v>204</v>
      </c>
    </row>
    <row r="13" spans="1:19" x14ac:dyDescent="0.25">
      <c r="A13" t="s">
        <v>175</v>
      </c>
    </row>
    <row r="14" spans="1:19" x14ac:dyDescent="0.25">
      <c r="A14" t="s">
        <v>151</v>
      </c>
    </row>
    <row r="19" spans="1:5" x14ac:dyDescent="0.25">
      <c r="E19">
        <f>MATCH(Gráficos!F4,A21:A25,0) + 20</f>
        <v>23</v>
      </c>
    </row>
    <row r="21" spans="1:5" ht="343.5" customHeight="1" x14ac:dyDescent="0.25">
      <c r="A21" s="1" t="s">
        <v>173</v>
      </c>
      <c r="B21" t="s">
        <v>174</v>
      </c>
      <c r="C21">
        <f>MATCH(Gráficos!$F$4,'Soma valores totais'!A21:A25,0)</f>
        <v>3</v>
      </c>
    </row>
    <row r="22" spans="1:5" ht="343.5" customHeight="1" x14ac:dyDescent="0.25">
      <c r="A22" s="1" t="s">
        <v>171</v>
      </c>
    </row>
    <row r="23" spans="1:5" ht="343.5" customHeight="1" x14ac:dyDescent="0.25">
      <c r="A23" s="1" t="s">
        <v>172</v>
      </c>
    </row>
    <row r="24" spans="1:5" ht="343.5" customHeight="1" x14ac:dyDescent="0.25">
      <c r="A24" s="1" t="s">
        <v>165</v>
      </c>
    </row>
    <row r="25" spans="1:5" ht="343.5" customHeight="1" x14ac:dyDescent="0.25">
      <c r="A25" s="1" t="s">
        <v>170</v>
      </c>
    </row>
    <row r="26" spans="1:5" ht="343.5" customHeight="1" x14ac:dyDescent="0.25"/>
    <row r="27" spans="1:5" ht="343.5" customHeight="1" x14ac:dyDescent="0.25"/>
  </sheetData>
  <mergeCells count="2">
    <mergeCell ref="B2:C2"/>
    <mergeCell ref="B3:C3"/>
  </mergeCells>
  <phoneticPr fontId="20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M41"/>
  <sheetViews>
    <sheetView showGridLines="0" showRowColHeaders="0" topLeftCell="B1" zoomScale="70" zoomScaleNormal="70" workbookViewId="0">
      <pane ySplit="6" topLeftCell="A7" activePane="bottomLeft" state="frozen"/>
      <selection activeCell="B1" sqref="B1"/>
      <selection pane="bottomLeft"/>
    </sheetView>
  </sheetViews>
  <sheetFormatPr defaultRowHeight="48" customHeight="1" x14ac:dyDescent="0.25"/>
  <cols>
    <col min="1" max="1" width="0" style="1" hidden="1" customWidth="1"/>
    <col min="2" max="2" width="28.28515625" style="1" bestFit="1" customWidth="1"/>
    <col min="3" max="3" width="25" style="1" bestFit="1" customWidth="1"/>
    <col min="4" max="4" width="10.5703125" style="1" customWidth="1"/>
    <col min="5" max="5" width="12" style="32" bestFit="1" customWidth="1"/>
    <col min="6" max="6" width="17.42578125" style="32" bestFit="1" customWidth="1"/>
    <col min="7" max="7" width="14.5703125" style="1" bestFit="1" customWidth="1"/>
    <col min="8" max="8" width="22.85546875" style="30" bestFit="1" customWidth="1"/>
    <col min="9" max="9" width="33.5703125" customWidth="1"/>
    <col min="10" max="10" width="21.5703125" style="1" bestFit="1" customWidth="1"/>
    <col min="11" max="11" width="26.7109375" style="1" bestFit="1" customWidth="1"/>
    <col min="12" max="12" width="27.5703125" style="1" customWidth="1"/>
    <col min="13" max="13" width="27.42578125" bestFit="1" customWidth="1"/>
    <col min="14" max="14" width="19.85546875" style="1" bestFit="1" customWidth="1"/>
    <col min="15" max="15" width="15.140625" style="1" customWidth="1"/>
    <col min="16" max="16384" width="9.140625" style="1"/>
  </cols>
  <sheetData>
    <row r="1" spans="2:13" s="71" customFormat="1" ht="130.5" customHeight="1" x14ac:dyDescent="0.25"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2:13" customFormat="1" ht="48" customHeight="1" x14ac:dyDescent="0.25">
      <c r="J2" s="196" t="s">
        <v>251</v>
      </c>
      <c r="K2" s="197"/>
    </row>
    <row r="3" spans="2:13" customFormat="1" ht="33" customHeight="1" x14ac:dyDescent="0.25">
      <c r="J3" s="169" t="s">
        <v>194</v>
      </c>
      <c r="K3" s="170" t="s">
        <v>195</v>
      </c>
    </row>
    <row r="4" spans="2:13" ht="10.5" customHeight="1" x14ac:dyDescent="0.25">
      <c r="H4" s="32"/>
      <c r="I4" s="1"/>
      <c r="M4" s="1"/>
    </row>
    <row r="5" spans="2:13" ht="6" customHeight="1" x14ac:dyDescent="0.25">
      <c r="B5" s="5"/>
      <c r="D5" s="5"/>
      <c r="H5" s="32"/>
      <c r="I5" s="1"/>
      <c r="M5" s="1"/>
    </row>
    <row r="6" spans="2:13" s="96" customFormat="1" ht="48" customHeight="1" x14ac:dyDescent="0.25">
      <c r="B6" s="150" t="s">
        <v>123</v>
      </c>
      <c r="C6" s="151" t="s">
        <v>38</v>
      </c>
      <c r="D6" s="150" t="s">
        <v>223</v>
      </c>
      <c r="E6" s="152" t="s">
        <v>197</v>
      </c>
      <c r="F6" s="150" t="s">
        <v>137</v>
      </c>
      <c r="G6" s="152" t="s">
        <v>187</v>
      </c>
      <c r="H6" s="152" t="s">
        <v>188</v>
      </c>
      <c r="I6" s="151" t="s">
        <v>191</v>
      </c>
      <c r="J6" s="151" t="s">
        <v>39</v>
      </c>
      <c r="K6" s="153" t="s">
        <v>122</v>
      </c>
      <c r="L6" s="151" t="s">
        <v>193</v>
      </c>
      <c r="M6" s="153" t="s">
        <v>133</v>
      </c>
    </row>
    <row r="7" spans="2:13" ht="48" customHeight="1" x14ac:dyDescent="0.25">
      <c r="B7" s="126">
        <v>44573</v>
      </c>
      <c r="C7" s="127" t="s">
        <v>21</v>
      </c>
      <c r="D7" s="127" t="s">
        <v>281</v>
      </c>
      <c r="E7" s="128">
        <f>DAY(Mercadorias[[#This Row],[Data de compra]])</f>
        <v>12</v>
      </c>
      <c r="F7" s="128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2</v>
      </c>
      <c r="G7" s="128" t="str">
        <f>PROPER(TEXT(Mercadorias[[#This Row],[Data de compra]],"mmmm"))</f>
        <v>Janeiro</v>
      </c>
      <c r="H7" s="128">
        <f>YEAR(Mercadorias[[#This Row],[Data de compra]])</f>
        <v>2022</v>
      </c>
      <c r="I7" s="129" t="s">
        <v>194</v>
      </c>
      <c r="J7" s="129">
        <v>5</v>
      </c>
      <c r="K7" s="130">
        <v>5</v>
      </c>
      <c r="L7" s="130">
        <f>IFERROR(Mercadorias[[#This Row],[Quantidade]]*Mercadorias[[#This Row],[Preço unitário]],"-")</f>
        <v>25</v>
      </c>
      <c r="M7" s="131" t="str">
        <f>IFERROR(IF(Mercadorias[[#Headers],[Data de compra]]="","-",PROPER(TEXT(WEEKDAY(Mercadorias[Data de compra],1),"dddd"))),"")</f>
        <v>Quarta-Feira</v>
      </c>
    </row>
    <row r="8" spans="2:13" ht="48" customHeight="1" x14ac:dyDescent="0.25">
      <c r="B8" s="126">
        <v>44573</v>
      </c>
      <c r="C8" s="127" t="s">
        <v>9</v>
      </c>
      <c r="D8" s="127" t="s">
        <v>271</v>
      </c>
      <c r="E8" s="128">
        <f>DAY(Mercadorias[[#This Row],[Data de compra]])</f>
        <v>12</v>
      </c>
      <c r="F8" s="128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2</v>
      </c>
      <c r="G8" s="128" t="str">
        <f>PROPER(TEXT(Mercadorias[[#This Row],[Data de compra]],"mmmm"))</f>
        <v>Janeiro</v>
      </c>
      <c r="H8" s="128">
        <f>YEAR(Mercadorias[[#This Row],[Data de compra]])</f>
        <v>2022</v>
      </c>
      <c r="I8" s="129" t="s">
        <v>195</v>
      </c>
      <c r="J8" s="129">
        <v>5</v>
      </c>
      <c r="K8" s="130">
        <v>7</v>
      </c>
      <c r="L8" s="130">
        <f>IFERROR(Mercadorias[[#This Row],[Quantidade]]*Mercadorias[[#This Row],[Preço unitário]],"-")</f>
        <v>35</v>
      </c>
      <c r="M8" s="131" t="str">
        <f>IFERROR(IF(Mercadorias[[#Headers],[Data de compra]]="","-",PROPER(TEXT(WEEKDAY(Mercadorias[Data de compra],1),"dddd"))),"")</f>
        <v>Quarta-Feira</v>
      </c>
    </row>
    <row r="9" spans="2:13" ht="48" customHeight="1" x14ac:dyDescent="0.25">
      <c r="B9" s="126">
        <v>44573</v>
      </c>
      <c r="C9" s="127" t="s">
        <v>26</v>
      </c>
      <c r="D9" s="127" t="s">
        <v>270</v>
      </c>
      <c r="E9" s="128">
        <f>DAY(Mercadorias[[#This Row],[Data de compra]])</f>
        <v>12</v>
      </c>
      <c r="F9" s="128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2</v>
      </c>
      <c r="G9" s="128" t="str">
        <f>PROPER(TEXT(Mercadorias[[#This Row],[Data de compra]],"mmmm"))</f>
        <v>Janeiro</v>
      </c>
      <c r="H9" s="128">
        <f>YEAR(Mercadorias[[#This Row],[Data de compra]])</f>
        <v>2022</v>
      </c>
      <c r="I9" s="129" t="s">
        <v>194</v>
      </c>
      <c r="J9" s="129">
        <v>5</v>
      </c>
      <c r="K9" s="130">
        <v>1</v>
      </c>
      <c r="L9" s="130">
        <f>IFERROR(Mercadorias[[#This Row],[Quantidade]]*Mercadorias[[#This Row],[Preço unitário]],"-")</f>
        <v>5</v>
      </c>
      <c r="M9" s="131" t="str">
        <f>IFERROR(IF(Mercadorias[[#Headers],[Data de compra]]="","-",PROPER(TEXT(WEEKDAY(Mercadorias[Data de compra],1),"dddd"))),"")</f>
        <v>Quarta-Feira</v>
      </c>
    </row>
    <row r="10" spans="2:13" ht="48" customHeight="1" x14ac:dyDescent="0.25">
      <c r="B10" s="126">
        <v>44573</v>
      </c>
      <c r="C10" s="127" t="s">
        <v>22</v>
      </c>
      <c r="D10" s="127" t="s">
        <v>269</v>
      </c>
      <c r="E10" s="128">
        <f>DAY(Mercadorias[[#This Row],[Data de compra]])</f>
        <v>12</v>
      </c>
      <c r="F10" s="128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2</v>
      </c>
      <c r="G10" s="128" t="str">
        <f>PROPER(TEXT(Mercadorias[[#This Row],[Data de compra]],"mmmm"))</f>
        <v>Janeiro</v>
      </c>
      <c r="H10" s="128">
        <f>YEAR(Mercadorias[[#This Row],[Data de compra]])</f>
        <v>2022</v>
      </c>
      <c r="I10" s="129" t="s">
        <v>195</v>
      </c>
      <c r="J10" s="129">
        <v>4</v>
      </c>
      <c r="K10" s="130">
        <v>5</v>
      </c>
      <c r="L10" s="130">
        <f>IFERROR(Mercadorias[[#This Row],[Quantidade]]*Mercadorias[[#This Row],[Preço unitário]],"-")</f>
        <v>20</v>
      </c>
      <c r="M10" s="131" t="str">
        <f>IFERROR(IF(Mercadorias[[#Headers],[Data de compra]]="","-",PROPER(TEXT(WEEKDAY(Mercadorias[Data de compra],1),"dddd"))),"")</f>
        <v>Quarta-Feira</v>
      </c>
    </row>
    <row r="11" spans="2:13" ht="48" customHeight="1" x14ac:dyDescent="0.25">
      <c r="B11" s="126">
        <v>44567</v>
      </c>
      <c r="C11" s="127" t="s">
        <v>26</v>
      </c>
      <c r="D11" s="127" t="s">
        <v>257</v>
      </c>
      <c r="E11" s="128">
        <f>DAY(Mercadorias[[#This Row],[Data de compra]])</f>
        <v>6</v>
      </c>
      <c r="F11" s="128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1</v>
      </c>
      <c r="G11" s="128" t="str">
        <f>PROPER(TEXT(Mercadorias[[#This Row],[Data de compra]],"mmmm"))</f>
        <v>Janeiro</v>
      </c>
      <c r="H11" s="128">
        <f>YEAR(Mercadorias[[#This Row],[Data de compra]])</f>
        <v>2022</v>
      </c>
      <c r="I11" s="129" t="s">
        <v>195</v>
      </c>
      <c r="J11" s="129">
        <v>5</v>
      </c>
      <c r="K11" s="130">
        <v>5</v>
      </c>
      <c r="L11" s="130">
        <f>IFERROR(Mercadorias[[#This Row],[Quantidade]]*Mercadorias[[#This Row],[Preço unitário]],"-")</f>
        <v>25</v>
      </c>
      <c r="M11" s="131" t="str">
        <f>IFERROR(IF(Mercadorias[[#Headers],[Data de compra]]="","-",PROPER(TEXT(WEEKDAY(Mercadorias[Data de compra],1),"dddd"))),"")</f>
        <v>Quinta-Feira</v>
      </c>
    </row>
    <row r="12" spans="2:13" ht="48" customHeight="1" x14ac:dyDescent="0.25">
      <c r="B12" s="126">
        <v>44566</v>
      </c>
      <c r="C12" s="127" t="s">
        <v>9</v>
      </c>
      <c r="D12" s="127" t="s">
        <v>256</v>
      </c>
      <c r="E12" s="128">
        <f>DAY(Mercadorias[[#This Row],[Data de compra]])</f>
        <v>5</v>
      </c>
      <c r="F12" s="128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1</v>
      </c>
      <c r="G12" s="128" t="str">
        <f>PROPER(TEXT(Mercadorias[[#This Row],[Data de compra]],"mmmm"))</f>
        <v>Janeiro</v>
      </c>
      <c r="H12" s="128">
        <f>YEAR(Mercadorias[[#This Row],[Data de compra]])</f>
        <v>2022</v>
      </c>
      <c r="I12" s="129" t="s">
        <v>195</v>
      </c>
      <c r="J12" s="129">
        <v>1</v>
      </c>
      <c r="K12" s="130">
        <v>2</v>
      </c>
      <c r="L12" s="130">
        <f>IFERROR(Mercadorias[[#This Row],[Quantidade]]*Mercadorias[[#This Row],[Preço unitário]],"-")</f>
        <v>2</v>
      </c>
      <c r="M12" s="131" t="str">
        <f>IFERROR(IF(Mercadorias[[#Headers],[Data de compra]]="","-",PROPER(TEXT(WEEKDAY(Mercadorias[Data de compra],1),"dddd"))),"")</f>
        <v>Quarta-Feira</v>
      </c>
    </row>
    <row r="13" spans="2:13" ht="48" customHeight="1" x14ac:dyDescent="0.25">
      <c r="B13" s="144">
        <v>44566</v>
      </c>
      <c r="C13" s="145" t="s">
        <v>21</v>
      </c>
      <c r="D13" s="145" t="s">
        <v>247</v>
      </c>
      <c r="E13" s="146">
        <f>DAY(Mercadorias[[#This Row],[Data de compra]])</f>
        <v>5</v>
      </c>
      <c r="F13" s="146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1</v>
      </c>
      <c r="G13" s="146" t="str">
        <f>PROPER(TEXT(Mercadorias[[#This Row],[Data de compra]],"mmmm"))</f>
        <v>Janeiro</v>
      </c>
      <c r="H13" s="146">
        <f>YEAR(Mercadorias[[#This Row],[Data de compra]])</f>
        <v>2022</v>
      </c>
      <c r="I13" s="147" t="s">
        <v>194</v>
      </c>
      <c r="J13" s="147">
        <v>5</v>
      </c>
      <c r="K13" s="148">
        <v>5</v>
      </c>
      <c r="L13" s="148">
        <f>IFERROR(Mercadorias[[#This Row],[Quantidade]]*Mercadorias[[#This Row],[Preço unitário]],"-")</f>
        <v>25</v>
      </c>
      <c r="M13" s="149" t="str">
        <f>IFERROR(IF(Mercadorias[[#Headers],[Data de compra]]="","-",PROPER(TEXT(WEEKDAY(Mercadorias[Data de compra],1),"dddd"))),"")</f>
        <v>Quarta-Feira</v>
      </c>
    </row>
    <row r="14" spans="2:13" ht="48" customHeight="1" x14ac:dyDescent="0.25">
      <c r="B14" s="132">
        <v>44565</v>
      </c>
      <c r="C14" s="133" t="s">
        <v>29</v>
      </c>
      <c r="D14" s="133" t="s">
        <v>227</v>
      </c>
      <c r="E14" s="134">
        <f>DAY(Mercadorias[[#This Row],[Data de compra]])</f>
        <v>4</v>
      </c>
      <c r="F14" s="134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1</v>
      </c>
      <c r="G14" s="134" t="str">
        <f>PROPER(TEXT(Mercadorias[[#This Row],[Data de compra]],"mmmm"))</f>
        <v>Janeiro</v>
      </c>
      <c r="H14" s="134">
        <f>YEAR(Mercadorias[[#This Row],[Data de compra]])</f>
        <v>2022</v>
      </c>
      <c r="I14" s="135" t="s">
        <v>194</v>
      </c>
      <c r="J14" s="135">
        <v>2</v>
      </c>
      <c r="K14" s="136">
        <v>1</v>
      </c>
      <c r="L14" s="136">
        <f>IFERROR(Mercadorias[[#This Row],[Quantidade]]*Mercadorias[[#This Row],[Preço unitário]],"-")</f>
        <v>2</v>
      </c>
      <c r="M14" s="137" t="str">
        <f>IFERROR(IF(Mercadorias[[#Headers],[Data de compra]]="","-",PROPER(TEXT(WEEKDAY(Mercadorias[Data de compra],1),"dddd"))),"")</f>
        <v>Terça-Feira</v>
      </c>
    </row>
    <row r="15" spans="2:13" ht="48" customHeight="1" x14ac:dyDescent="0.25">
      <c r="B15" s="132">
        <v>44565</v>
      </c>
      <c r="C15" s="133" t="s">
        <v>9</v>
      </c>
      <c r="D15" s="133" t="s">
        <v>226</v>
      </c>
      <c r="E15" s="134">
        <f>DAY(Mercadorias[[#This Row],[Data de compra]])</f>
        <v>4</v>
      </c>
      <c r="F15" s="134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1</v>
      </c>
      <c r="G15" s="134" t="str">
        <f>PROPER(TEXT(Mercadorias[[#This Row],[Data de compra]],"mmmm"))</f>
        <v>Janeiro</v>
      </c>
      <c r="H15" s="134">
        <f>YEAR(Mercadorias[[#This Row],[Data de compra]])</f>
        <v>2022</v>
      </c>
      <c r="I15" s="135" t="s">
        <v>195</v>
      </c>
      <c r="J15" s="135">
        <v>5</v>
      </c>
      <c r="K15" s="136">
        <v>1</v>
      </c>
      <c r="L15" s="136">
        <f>IFERROR(Mercadorias[[#This Row],[Quantidade]]*Mercadorias[[#This Row],[Preço unitário]],"-")</f>
        <v>5</v>
      </c>
      <c r="M15" s="137" t="str">
        <f>IFERROR(IF(Mercadorias[[#Headers],[Data de compra]]="","-",PROPER(TEXT(WEEKDAY(Mercadorias[Data de compra],1),"dddd"))),"")</f>
        <v>Terça-Feira</v>
      </c>
    </row>
    <row r="16" spans="2:13" ht="48" customHeight="1" x14ac:dyDescent="0.25">
      <c r="B16" s="138">
        <v>44565</v>
      </c>
      <c r="C16" s="139" t="s">
        <v>21</v>
      </c>
      <c r="D16" s="139" t="s">
        <v>225</v>
      </c>
      <c r="E16" s="140">
        <f>DAY(Mercadorias[[#This Row],[Data de compra]])</f>
        <v>4</v>
      </c>
      <c r="F16" s="140">
        <f>_xlfn.IFS(AND(Mercadorias[[#This Row],[Dia]]&gt;=1,Mercadorias[[#This Row],[Dia]]&lt;=7),1,AND(Mercadorias[[#This Row],[Dia]]&gt;=8,Mercadorias[[#This Row],[Dia]]&lt;=14),2,AND(Mercadorias[[#This Row],[Dia]]&gt;=15,Mercadorias[[#This Row],[Dia]]&lt;=21),3,AND(Mercadorias[[#This Row],[Dia]]&gt;=22),4)</f>
        <v>1</v>
      </c>
      <c r="G16" s="140" t="str">
        <f>PROPER(TEXT(Mercadorias[[#This Row],[Data de compra]],"mmmm"))</f>
        <v>Janeiro</v>
      </c>
      <c r="H16" s="140">
        <f>YEAR(Mercadorias[[#This Row],[Data de compra]])</f>
        <v>2022</v>
      </c>
      <c r="I16" s="141" t="s">
        <v>194</v>
      </c>
      <c r="J16" s="141">
        <v>5</v>
      </c>
      <c r="K16" s="142">
        <v>1</v>
      </c>
      <c r="L16" s="142">
        <f>IFERROR(Mercadorias[[#This Row],[Quantidade]]*Mercadorias[[#This Row],[Preço unitário]],"-")</f>
        <v>5</v>
      </c>
      <c r="M16" s="143" t="str">
        <f>IFERROR(IF(Mercadorias[[#Headers],[Data de compra]]="","-",PROPER(TEXT(WEEKDAY(Mercadorias[Data de compra],1),"dddd"))),"")</f>
        <v>Terça-Feira</v>
      </c>
    </row>
    <row r="18" spans="2:7" ht="48" customHeight="1" x14ac:dyDescent="0.25">
      <c r="B18"/>
      <c r="C18"/>
      <c r="D18"/>
      <c r="E18" s="30"/>
      <c r="F18" s="30"/>
      <c r="G18"/>
    </row>
    <row r="41" spans="3:3" ht="48" customHeight="1" thickBot="1" x14ac:dyDescent="0.3">
      <c r="C41" s="16"/>
    </row>
  </sheetData>
  <mergeCells count="1">
    <mergeCell ref="J2:K2"/>
  </mergeCells>
  <phoneticPr fontId="20" type="noConversion"/>
  <conditionalFormatting sqref="B7:M16">
    <cfRule type="expression" dxfId="212" priority="2">
      <formula>$I7="Compra"</formula>
    </cfRule>
  </conditionalFormatting>
  <conditionalFormatting sqref="B7:M16">
    <cfRule type="expression" dxfId="211" priority="1">
      <formula>$I7="Perda"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B24499-FE87-47DB-A16A-4B911736BC7B}">
          <x14:formula1>
            <xm:f>Produtos!$C$4:$C$27</xm:f>
          </x14:formula1>
          <xm:sqref>C7:C16 I7:I16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1:O34"/>
  <sheetViews>
    <sheetView showGridLines="0" showRowColHeaders="0" topLeftCell="B1" zoomScale="70" zoomScaleNormal="70" workbookViewId="0">
      <pane ySplit="7" topLeftCell="A8" activePane="bottomLeft" state="frozen"/>
      <selection activeCell="B1" sqref="B1"/>
      <selection pane="bottomLeft"/>
    </sheetView>
  </sheetViews>
  <sheetFormatPr defaultRowHeight="48" customHeight="1" outlineLevelCol="1" x14ac:dyDescent="0.45"/>
  <cols>
    <col min="1" max="1" width="0" style="6" hidden="1" customWidth="1"/>
    <col min="2" max="2" width="32.140625" style="83" bestFit="1" customWidth="1"/>
    <col min="3" max="3" width="47.28515625" style="83" hidden="1" customWidth="1" outlineLevel="1"/>
    <col min="4" max="4" width="55.85546875" style="84" hidden="1" customWidth="1" outlineLevel="1"/>
    <col min="5" max="5" width="37.28515625" style="85" hidden="1" customWidth="1" outlineLevel="1"/>
    <col min="6" max="6" width="59.5703125" style="86" hidden="1" customWidth="1" outlineLevel="1"/>
    <col min="7" max="7" width="46.28515625" style="86" hidden="1" customWidth="1" outlineLevel="1"/>
    <col min="8" max="8" width="62.5703125" style="87" hidden="1" customWidth="1" outlineLevel="1"/>
    <col min="9" max="9" width="60.7109375" style="88" hidden="1" customWidth="1" outlineLevel="1"/>
    <col min="10" max="10" width="95.7109375" style="75" customWidth="1" collapsed="1"/>
    <col min="11" max="11" width="45" style="92" customWidth="1"/>
    <col min="12" max="12" width="43.42578125" style="83" bestFit="1" customWidth="1"/>
    <col min="13" max="13" width="45.7109375" style="6" bestFit="1" customWidth="1"/>
    <col min="14" max="14" width="14.140625" style="6" customWidth="1"/>
    <col min="15" max="15" width="25" style="6" customWidth="1"/>
    <col min="16" max="16" width="25.42578125" style="6" customWidth="1"/>
    <col min="17" max="16384" width="9.140625" style="6"/>
  </cols>
  <sheetData>
    <row r="1" spans="2:15" s="71" customFormat="1" ht="129.75" customHeight="1" x14ac:dyDescent="0.25"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2:15" customFormat="1" ht="97.5" customHeight="1" x14ac:dyDescent="0.45"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2:15" s="1" customFormat="1" ht="42" customHeight="1" x14ac:dyDescent="0.25">
      <c r="B3" s="171" t="s">
        <v>250</v>
      </c>
      <c r="C3" s="163"/>
      <c r="D3" s="164"/>
      <c r="E3" s="165"/>
      <c r="F3" s="166"/>
      <c r="G3" s="166"/>
      <c r="H3" s="167"/>
      <c r="I3" s="168"/>
      <c r="J3" s="166"/>
      <c r="K3" s="82"/>
      <c r="L3" s="76"/>
    </row>
    <row r="4" spans="2:15" s="1" customFormat="1" ht="48" hidden="1" customHeight="1" x14ac:dyDescent="0.25">
      <c r="B4" s="76"/>
      <c r="C4" s="76"/>
      <c r="D4" s="77"/>
      <c r="E4" s="78"/>
      <c r="F4" s="79"/>
      <c r="G4" s="79"/>
      <c r="H4" s="80"/>
      <c r="I4" s="81"/>
      <c r="J4" s="79"/>
      <c r="K4" s="82"/>
      <c r="L4" s="76"/>
    </row>
    <row r="5" spans="2:15" s="1" customFormat="1" ht="48" hidden="1" customHeight="1" x14ac:dyDescent="0.45">
      <c r="B5" s="76"/>
      <c r="C5" s="76"/>
      <c r="D5" s="77"/>
      <c r="E5" s="78"/>
      <c r="F5" s="79"/>
      <c r="G5" s="79"/>
      <c r="H5" s="80"/>
      <c r="I5" s="81"/>
      <c r="J5" s="79"/>
      <c r="K5" s="82"/>
      <c r="L5" s="75"/>
      <c r="M5"/>
      <c r="N5"/>
    </row>
    <row r="6" spans="2:15" ht="48" hidden="1" customHeight="1" x14ac:dyDescent="0.45">
      <c r="J6" s="86"/>
      <c r="K6" s="89"/>
      <c r="L6" s="75"/>
      <c r="M6"/>
      <c r="N6"/>
    </row>
    <row r="7" spans="2:15" ht="48" customHeight="1" x14ac:dyDescent="0.25">
      <c r="B7" s="76" t="s">
        <v>54</v>
      </c>
      <c r="C7" s="76" t="s">
        <v>208</v>
      </c>
      <c r="D7" s="76" t="s">
        <v>207</v>
      </c>
      <c r="E7" s="76" t="s">
        <v>214</v>
      </c>
      <c r="F7" s="76" t="s">
        <v>218</v>
      </c>
      <c r="G7" s="76" t="s">
        <v>216</v>
      </c>
      <c r="H7" s="76" t="s">
        <v>213</v>
      </c>
      <c r="I7" s="76" t="s">
        <v>210</v>
      </c>
      <c r="J7" s="76" t="s">
        <v>209</v>
      </c>
      <c r="K7" s="76" t="s">
        <v>211</v>
      </c>
      <c r="L7" s="76" t="s">
        <v>219</v>
      </c>
      <c r="M7"/>
      <c r="N7"/>
      <c r="O7"/>
    </row>
    <row r="8" spans="2:15" ht="48" customHeight="1" x14ac:dyDescent="0.25">
      <c r="B8" s="76" t="s">
        <v>258</v>
      </c>
      <c r="C8" s="77">
        <v>44567</v>
      </c>
      <c r="D8" s="77">
        <v>44573</v>
      </c>
      <c r="E8" s="78">
        <v>1000</v>
      </c>
      <c r="F8" s="176">
        <v>2000</v>
      </c>
      <c r="G8" s="176">
        <v>0</v>
      </c>
      <c r="H8" s="80">
        <v>2</v>
      </c>
      <c r="I8" s="81">
        <v>100</v>
      </c>
      <c r="J8" s="79">
        <f>Tabela1[[#This Row],[Investimento Total]]-Tabela1[[#This Row],[Valor pago até o momento]]</f>
        <v>98000</v>
      </c>
      <c r="K8" s="90">
        <v>100000</v>
      </c>
      <c r="L8" s="90" t="str">
        <f>IF(Tabela1[[#This Row],[Valor restante para o término do investimento]]=0,"Pago","Faltam parcelas ainda")</f>
        <v>Faltam parcelas ainda</v>
      </c>
    </row>
    <row r="9" spans="2:15" ht="48" customHeight="1" x14ac:dyDescent="0.25">
      <c r="B9" s="76" t="s">
        <v>248</v>
      </c>
      <c r="C9" s="77">
        <v>44566</v>
      </c>
      <c r="D9" s="77">
        <v>44566</v>
      </c>
      <c r="E9" s="78">
        <v>150</v>
      </c>
      <c r="F9" s="176">
        <v>300</v>
      </c>
      <c r="G9" s="176">
        <v>0</v>
      </c>
      <c r="H9" s="80">
        <v>2</v>
      </c>
      <c r="I9" s="81">
        <v>1000</v>
      </c>
      <c r="J9" s="79">
        <f>Tabela1[[#This Row],[Investimento Total]]-Tabela1[[#This Row],[Valor pago até o momento]]</f>
        <v>149700</v>
      </c>
      <c r="K9" s="90">
        <v>150000</v>
      </c>
      <c r="L9" s="90" t="str">
        <f>IF(Tabela1[[#This Row],[Valor restante para o término do investimento]]=0,"Pago","Faltam parcelas ainda")</f>
        <v>Faltam parcelas ainda</v>
      </c>
    </row>
    <row r="10" spans="2:15" ht="48" customHeight="1" x14ac:dyDescent="0.25">
      <c r="B10" s="76" t="s">
        <v>217</v>
      </c>
      <c r="C10" s="77">
        <v>44562</v>
      </c>
      <c r="D10" s="77">
        <v>44562</v>
      </c>
      <c r="E10" s="78">
        <v>10</v>
      </c>
      <c r="F10" s="176">
        <v>120</v>
      </c>
      <c r="G10" s="176">
        <v>0</v>
      </c>
      <c r="H10" s="80">
        <v>12</v>
      </c>
      <c r="I10" s="81">
        <v>100</v>
      </c>
      <c r="J10" s="79">
        <f>Tabela1[[#This Row],[Investimento Total]]-Tabela1[[#This Row],[Valor pago até o momento]]</f>
        <v>880</v>
      </c>
      <c r="K10" s="90">
        <v>1000</v>
      </c>
      <c r="L10" s="90" t="str">
        <f>IF(Tabela1[[#This Row],[Valor restante para o término do investimento]]=0,"Pago","Faltam parcelas ainda")</f>
        <v>Faltam parcelas ainda</v>
      </c>
    </row>
    <row r="15" spans="2:15" ht="48" customHeight="1" x14ac:dyDescent="0.45">
      <c r="B15" s="91"/>
    </row>
    <row r="16" spans="2:15" ht="48" customHeight="1" x14ac:dyDescent="0.45">
      <c r="B16" s="91"/>
    </row>
    <row r="17" spans="2:14" ht="48" customHeight="1" x14ac:dyDescent="0.45">
      <c r="B17" s="91"/>
    </row>
    <row r="18" spans="2:14" ht="48" customHeight="1" x14ac:dyDescent="0.45">
      <c r="B18" s="91"/>
    </row>
    <row r="24" spans="2:14" ht="48" customHeight="1" x14ac:dyDescent="0.45">
      <c r="M24"/>
      <c r="N24"/>
    </row>
    <row r="25" spans="2:14" ht="48" customHeight="1" x14ac:dyDescent="0.45">
      <c r="M25"/>
      <c r="N25"/>
    </row>
    <row r="26" spans="2:14" ht="48" customHeight="1" x14ac:dyDescent="0.45">
      <c r="K26" s="75"/>
      <c r="L26" s="75"/>
      <c r="M26"/>
      <c r="N26"/>
    </row>
    <row r="27" spans="2:14" ht="48" customHeight="1" x14ac:dyDescent="0.45">
      <c r="K27" s="75"/>
      <c r="L27" s="75"/>
      <c r="M27"/>
      <c r="N27"/>
    </row>
    <row r="28" spans="2:14" ht="48" customHeight="1" x14ac:dyDescent="0.45">
      <c r="K28" s="75"/>
      <c r="L28" s="75"/>
      <c r="M28"/>
      <c r="N28"/>
    </row>
    <row r="29" spans="2:14" ht="48" customHeight="1" x14ac:dyDescent="0.45">
      <c r="K29" s="75"/>
      <c r="L29" s="75"/>
      <c r="M29"/>
      <c r="N29"/>
    </row>
    <row r="30" spans="2:14" ht="48" customHeight="1" x14ac:dyDescent="0.45">
      <c r="K30" s="75"/>
      <c r="L30" s="75"/>
      <c r="M30"/>
      <c r="N30"/>
    </row>
    <row r="31" spans="2:14" ht="48" customHeight="1" x14ac:dyDescent="0.45">
      <c r="K31" s="75"/>
      <c r="L31" s="75"/>
      <c r="M31"/>
      <c r="N31"/>
    </row>
    <row r="32" spans="2:14" ht="48" customHeight="1" x14ac:dyDescent="0.45">
      <c r="K32" s="75"/>
      <c r="L32" s="75"/>
      <c r="M32"/>
      <c r="N32"/>
    </row>
    <row r="33" spans="11:12" ht="48" customHeight="1" x14ac:dyDescent="0.45">
      <c r="K33" s="75"/>
      <c r="L33" s="75"/>
    </row>
    <row r="34" spans="11:12" ht="48" customHeight="1" x14ac:dyDescent="0.45">
      <c r="K34" s="75"/>
      <c r="L34" s="75"/>
    </row>
  </sheetData>
  <conditionalFormatting sqref="L8:L10">
    <cfRule type="expression" dxfId="193" priority="1">
      <formula>$L8 = "Pago"</formula>
    </cfRule>
    <cfRule type="expression" dxfId="192" priority="2">
      <formula>$L8 = "Faltam parcelas ainda"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G28"/>
  <sheetViews>
    <sheetView showGridLines="0" showRowColHeaders="0" zoomScale="70" zoomScaleNormal="70" workbookViewId="0">
      <pane ySplit="4" topLeftCell="A5" activePane="bottomLeft" state="frozen"/>
      <selection pane="bottomLeft"/>
    </sheetView>
  </sheetViews>
  <sheetFormatPr defaultColWidth="20.7109375" defaultRowHeight="15" x14ac:dyDescent="0.25"/>
  <cols>
    <col min="1" max="1" width="43.7109375" style="1" customWidth="1"/>
    <col min="2" max="2" width="46.140625" style="1" customWidth="1"/>
    <col min="3" max="3" width="38.42578125" style="1" customWidth="1"/>
    <col min="4" max="4" width="40.85546875" style="1" customWidth="1"/>
    <col min="5" max="5" width="40.28515625" style="1" customWidth="1"/>
    <col min="6" max="7" width="38.42578125" style="1" customWidth="1"/>
    <col min="8" max="16384" width="20.7109375" style="1"/>
  </cols>
  <sheetData>
    <row r="1" spans="1:7" s="71" customFormat="1" ht="129.75" customHeight="1" x14ac:dyDescent="0.25"/>
    <row r="2" spans="1:7" customFormat="1" hidden="1" x14ac:dyDescent="0.25"/>
    <row r="3" spans="1:7" ht="30.75" customHeight="1" x14ac:dyDescent="0.25">
      <c r="A3" s="172" t="s">
        <v>252</v>
      </c>
      <c r="B3" s="173"/>
      <c r="C3" s="174"/>
    </row>
    <row r="4" spans="1:7" ht="42" customHeight="1" x14ac:dyDescent="0.25">
      <c r="A4" s="76" t="s">
        <v>56</v>
      </c>
      <c r="B4" s="76" t="s">
        <v>57</v>
      </c>
      <c r="C4" s="76" t="s">
        <v>58</v>
      </c>
      <c r="D4" s="76" t="s">
        <v>259</v>
      </c>
      <c r="E4" s="76" t="s">
        <v>59</v>
      </c>
      <c r="F4" s="76" t="s">
        <v>60</v>
      </c>
      <c r="G4" s="76" t="s">
        <v>61</v>
      </c>
    </row>
    <row r="5" spans="1:7" ht="42" customHeight="1" x14ac:dyDescent="0.25">
      <c r="A5" s="76" t="s">
        <v>12</v>
      </c>
      <c r="B5" s="77" t="str">
        <f>IFERROR(INDEX(Mercadorias[],MATCH(Tabela3[[#This Row],[Produto]],Mercadorias[Mercadoria],0),1),"-")</f>
        <v>-</v>
      </c>
      <c r="C5" s="76">
        <v>15</v>
      </c>
      <c r="D5" s="76"/>
      <c r="E5" s="76">
        <f>SUMIF(Mercadorias[Mercadoria],Tabela3[[#This Row],[Produto]],Mercadorias[Quantidade])</f>
        <v>0</v>
      </c>
      <c r="F5" s="76">
        <f>Tabela3[[#This Row],[Quantidade Inicial]]+Tabela3[[#This Row],[Quantidade Comprada]]-Tabela3[[#This Row],[Quantidade Usada]]</f>
        <v>15</v>
      </c>
      <c r="G5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6" spans="1:7" ht="42" customHeight="1" x14ac:dyDescent="0.25">
      <c r="A6" s="76" t="s">
        <v>21</v>
      </c>
      <c r="B6" s="77">
        <f>IFERROR(INDEX(Mercadorias[],MATCH(Tabela3[[#This Row],[Produto]],Mercadorias[Mercadoria],0),1),"-")</f>
        <v>44573</v>
      </c>
      <c r="C6" s="76">
        <v>10</v>
      </c>
      <c r="D6" s="76"/>
      <c r="E6" s="76">
        <f>SUMIF(Mercadorias[Mercadoria],Tabela3[[#This Row],[Produto]],Mercadorias[Quantidade])</f>
        <v>15</v>
      </c>
      <c r="F6" s="76">
        <f>Tabela3[[#This Row],[Quantidade Inicial]]+Tabela3[[#This Row],[Quantidade Comprada]]-Tabela3[[#This Row],[Quantidade Usada]]</f>
        <v>25</v>
      </c>
      <c r="G6" s="76" t="str">
        <f>IF(Tabela3[[#This Row],[Quantidade Atual]]&gt;50, "OK", IF(AND(Tabela3[[#This Row],[Quantidade Atual]]&lt;=50,Tabela3[[#This Row],[Quantidade Atual]]&gt;=20),"Atenção","Compra Obrigatória"))</f>
        <v>Atenção</v>
      </c>
    </row>
    <row r="7" spans="1:7" ht="42" customHeight="1" x14ac:dyDescent="0.25">
      <c r="A7" s="76" t="s">
        <v>9</v>
      </c>
      <c r="B7" s="77">
        <f>IFERROR(INDEX(Mercadorias[],MATCH(Tabela3[[#This Row],[Produto]],Mercadorias[Mercadoria],0),1),"-")</f>
        <v>44573</v>
      </c>
      <c r="C7" s="76">
        <v>0</v>
      </c>
      <c r="D7" s="76"/>
      <c r="E7" s="76">
        <f>SUMIF(Mercadorias[Mercadoria],Tabela3[[#This Row],[Produto]],Mercadorias[Quantidade])</f>
        <v>11</v>
      </c>
      <c r="F7" s="76">
        <f>Tabela3[[#This Row],[Quantidade Inicial]]+Tabela3[[#This Row],[Quantidade Comprada]]-Tabela3[[#This Row],[Quantidade Usada]]</f>
        <v>11</v>
      </c>
      <c r="G7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8" spans="1:7" ht="42" customHeight="1" x14ac:dyDescent="0.25">
      <c r="A8" s="76" t="s">
        <v>26</v>
      </c>
      <c r="B8" s="77">
        <f>IFERROR(INDEX(Mercadorias[],MATCH(Tabela3[[#This Row],[Produto]],Mercadorias[Mercadoria],0),1),"-")</f>
        <v>44573</v>
      </c>
      <c r="C8" s="76">
        <v>0</v>
      </c>
      <c r="D8" s="76"/>
      <c r="E8" s="76">
        <f>SUMIF(Mercadorias[Mercadoria],Tabela3[[#This Row],[Produto]],Mercadorias[Quantidade])</f>
        <v>10</v>
      </c>
      <c r="F8" s="76">
        <f>Tabela3[[#This Row],[Quantidade Inicial]]+Tabela3[[#This Row],[Quantidade Comprada]]-Tabela3[[#This Row],[Quantidade Usada]]</f>
        <v>10</v>
      </c>
      <c r="G8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9" spans="1:7" ht="42" customHeight="1" x14ac:dyDescent="0.25">
      <c r="A9" s="76" t="s">
        <v>29</v>
      </c>
      <c r="B9" s="77">
        <f>IFERROR(INDEX(Mercadorias[],MATCH(Tabela3[[#This Row],[Produto]],Mercadorias[Mercadoria],0),1),"-")</f>
        <v>44565</v>
      </c>
      <c r="C9" s="76">
        <v>150</v>
      </c>
      <c r="D9" s="76"/>
      <c r="E9" s="76">
        <f>SUMIF(Mercadorias[Mercadoria],Tabela3[[#This Row],[Produto]],Mercadorias[Quantidade])</f>
        <v>2</v>
      </c>
      <c r="F9" s="76">
        <f>Tabela3[[#This Row],[Quantidade Inicial]]+Tabela3[[#This Row],[Quantidade Comprada]]-Tabela3[[#This Row],[Quantidade Usada]]</f>
        <v>152</v>
      </c>
      <c r="G9" s="76" t="str">
        <f>IF(Tabela3[[#This Row],[Quantidade Atual]]&gt;50, "OK", IF(AND(Tabela3[[#This Row],[Quantidade Atual]]&lt;=50,Tabela3[[#This Row],[Quantidade Atual]]&gt;=20),"Atenção","Compra Obrigatória"))</f>
        <v>OK</v>
      </c>
    </row>
    <row r="10" spans="1:7" ht="42" customHeight="1" x14ac:dyDescent="0.25">
      <c r="A10" s="76" t="s">
        <v>46</v>
      </c>
      <c r="B10" s="77" t="str">
        <f>IFERROR(INDEX(Mercadorias[],MATCH(Tabela3[[#This Row],[Produto]],Mercadorias[Mercadoria],0),1),"-")</f>
        <v>-</v>
      </c>
      <c r="C10" s="76">
        <v>15</v>
      </c>
      <c r="D10" s="76"/>
      <c r="E10" s="76">
        <f>SUMIF(Mercadorias[Mercadoria],Tabela3[[#This Row],[Produto]],Mercadorias[Quantidade])</f>
        <v>0</v>
      </c>
      <c r="F10" s="76">
        <f>Tabela3[[#This Row],[Quantidade Inicial]]+Tabela3[[#This Row],[Quantidade Comprada]]-Tabela3[[#This Row],[Quantidade Usada]]</f>
        <v>15</v>
      </c>
      <c r="G10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11" spans="1:7" ht="42" customHeight="1" x14ac:dyDescent="0.25">
      <c r="A11" s="76" t="s">
        <v>25</v>
      </c>
      <c r="B11" s="77" t="str">
        <f>IFERROR(INDEX(Mercadorias[],MATCH(Tabela3[[#This Row],[Produto]],Mercadorias[Mercadoria],0),1),"-")</f>
        <v>-</v>
      </c>
      <c r="C11" s="76">
        <v>25</v>
      </c>
      <c r="D11" s="76"/>
      <c r="E11" s="76">
        <f>SUMIF(Mercadorias[Mercadoria],Tabela3[[#This Row],[Produto]],Mercadorias[Quantidade])</f>
        <v>0</v>
      </c>
      <c r="F11" s="76">
        <f>Tabela3[[#This Row],[Quantidade Inicial]]+Tabela3[[#This Row],[Quantidade Comprada]]-Tabela3[[#This Row],[Quantidade Usada]]</f>
        <v>25</v>
      </c>
      <c r="G11" s="76" t="str">
        <f>IF(Tabela3[[#This Row],[Quantidade Atual]]&gt;50, "OK", IF(AND(Tabela3[[#This Row],[Quantidade Atual]]&lt;=50,Tabela3[[#This Row],[Quantidade Atual]]&gt;=20),"Atenção","Compra Obrigatória"))</f>
        <v>Atenção</v>
      </c>
    </row>
    <row r="12" spans="1:7" ht="42" customHeight="1" x14ac:dyDescent="0.25">
      <c r="A12" s="76" t="s">
        <v>13</v>
      </c>
      <c r="B12" s="77" t="str">
        <f>IFERROR(INDEX(Mercadorias[],MATCH(Tabela3[[#This Row],[Produto]],Mercadorias[Mercadoria],0),1),"-")</f>
        <v>-</v>
      </c>
      <c r="C12" s="76">
        <v>0</v>
      </c>
      <c r="D12" s="76"/>
      <c r="E12" s="76">
        <f>SUMIF(Mercadorias[Mercadoria],Tabela3[[#This Row],[Produto]],Mercadorias[Quantidade])</f>
        <v>0</v>
      </c>
      <c r="F12" s="76">
        <f>Tabela3[[#This Row],[Quantidade Inicial]]+Tabela3[[#This Row],[Quantidade Comprada]]-Tabela3[[#This Row],[Quantidade Usada]]</f>
        <v>0</v>
      </c>
      <c r="G12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13" spans="1:7" ht="42" customHeight="1" x14ac:dyDescent="0.25">
      <c r="A13" s="76" t="s">
        <v>19</v>
      </c>
      <c r="B13" s="77" t="str">
        <f>IFERROR(INDEX(Mercadorias[],MATCH(Tabela3[[#This Row],[Produto]],Mercadorias[Mercadoria],0),1),"-")</f>
        <v>-</v>
      </c>
      <c r="C13" s="76">
        <v>0</v>
      </c>
      <c r="D13" s="76"/>
      <c r="E13" s="76">
        <f>SUMIF(Mercadorias[Mercadoria],Tabela3[[#This Row],[Produto]],Mercadorias[Quantidade])</f>
        <v>0</v>
      </c>
      <c r="F13" s="76">
        <f>Tabela3[[#This Row],[Quantidade Inicial]]+Tabela3[[#This Row],[Quantidade Comprada]]-Tabela3[[#This Row],[Quantidade Usada]]</f>
        <v>0</v>
      </c>
      <c r="G13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14" spans="1:7" ht="42" customHeight="1" x14ac:dyDescent="0.25">
      <c r="A14" s="76" t="s">
        <v>22</v>
      </c>
      <c r="B14" s="77">
        <f>IFERROR(INDEX(Mercadorias[],MATCH(Tabela3[[#This Row],[Produto]],Mercadorias[Mercadoria],0),1),"-")</f>
        <v>44573</v>
      </c>
      <c r="C14" s="76">
        <v>30</v>
      </c>
      <c r="D14" s="93"/>
      <c r="E14" s="76">
        <f>SUMIF(Mercadorias[Mercadoria],Tabela3[[#This Row],[Produto]],Mercadorias[Quantidade])</f>
        <v>4</v>
      </c>
      <c r="F14" s="76">
        <f>Tabela3[[#This Row],[Quantidade Inicial]]+Tabela3[[#This Row],[Quantidade Comprada]]-Tabela3[[#This Row],[Quantidade Usada]]</f>
        <v>34</v>
      </c>
      <c r="G14" s="76" t="str">
        <f>IF(Tabela3[[#This Row],[Quantidade Atual]]&gt;50, "OK", IF(AND(Tabela3[[#This Row],[Quantidade Atual]]&lt;=50,Tabela3[[#This Row],[Quantidade Atual]]&gt;=20),"Atenção","Compra Obrigatória"))</f>
        <v>Atenção</v>
      </c>
    </row>
    <row r="15" spans="1:7" ht="42" customHeight="1" x14ac:dyDescent="0.25">
      <c r="A15" s="76" t="s">
        <v>27</v>
      </c>
      <c r="B15" s="77" t="str">
        <f>IFERROR(INDEX(Mercadorias[],MATCH(Tabela3[[#This Row],[Produto]],Mercadorias[Mercadoria],0),1),"-")</f>
        <v>-</v>
      </c>
      <c r="C15" s="76">
        <v>0</v>
      </c>
      <c r="D15" s="76"/>
      <c r="E15" s="76">
        <f>SUMIF(Mercadorias[Mercadoria],Tabela3[[#This Row],[Produto]],Mercadorias[Quantidade])</f>
        <v>0</v>
      </c>
      <c r="F15" s="76">
        <f>Tabela3[[#This Row],[Quantidade Inicial]]+Tabela3[[#This Row],[Quantidade Comprada]]-Tabela3[[#This Row],[Quantidade Usada]]</f>
        <v>0</v>
      </c>
      <c r="G15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16" spans="1:7" ht="42" customHeight="1" x14ac:dyDescent="0.25">
      <c r="A16" s="76" t="s">
        <v>28</v>
      </c>
      <c r="B16" s="77" t="str">
        <f>IFERROR(INDEX(Mercadorias[],MATCH(Tabela3[[#This Row],[Produto]],Mercadorias[Mercadoria],0),1),"-")</f>
        <v>-</v>
      </c>
      <c r="C16" s="76">
        <v>0</v>
      </c>
      <c r="D16" s="76"/>
      <c r="E16" s="76">
        <f>SUMIF(Mercadorias[Mercadoria],Tabela3[[#This Row],[Produto]],Mercadorias[Quantidade])</f>
        <v>0</v>
      </c>
      <c r="F16" s="76">
        <f>Tabela3[[#This Row],[Quantidade Inicial]]+Tabela3[[#This Row],[Quantidade Comprada]]-Tabela3[[#This Row],[Quantidade Usada]]</f>
        <v>0</v>
      </c>
      <c r="G16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17" spans="1:7" ht="42" customHeight="1" x14ac:dyDescent="0.25">
      <c r="A17" s="76" t="s">
        <v>24</v>
      </c>
      <c r="B17" s="77" t="str">
        <f>IFERROR(INDEX(Mercadorias[],MATCH(Tabela3[[#This Row],[Produto]],Mercadorias[Mercadoria],0),1),"-")</f>
        <v>-</v>
      </c>
      <c r="C17" s="76">
        <v>0</v>
      </c>
      <c r="D17" s="76"/>
      <c r="E17" s="76">
        <f>SUMIF(Mercadorias[Mercadoria],Tabela3[[#This Row],[Produto]],Mercadorias[Quantidade])</f>
        <v>0</v>
      </c>
      <c r="F17" s="76">
        <f>Tabela3[[#This Row],[Quantidade Inicial]]+Tabela3[[#This Row],[Quantidade Comprada]]-Tabela3[[#This Row],[Quantidade Usada]]</f>
        <v>0</v>
      </c>
      <c r="G17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18" spans="1:7" ht="42" customHeight="1" x14ac:dyDescent="0.25">
      <c r="A18" s="76" t="s">
        <v>10</v>
      </c>
      <c r="B18" s="77" t="str">
        <f>IFERROR(INDEX(Mercadorias[],MATCH(Tabela3[[#This Row],[Produto]],Mercadorias[Mercadoria],0),1),"-")</f>
        <v>-</v>
      </c>
      <c r="C18" s="76">
        <v>0</v>
      </c>
      <c r="D18" s="76"/>
      <c r="E18" s="76">
        <f>SUMIF(Mercadorias[Mercadoria],Tabela3[[#This Row],[Produto]],Mercadorias[Quantidade])</f>
        <v>0</v>
      </c>
      <c r="F18" s="76">
        <f>Tabela3[[#This Row],[Quantidade Inicial]]+Tabela3[[#This Row],[Quantidade Comprada]]-Tabela3[[#This Row],[Quantidade Usada]]</f>
        <v>0</v>
      </c>
      <c r="G18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19" spans="1:7" ht="42" customHeight="1" x14ac:dyDescent="0.25">
      <c r="A19" s="76" t="s">
        <v>14</v>
      </c>
      <c r="B19" s="77" t="str">
        <f>IFERROR(INDEX(Mercadorias[],MATCH(Tabela3[[#This Row],[Produto]],Mercadorias[Mercadoria],0),1),"-")</f>
        <v>-</v>
      </c>
      <c r="C19" s="76">
        <v>39</v>
      </c>
      <c r="D19" s="76"/>
      <c r="E19" s="76">
        <f>SUMIF(Mercadorias[Mercadoria],Tabela3[[#This Row],[Produto]],Mercadorias[Quantidade])</f>
        <v>0</v>
      </c>
      <c r="F19" s="76">
        <f>Tabela3[[#This Row],[Quantidade Inicial]]+Tabela3[[#This Row],[Quantidade Comprada]]-Tabela3[[#This Row],[Quantidade Usada]]</f>
        <v>39</v>
      </c>
      <c r="G19" s="76" t="str">
        <f>IF(Tabela3[[#This Row],[Quantidade Atual]]&gt;50, "OK", IF(AND(Tabela3[[#This Row],[Quantidade Atual]]&lt;=50,Tabela3[[#This Row],[Quantidade Atual]]&gt;=20),"Atenção","Compra Obrigatória"))</f>
        <v>Atenção</v>
      </c>
    </row>
    <row r="20" spans="1:7" ht="42" customHeight="1" x14ac:dyDescent="0.25">
      <c r="A20" s="76" t="s">
        <v>51</v>
      </c>
      <c r="B20" s="77" t="str">
        <f>IFERROR(INDEX(Mercadorias[],MATCH(Tabela3[[#This Row],[Produto]],Mercadorias[Mercadoria],0),1),"-")</f>
        <v>-</v>
      </c>
      <c r="C20" s="76">
        <v>0</v>
      </c>
      <c r="D20" s="76"/>
      <c r="E20" s="76">
        <f>SUMIF(Mercadorias[Mercadoria],Tabela3[[#This Row],[Produto]],Mercadorias[Quantidade])</f>
        <v>0</v>
      </c>
      <c r="F20" s="76">
        <f>Tabela3[[#This Row],[Quantidade Inicial]]+Tabela3[[#This Row],[Quantidade Comprada]]-Tabela3[[#This Row],[Quantidade Usada]]</f>
        <v>0</v>
      </c>
      <c r="G20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21" spans="1:7" ht="42" customHeight="1" x14ac:dyDescent="0.25">
      <c r="A21" s="76" t="s">
        <v>15</v>
      </c>
      <c r="B21" s="77" t="str">
        <f>IFERROR(INDEX(Mercadorias[],MATCH(Tabela3[[#This Row],[Produto]],Mercadorias[Mercadoria],0),1),"-")</f>
        <v>-</v>
      </c>
      <c r="C21" s="76">
        <v>0</v>
      </c>
      <c r="D21" s="76"/>
      <c r="E21" s="76">
        <f>SUMIF(Mercadorias[Mercadoria],Tabela3[[#This Row],[Produto]],Mercadorias[Quantidade])</f>
        <v>0</v>
      </c>
      <c r="F21" s="76">
        <f>Tabela3[[#This Row],[Quantidade Inicial]]+Tabela3[[#This Row],[Quantidade Comprada]]-Tabela3[[#This Row],[Quantidade Usada]]</f>
        <v>0</v>
      </c>
      <c r="G21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22" spans="1:7" ht="42" customHeight="1" x14ac:dyDescent="0.25">
      <c r="A22" s="76" t="s">
        <v>16</v>
      </c>
      <c r="B22" s="77" t="str">
        <f>IFERROR(INDEX(Mercadorias[],MATCH(Tabela3[[#This Row],[Produto]],Mercadorias[Mercadoria],0),1),"-")</f>
        <v>-</v>
      </c>
      <c r="C22" s="76">
        <v>10</v>
      </c>
      <c r="D22" s="76"/>
      <c r="E22" s="76">
        <f>SUMIF(Mercadorias[Mercadoria],Tabela3[[#This Row],[Produto]],Mercadorias[Quantidade])</f>
        <v>0</v>
      </c>
      <c r="F22" s="76">
        <f>Tabela3[[#This Row],[Quantidade Inicial]]+Tabela3[[#This Row],[Quantidade Comprada]]-Tabela3[[#This Row],[Quantidade Usada]]</f>
        <v>10</v>
      </c>
      <c r="G22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23" spans="1:7" ht="42" customHeight="1" x14ac:dyDescent="0.25">
      <c r="A23" s="76" t="s">
        <v>52</v>
      </c>
      <c r="B23" s="77" t="str">
        <f>IFERROR(INDEX(Mercadorias[],MATCH(Tabela3[[#This Row],[Produto]],Mercadorias[Mercadoria],0),1),"-")</f>
        <v>-</v>
      </c>
      <c r="C23" s="76">
        <v>100</v>
      </c>
      <c r="D23" s="76"/>
      <c r="E23" s="76">
        <f>SUMIF(Mercadorias[Mercadoria],Tabela3[[#This Row],[Produto]],Mercadorias[Quantidade])</f>
        <v>0</v>
      </c>
      <c r="F23" s="76">
        <f>Tabela3[[#This Row],[Quantidade Inicial]]+Tabela3[[#This Row],[Quantidade Comprada]]-Tabela3[[#This Row],[Quantidade Usada]]</f>
        <v>100</v>
      </c>
      <c r="G23" s="76" t="str">
        <f>IF(Tabela3[[#This Row],[Quantidade Atual]]&gt;50, "OK", IF(AND(Tabela3[[#This Row],[Quantidade Atual]]&lt;=50,Tabela3[[#This Row],[Quantidade Atual]]&gt;=20),"Atenção","Compra Obrigatória"))</f>
        <v>OK</v>
      </c>
    </row>
    <row r="24" spans="1:7" ht="42" customHeight="1" x14ac:dyDescent="0.25">
      <c r="A24" s="76" t="s">
        <v>18</v>
      </c>
      <c r="B24" s="77" t="str">
        <f>IFERROR(INDEX(Mercadorias[],MATCH(Tabela3[[#This Row],[Produto]],Mercadorias[Mercadoria],0),1),"-")</f>
        <v>-</v>
      </c>
      <c r="C24" s="76">
        <v>0</v>
      </c>
      <c r="D24" s="76"/>
      <c r="E24" s="76">
        <f>SUMIF(Mercadorias[Mercadoria],Tabela3[[#This Row],[Produto]],Mercadorias[Quantidade])</f>
        <v>0</v>
      </c>
      <c r="F24" s="76">
        <f>Tabela3[[#This Row],[Quantidade Inicial]]+Tabela3[[#This Row],[Quantidade Comprada]]-Tabela3[[#This Row],[Quantidade Usada]]</f>
        <v>0</v>
      </c>
      <c r="G24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25" spans="1:7" ht="42" customHeight="1" x14ac:dyDescent="0.25">
      <c r="A25" s="76" t="s">
        <v>11</v>
      </c>
      <c r="B25" s="77" t="str">
        <f>IFERROR(INDEX(Mercadorias[],MATCH(Tabela3[[#This Row],[Produto]],Mercadorias[Mercadoria],0),1),"-")</f>
        <v>-</v>
      </c>
      <c r="C25" s="76">
        <v>30</v>
      </c>
      <c r="D25" s="76"/>
      <c r="E25" s="76">
        <f>SUMIF(Mercadorias[Mercadoria],Tabela3[[#This Row],[Produto]],Mercadorias[Quantidade])</f>
        <v>0</v>
      </c>
      <c r="F25" s="76">
        <f>Tabela3[[#This Row],[Quantidade Inicial]]+Tabela3[[#This Row],[Quantidade Comprada]]-Tabela3[[#This Row],[Quantidade Usada]]</f>
        <v>30</v>
      </c>
      <c r="G25" s="76" t="str">
        <f>IF(Tabela3[[#This Row],[Quantidade Atual]]&gt;50, "OK", IF(AND(Tabela3[[#This Row],[Quantidade Atual]]&lt;=50,Tabela3[[#This Row],[Quantidade Atual]]&gt;=20),"Atenção","Compra Obrigatória"))</f>
        <v>Atenção</v>
      </c>
    </row>
    <row r="26" spans="1:7" ht="42" customHeight="1" x14ac:dyDescent="0.25">
      <c r="A26" s="76" t="s">
        <v>20</v>
      </c>
      <c r="B26" s="77" t="str">
        <f>IFERROR(INDEX(Mercadorias[],MATCH(Tabela3[[#This Row],[Produto]],Mercadorias[Mercadoria],0),1),"-")</f>
        <v>-</v>
      </c>
      <c r="C26" s="76">
        <v>50</v>
      </c>
      <c r="D26" s="76"/>
      <c r="E26" s="76">
        <f>SUMIF(Mercadorias[Mercadoria],Tabela3[[#This Row],[Produto]],Mercadorias[Quantidade])</f>
        <v>0</v>
      </c>
      <c r="F26" s="76">
        <f>Tabela3[[#This Row],[Quantidade Inicial]]+Tabela3[[#This Row],[Quantidade Comprada]]-Tabela3[[#This Row],[Quantidade Usada]]</f>
        <v>50</v>
      </c>
      <c r="G26" s="76" t="str">
        <f>IF(Tabela3[[#This Row],[Quantidade Atual]]&gt;50, "OK", IF(AND(Tabela3[[#This Row],[Quantidade Atual]]&lt;=50,Tabela3[[#This Row],[Quantidade Atual]]&gt;=20),"Atenção","Compra Obrigatória"))</f>
        <v>Atenção</v>
      </c>
    </row>
    <row r="27" spans="1:7" ht="42" customHeight="1" x14ac:dyDescent="0.25">
      <c r="A27" s="76" t="s">
        <v>17</v>
      </c>
      <c r="B27" s="77" t="str">
        <f>IFERROR(INDEX(Mercadorias[],MATCH(Tabela3[[#This Row],[Produto]],Mercadorias[Mercadoria],0),1),"-")</f>
        <v>-</v>
      </c>
      <c r="C27" s="76">
        <v>0</v>
      </c>
      <c r="D27" s="76"/>
      <c r="E27" s="76">
        <f>SUMIF(Mercadorias[Mercadoria],Tabela3[[#This Row],[Produto]],Mercadorias[Quantidade])</f>
        <v>0</v>
      </c>
      <c r="F27" s="76">
        <f>Tabela3[[#This Row],[Quantidade Inicial]]+Tabela3[[#This Row],[Quantidade Comprada]]-Tabela3[[#This Row],[Quantidade Usada]]</f>
        <v>0</v>
      </c>
      <c r="G27" s="76" t="str">
        <f>IF(Tabela3[[#This Row],[Quantidade Atual]]&gt;50, "OK", IF(AND(Tabela3[[#This Row],[Quantidade Atual]]&lt;=50,Tabela3[[#This Row],[Quantidade Atual]]&gt;=20),"Atenção","Compra Obrigatória"))</f>
        <v>Compra Obrigatória</v>
      </c>
    </row>
    <row r="28" spans="1:7" ht="42" customHeight="1" x14ac:dyDescent="0.25">
      <c r="A28" s="76" t="s">
        <v>23</v>
      </c>
      <c r="B28" s="77" t="str">
        <f>IFERROR(INDEX(Mercadorias[],MATCH(Tabela3[[#This Row],[Produto]],Mercadorias[Mercadoria],0),1),"-")</f>
        <v>-</v>
      </c>
      <c r="C28" s="76">
        <v>20</v>
      </c>
      <c r="D28" s="76"/>
      <c r="E28" s="76">
        <f>SUMIF(Mercadorias[Mercadoria],Tabela3[[#This Row],[Produto]],Mercadorias[Quantidade])</f>
        <v>0</v>
      </c>
      <c r="F28" s="76">
        <f>Tabela3[[#This Row],[Quantidade Inicial]]+Tabela3[[#This Row],[Quantidade Comprada]]-Tabela3[[#This Row],[Quantidade Usada]]</f>
        <v>20</v>
      </c>
      <c r="G28" s="76" t="str">
        <f>IF(Tabela3[[#This Row],[Quantidade Atual]]&gt;50, "OK", IF(AND(Tabela3[[#This Row],[Quantidade Atual]]&lt;=50,Tabela3[[#This Row],[Quantidade Atual]]&gt;=20),"Atenção","Compra Obrigatória"))</f>
        <v>Atenção</v>
      </c>
    </row>
  </sheetData>
  <conditionalFormatting sqref="G5:G28">
    <cfRule type="cellIs" dxfId="178" priority="1" operator="equal">
      <formula>"Compra obrigatória"</formula>
    </cfRule>
    <cfRule type="cellIs" dxfId="177" priority="2" operator="equal">
      <formula>"Atenção"</formula>
    </cfRule>
    <cfRule type="cellIs" dxfId="176" priority="3" operator="equal">
      <formula>"OK"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V76"/>
  <sheetViews>
    <sheetView showGridLines="0" topLeftCell="F1" zoomScaleNormal="100" workbookViewId="0">
      <selection activeCell="B1" sqref="A1:XFD1"/>
    </sheetView>
  </sheetViews>
  <sheetFormatPr defaultRowHeight="15" outlineLevelCol="1" x14ac:dyDescent="0.25"/>
  <cols>
    <col min="1" max="1" width="9.140625" style="1" hidden="1" customWidth="1" outlineLevel="1"/>
    <col min="2" max="2" width="42.7109375" style="1" hidden="1" customWidth="1" outlineLevel="1"/>
    <col min="3" max="3" width="51.85546875" style="1" hidden="1" customWidth="1" outlineLevel="1"/>
    <col min="4" max="4" width="48" style="11" hidden="1" customWidth="1" outlineLevel="1"/>
    <col min="5" max="5" width="9.7109375" style="11" hidden="1" customWidth="1" outlineLevel="1"/>
    <col min="6" max="6" width="18" style="1" bestFit="1" customWidth="1" collapsed="1"/>
    <col min="7" max="7" width="53.140625" style="19" bestFit="1" customWidth="1"/>
    <col min="8" max="8" width="23.5703125" style="24" bestFit="1" customWidth="1"/>
    <col min="9" max="9" width="48" style="32" bestFit="1" customWidth="1"/>
    <col min="10" max="10" width="27.5703125" style="1" bestFit="1" customWidth="1"/>
    <col min="11" max="11" width="25.140625" style="1" bestFit="1" customWidth="1"/>
    <col min="12" max="12" width="22.85546875" style="1" bestFit="1" customWidth="1"/>
    <col min="13" max="13" width="52.140625" style="1" bestFit="1" customWidth="1"/>
    <col min="14" max="14" width="13.85546875" style="1" bestFit="1" customWidth="1"/>
    <col min="15" max="15" width="38.28515625" style="1" bestFit="1" customWidth="1"/>
    <col min="16" max="16" width="13.85546875" style="1" bestFit="1" customWidth="1"/>
    <col min="17" max="17" width="36.42578125" style="1" bestFit="1" customWidth="1"/>
    <col min="18" max="21" width="10.85546875" style="1" bestFit="1" customWidth="1"/>
    <col min="22" max="22" width="10.7109375" style="1" bestFit="1" customWidth="1"/>
    <col min="23" max="16384" width="9.140625" style="1"/>
  </cols>
  <sheetData>
    <row r="1" spans="2:19" ht="85.5" customHeight="1" x14ac:dyDescent="0.25">
      <c r="D1" s="1"/>
      <c r="E1" s="1"/>
      <c r="G1" s="1"/>
      <c r="H1" s="1"/>
      <c r="I1" s="1"/>
    </row>
    <row r="2" spans="2:19" s="7" customFormat="1" ht="29.25" thickBot="1" x14ac:dyDescent="0.3">
      <c r="B2" s="9" t="s">
        <v>142</v>
      </c>
      <c r="D2" s="12"/>
      <c r="E2" s="12"/>
      <c r="F2" s="26" t="s">
        <v>37</v>
      </c>
      <c r="H2" s="23"/>
      <c r="I2" s="31"/>
    </row>
    <row r="3" spans="2:19" ht="18.75" x14ac:dyDescent="0.25">
      <c r="E3" s="19"/>
      <c r="F3" s="19"/>
      <c r="H3" s="198" t="s">
        <v>134</v>
      </c>
      <c r="I3" s="199"/>
      <c r="J3" s="198" t="s">
        <v>91</v>
      </c>
      <c r="K3" s="200"/>
      <c r="L3" s="199" t="s">
        <v>135</v>
      </c>
      <c r="M3" s="200"/>
      <c r="N3" s="198" t="s">
        <v>164</v>
      </c>
      <c r="O3" s="200"/>
      <c r="P3" s="198" t="s">
        <v>169</v>
      </c>
      <c r="Q3" s="200"/>
    </row>
    <row r="4" spans="2:19" ht="19.5" thickBot="1" x14ac:dyDescent="0.3">
      <c r="B4" s="13"/>
      <c r="E4" s="19"/>
      <c r="F4" s="19"/>
      <c r="H4" s="38" t="s">
        <v>134</v>
      </c>
      <c r="I4" s="37" t="s">
        <v>167</v>
      </c>
      <c r="J4" s="44" t="s">
        <v>91</v>
      </c>
      <c r="K4" s="44" t="s">
        <v>166</v>
      </c>
      <c r="L4" s="44" t="s">
        <v>135</v>
      </c>
      <c r="M4" s="44" t="s">
        <v>168</v>
      </c>
      <c r="N4" s="40" t="s">
        <v>164</v>
      </c>
      <c r="O4" s="42" t="s">
        <v>165</v>
      </c>
      <c r="P4" s="44" t="s">
        <v>169</v>
      </c>
      <c r="Q4" s="44" t="s">
        <v>179</v>
      </c>
    </row>
    <row r="5" spans="2:19" ht="21" x14ac:dyDescent="0.25">
      <c r="B5" s="56" t="s">
        <v>71</v>
      </c>
      <c r="C5" s="57"/>
      <c r="D5" s="58" t="e">
        <f>GETPIVOTDATA("Content.Subtotal",$G$33)</f>
        <v>#REF!</v>
      </c>
      <c r="E5" s="19"/>
      <c r="F5" s="19"/>
      <c r="H5" s="49" t="s">
        <v>159</v>
      </c>
      <c r="I5" s="48">
        <v>11</v>
      </c>
      <c r="J5" s="46" t="s">
        <v>97</v>
      </c>
      <c r="K5" s="43">
        <v>10</v>
      </c>
      <c r="L5" s="46" t="s">
        <v>76</v>
      </c>
      <c r="M5" s="43">
        <v>17</v>
      </c>
      <c r="N5" s="34" t="s">
        <v>152</v>
      </c>
      <c r="O5" s="33">
        <v>2</v>
      </c>
      <c r="P5" s="46">
        <v>2015</v>
      </c>
      <c r="Q5" s="43">
        <v>2</v>
      </c>
    </row>
    <row r="6" spans="2:19" ht="21.75" thickBot="1" x14ac:dyDescent="0.3">
      <c r="B6" s="27"/>
      <c r="C6" s="29" t="s">
        <v>131</v>
      </c>
      <c r="D6" s="51" t="e">
        <f>GETPIVOTDATA("Content.Forma de pagamento",$G$16)</f>
        <v>#REF!</v>
      </c>
      <c r="E6"/>
      <c r="F6"/>
      <c r="H6" s="49" t="s">
        <v>141</v>
      </c>
      <c r="I6" s="48">
        <v>4</v>
      </c>
      <c r="J6" s="46" t="s">
        <v>96</v>
      </c>
      <c r="K6" s="43">
        <v>14</v>
      </c>
      <c r="L6" s="46" t="s">
        <v>77</v>
      </c>
      <c r="M6" s="43">
        <v>4</v>
      </c>
      <c r="N6" s="41" t="s">
        <v>151</v>
      </c>
      <c r="O6" s="33">
        <v>28</v>
      </c>
      <c r="P6" s="46">
        <v>2020</v>
      </c>
      <c r="Q6" s="43">
        <v>1</v>
      </c>
      <c r="R6"/>
    </row>
    <row r="7" spans="2:19" ht="21.75" thickBot="1" x14ac:dyDescent="0.3">
      <c r="B7" s="27"/>
      <c r="C7" s="29" t="s">
        <v>186</v>
      </c>
      <c r="D7" s="52" t="e">
        <f>GETPIVOTDATA("Content.Id Venda",$G$27)/GETPIVOTDATA("Content.Forma de pagamento",$G$16)</f>
        <v>#REF!</v>
      </c>
      <c r="E7"/>
      <c r="F7"/>
      <c r="H7" s="49" t="s">
        <v>139</v>
      </c>
      <c r="I7" s="48">
        <v>11</v>
      </c>
      <c r="J7" s="46" t="s">
        <v>95</v>
      </c>
      <c r="K7" s="43">
        <v>95</v>
      </c>
      <c r="L7" s="46" t="s">
        <v>79</v>
      </c>
      <c r="M7" s="43">
        <v>1</v>
      </c>
      <c r="N7" s="34" t="s">
        <v>181</v>
      </c>
      <c r="O7" s="33"/>
      <c r="P7" s="46">
        <v>2021</v>
      </c>
      <c r="Q7" s="43">
        <v>34</v>
      </c>
      <c r="R7"/>
    </row>
    <row r="8" spans="2:19" ht="21.75" thickBot="1" x14ac:dyDescent="0.3">
      <c r="B8" s="27"/>
      <c r="C8" s="29" t="s">
        <v>143</v>
      </c>
      <c r="D8" s="50" t="e">
        <f>GETPIVOTDATA("Content.Total para o Cliente",$G$14)</f>
        <v>#REF!</v>
      </c>
      <c r="E8"/>
      <c r="F8"/>
      <c r="H8" s="49" t="s">
        <v>140</v>
      </c>
      <c r="I8" s="48">
        <v>2</v>
      </c>
      <c r="J8" s="46" t="s">
        <v>94</v>
      </c>
      <c r="K8" s="43">
        <v>140</v>
      </c>
      <c r="L8" s="45" t="s">
        <v>78</v>
      </c>
      <c r="M8" s="43">
        <v>2</v>
      </c>
      <c r="N8" s="34" t="s">
        <v>175</v>
      </c>
      <c r="O8" s="33">
        <v>7</v>
      </c>
      <c r="P8" s="45" t="s">
        <v>181</v>
      </c>
      <c r="Q8" s="43"/>
      <c r="R8"/>
    </row>
    <row r="9" spans="2:19" ht="21.75" thickBot="1" x14ac:dyDescent="0.3">
      <c r="B9" s="27"/>
      <c r="C9" s="29" t="s">
        <v>144</v>
      </c>
      <c r="D9" s="50" t="e">
        <f>GETPIVOTDATA("Content.Total para o Cliente",$G$29)</f>
        <v>#REF!</v>
      </c>
      <c r="E9"/>
      <c r="F9"/>
      <c r="H9" s="38" t="s">
        <v>132</v>
      </c>
      <c r="I9" s="37">
        <v>28</v>
      </c>
      <c r="J9" s="46" t="s">
        <v>93</v>
      </c>
      <c r="K9" s="43">
        <v>44</v>
      </c>
      <c r="L9" s="44" t="s">
        <v>132</v>
      </c>
      <c r="M9" s="37">
        <v>24</v>
      </c>
      <c r="N9" s="36" t="s">
        <v>132</v>
      </c>
      <c r="O9" s="39">
        <v>37</v>
      </c>
      <c r="P9" s="44" t="s">
        <v>132</v>
      </c>
      <c r="Q9" s="37">
        <v>37</v>
      </c>
      <c r="R9"/>
    </row>
    <row r="10" spans="2:19" ht="21.75" thickBot="1" x14ac:dyDescent="0.3">
      <c r="B10" s="27"/>
      <c r="C10" s="29" t="s">
        <v>145</v>
      </c>
      <c r="D10" s="50" t="e">
        <f>GETPIVOTDATA("Content.Total para o Cliente",$G$21)</f>
        <v>#REF!</v>
      </c>
      <c r="E10"/>
      <c r="F10"/>
      <c r="G10" s="21"/>
      <c r="H10"/>
      <c r="I10"/>
      <c r="J10" s="45" t="s">
        <v>99</v>
      </c>
      <c r="K10" s="43">
        <v>4</v>
      </c>
      <c r="L10"/>
      <c r="M10"/>
      <c r="P10"/>
      <c r="S10"/>
    </row>
    <row r="11" spans="2:19" ht="21.75" thickBot="1" x14ac:dyDescent="0.35">
      <c r="B11" s="27"/>
      <c r="C11" s="29" t="s">
        <v>146</v>
      </c>
      <c r="D11" s="52" t="e">
        <f>GETPIVOTDATA("Content.Dia da Semana",$G$24)/4</f>
        <v>#REF!</v>
      </c>
      <c r="E11"/>
      <c r="F11"/>
      <c r="H11"/>
      <c r="I11"/>
      <c r="J11" s="44" t="s">
        <v>132</v>
      </c>
      <c r="K11" s="37">
        <v>307</v>
      </c>
      <c r="M11" s="25"/>
      <c r="N11"/>
      <c r="O11"/>
      <c r="P11"/>
      <c r="S11"/>
    </row>
    <row r="12" spans="2:19" ht="21.75" thickBot="1" x14ac:dyDescent="0.3">
      <c r="B12" s="27"/>
      <c r="C12" s="29" t="s">
        <v>183</v>
      </c>
      <c r="D12" s="51" t="e">
        <f>GETPIVOTDATA("Content.Forma de pagamento",$I$21)</f>
        <v>#REF!</v>
      </c>
      <c r="E12"/>
      <c r="F12"/>
      <c r="G12"/>
      <c r="H12"/>
      <c r="I12"/>
      <c r="J12"/>
      <c r="K12"/>
      <c r="L12"/>
      <c r="M12"/>
      <c r="N12"/>
      <c r="O12"/>
      <c r="P12"/>
      <c r="S12"/>
    </row>
    <row r="13" spans="2:19" ht="21.75" thickBot="1" x14ac:dyDescent="0.3">
      <c r="B13" s="27"/>
      <c r="C13" s="29" t="s">
        <v>184</v>
      </c>
      <c r="D13" s="51" t="e">
        <f>GETPIVOTDATA("Content.Forma de pagamento",$K$21)</f>
        <v>#REF!</v>
      </c>
      <c r="E13"/>
      <c r="F13"/>
      <c r="G13"/>
      <c r="H13"/>
      <c r="I13"/>
      <c r="J13"/>
      <c r="K13"/>
      <c r="L13"/>
      <c r="M13"/>
      <c r="N13"/>
      <c r="O13"/>
      <c r="P13"/>
      <c r="S13"/>
    </row>
    <row r="14" spans="2:19" ht="21.75" thickBot="1" x14ac:dyDescent="0.3">
      <c r="B14" s="28"/>
      <c r="C14" s="29" t="s">
        <v>185</v>
      </c>
      <c r="D14" s="51" t="e">
        <f>GETPIVOTDATA("Content.Forma de pagamento",$M$21)</f>
        <v>#REF!</v>
      </c>
      <c r="E14"/>
      <c r="G14"/>
      <c r="H14"/>
      <c r="I14"/>
      <c r="J14"/>
      <c r="K14"/>
      <c r="L14"/>
      <c r="M14"/>
      <c r="N14"/>
      <c r="O14"/>
      <c r="P14"/>
      <c r="S14"/>
    </row>
    <row r="15" spans="2:19" x14ac:dyDescent="0.25">
      <c r="D15"/>
      <c r="E15"/>
      <c r="F15"/>
      <c r="G15"/>
      <c r="H15"/>
      <c r="I15"/>
      <c r="J15"/>
      <c r="K15"/>
      <c r="L15"/>
      <c r="M15"/>
      <c r="N15"/>
      <c r="O15"/>
      <c r="P15"/>
      <c r="S15"/>
    </row>
    <row r="16" spans="2:19" x14ac:dyDescent="0.25"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2:22" ht="15.75" thickBot="1" x14ac:dyDescent="0.3"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2:22" ht="15.75" thickBot="1" x14ac:dyDescent="0.3">
      <c r="C18" s="20" t="s">
        <v>128</v>
      </c>
      <c r="D18"/>
      <c r="E18"/>
      <c r="F18"/>
      <c r="G18" t="s">
        <v>190</v>
      </c>
      <c r="H18"/>
      <c r="I18"/>
      <c r="J18"/>
      <c r="K18"/>
      <c r="L18"/>
      <c r="M18"/>
      <c r="N18"/>
      <c r="O18"/>
      <c r="P18"/>
      <c r="Q18"/>
      <c r="R18"/>
      <c r="S18"/>
    </row>
    <row r="19" spans="2:22" x14ac:dyDescent="0.25">
      <c r="B19" t="s">
        <v>72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2:22" x14ac:dyDescent="0.25">
      <c r="B20" t="s">
        <v>85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2:22" x14ac:dyDescent="0.25">
      <c r="B21" s="10" t="s">
        <v>155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2:22" x14ac:dyDescent="0.25">
      <c r="B22" s="10" t="s">
        <v>153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2:22" x14ac:dyDescent="0.25">
      <c r="B23" s="35" t="s">
        <v>156</v>
      </c>
      <c r="C23" s="70" t="s">
        <v>212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2:22" x14ac:dyDescent="0.25">
      <c r="B24" s="10" t="s">
        <v>160</v>
      </c>
      <c r="C24" s="70" t="s">
        <v>205</v>
      </c>
      <c r="D24" s="10"/>
      <c r="E24" s="22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2:22" x14ac:dyDescent="0.25">
      <c r="B25" s="10" t="s">
        <v>161</v>
      </c>
      <c r="C25" s="70" t="s">
        <v>221</v>
      </c>
      <c r="D25"/>
      <c r="E25" s="22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2:22" x14ac:dyDescent="0.25">
      <c r="B26" s="10" t="s">
        <v>178</v>
      </c>
      <c r="D26"/>
      <c r="E26" s="22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2:22" x14ac:dyDescent="0.25">
      <c r="B27" s="10" t="s">
        <v>189</v>
      </c>
      <c r="D27"/>
      <c r="E27" s="22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2:22" x14ac:dyDescent="0.25">
      <c r="D28"/>
      <c r="E28" s="22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2:22" ht="15.75" thickBot="1" x14ac:dyDescent="0.3">
      <c r="D29"/>
      <c r="E29" s="22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2:22" ht="21" x14ac:dyDescent="0.25">
      <c r="B30" s="53" t="s">
        <v>70</v>
      </c>
      <c r="C30" s="54"/>
      <c r="D30" s="55" t="e">
        <f>GETPIVOTDATA("Content.Subtotal",$G$33)</f>
        <v>#REF!</v>
      </c>
      <c r="E30" s="22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2:22" ht="21.75" thickBot="1" x14ac:dyDescent="0.3">
      <c r="B31" s="27"/>
      <c r="C31" s="29" t="s">
        <v>131</v>
      </c>
      <c r="D31" s="51" t="e">
        <f>GETPIVOTDATA("Content.Forma de pagamento",$G$16)</f>
        <v>#REF!</v>
      </c>
      <c r="E31" s="22"/>
      <c r="G31"/>
      <c r="H31"/>
      <c r="I31"/>
      <c r="J31"/>
      <c r="K31"/>
      <c r="L31"/>
      <c r="M31"/>
      <c r="N31"/>
      <c r="O31"/>
      <c r="P31"/>
      <c r="Q31"/>
      <c r="R31"/>
    </row>
    <row r="32" spans="2:22" ht="21.75" thickBot="1" x14ac:dyDescent="0.3">
      <c r="B32" s="27"/>
      <c r="C32" s="29" t="s">
        <v>186</v>
      </c>
      <c r="D32" s="52" t="e">
        <f>GETPIVOTDATA("Content.Id Venda",$G$27)/GETPIVOTDATA("Content.Forma de pagamento",$G$16)</f>
        <v>#REF!</v>
      </c>
      <c r="E32" s="22"/>
      <c r="G32"/>
      <c r="H32"/>
      <c r="I32"/>
      <c r="J32"/>
      <c r="K32"/>
      <c r="L32"/>
      <c r="M32"/>
      <c r="N32"/>
      <c r="O32"/>
      <c r="P32"/>
      <c r="Q32"/>
      <c r="R32"/>
    </row>
    <row r="33" spans="2:21" ht="21.75" thickBot="1" x14ac:dyDescent="0.3">
      <c r="B33" s="27"/>
      <c r="C33" s="29" t="s">
        <v>143</v>
      </c>
      <c r="D33" s="50" t="e">
        <f>GETPIVOTDATA("Content.Total para o Cliente",$G$14)</f>
        <v>#REF!</v>
      </c>
      <c r="E33" s="22"/>
      <c r="G33"/>
      <c r="H33"/>
      <c r="I33"/>
      <c r="J33"/>
      <c r="K33"/>
      <c r="L33"/>
      <c r="M33"/>
      <c r="N33"/>
      <c r="O33"/>
      <c r="P33"/>
    </row>
    <row r="34" spans="2:21" ht="21.75" thickBot="1" x14ac:dyDescent="0.3">
      <c r="B34" s="27"/>
      <c r="C34" s="29" t="s">
        <v>144</v>
      </c>
      <c r="D34" s="50" t="e">
        <f>GETPIVOTDATA("Content.Total para o Cliente",$G$29)</f>
        <v>#REF!</v>
      </c>
      <c r="E34" s="22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2:21" ht="21.75" thickBot="1" x14ac:dyDescent="0.3">
      <c r="B35" s="27"/>
      <c r="C35" s="29" t="s">
        <v>145</v>
      </c>
      <c r="D35" s="50" t="e">
        <f>GETPIVOTDATA("Content.Total para o Cliente",$G$21)</f>
        <v>#REF!</v>
      </c>
      <c r="E35" s="22"/>
      <c r="G35"/>
      <c r="H35"/>
      <c r="I35"/>
      <c r="J35"/>
      <c r="K35"/>
      <c r="L35"/>
      <c r="M35"/>
      <c r="N35"/>
      <c r="O35"/>
      <c r="P35"/>
    </row>
    <row r="36" spans="2:21" ht="21.75" thickBot="1" x14ac:dyDescent="0.3">
      <c r="B36" s="27"/>
      <c r="C36" s="29" t="s">
        <v>146</v>
      </c>
      <c r="D36" s="52" t="e">
        <f>GETPIVOTDATA("Content.Dia da Semana",$G$24)/4</f>
        <v>#REF!</v>
      </c>
      <c r="E36" s="22"/>
      <c r="G36"/>
      <c r="H36"/>
      <c r="I36"/>
      <c r="J36"/>
      <c r="K36"/>
      <c r="L36"/>
      <c r="M36"/>
      <c r="N36"/>
      <c r="O36"/>
      <c r="P36"/>
    </row>
    <row r="37" spans="2:21" ht="21.75" thickBot="1" x14ac:dyDescent="0.3">
      <c r="B37" s="27"/>
      <c r="C37" s="29" t="s">
        <v>183</v>
      </c>
      <c r="D37" s="51" t="e">
        <f>GETPIVOTDATA("Content.Forma de pagamento",$I$21)</f>
        <v>#REF!</v>
      </c>
      <c r="E37" s="22"/>
      <c r="G37"/>
      <c r="H37"/>
      <c r="I37"/>
      <c r="J37"/>
      <c r="K37"/>
      <c r="L37"/>
      <c r="M37"/>
      <c r="N37"/>
      <c r="O37"/>
      <c r="P37"/>
    </row>
    <row r="38" spans="2:21" ht="21.75" thickBot="1" x14ac:dyDescent="0.3">
      <c r="B38" s="27"/>
      <c r="C38" s="29" t="s">
        <v>184</v>
      </c>
      <c r="D38" s="51" t="e">
        <f>GETPIVOTDATA("Content.Forma de pagamento",$K$21)</f>
        <v>#REF!</v>
      </c>
      <c r="G38"/>
      <c r="H38"/>
      <c r="I38"/>
      <c r="J38"/>
      <c r="K38"/>
      <c r="L38"/>
      <c r="M38"/>
      <c r="N38"/>
      <c r="O38"/>
      <c r="P38"/>
    </row>
    <row r="39" spans="2:21" ht="21.75" thickBot="1" x14ac:dyDescent="0.3">
      <c r="B39" s="28"/>
      <c r="C39" s="29" t="s">
        <v>185</v>
      </c>
      <c r="D39" s="51" t="e">
        <f>GETPIVOTDATA("Content.Forma de pagamento",$M$21)</f>
        <v>#REF!</v>
      </c>
      <c r="G39"/>
      <c r="H39"/>
      <c r="I39"/>
      <c r="J39"/>
      <c r="K39"/>
      <c r="L39"/>
      <c r="M39"/>
      <c r="N39"/>
      <c r="O39"/>
      <c r="P39"/>
    </row>
    <row r="40" spans="2:21" x14ac:dyDescent="0.25">
      <c r="B40"/>
      <c r="C40"/>
      <c r="D40"/>
      <c r="G40"/>
      <c r="H40"/>
      <c r="I40"/>
      <c r="J40"/>
      <c r="K40"/>
      <c r="L40"/>
      <c r="M40"/>
      <c r="N40"/>
      <c r="O40"/>
      <c r="P40"/>
    </row>
    <row r="41" spans="2:21" x14ac:dyDescent="0.25">
      <c r="B41"/>
      <c r="C41"/>
      <c r="D41"/>
      <c r="G41"/>
      <c r="H41"/>
      <c r="I41"/>
      <c r="J41"/>
      <c r="K41"/>
      <c r="L41"/>
      <c r="M41"/>
      <c r="N41"/>
      <c r="O41"/>
      <c r="P41"/>
    </row>
    <row r="42" spans="2:21" x14ac:dyDescent="0.25">
      <c r="B42"/>
      <c r="C42"/>
      <c r="D42"/>
      <c r="G42"/>
      <c r="H42"/>
      <c r="I42"/>
      <c r="J42"/>
      <c r="K42"/>
      <c r="L42"/>
      <c r="M42"/>
      <c r="N42"/>
      <c r="O42"/>
      <c r="P42"/>
    </row>
    <row r="43" spans="2:21" x14ac:dyDescent="0.25">
      <c r="B43"/>
      <c r="C43"/>
      <c r="D43"/>
      <c r="G43"/>
      <c r="H43"/>
      <c r="I43"/>
      <c r="J43"/>
      <c r="K43"/>
      <c r="L43"/>
      <c r="M43"/>
      <c r="N43"/>
      <c r="O43"/>
      <c r="P43"/>
    </row>
    <row r="44" spans="2:21" x14ac:dyDescent="0.25">
      <c r="B44"/>
      <c r="C44"/>
      <c r="D44"/>
      <c r="G44"/>
      <c r="H44"/>
      <c r="I44"/>
      <c r="J44"/>
      <c r="K44"/>
      <c r="L44"/>
      <c r="M44"/>
      <c r="N44"/>
      <c r="O44"/>
      <c r="P44"/>
    </row>
    <row r="45" spans="2:21" x14ac:dyDescent="0.25">
      <c r="B45"/>
      <c r="C45"/>
      <c r="D45"/>
      <c r="G45"/>
      <c r="H45"/>
      <c r="I45"/>
      <c r="J45"/>
      <c r="K45"/>
      <c r="L45"/>
      <c r="M45"/>
      <c r="N45"/>
      <c r="O45"/>
      <c r="P45"/>
    </row>
    <row r="46" spans="2:21" x14ac:dyDescent="0.25">
      <c r="F46"/>
      <c r="G46"/>
      <c r="H46"/>
      <c r="I46"/>
      <c r="J46"/>
      <c r="K46"/>
      <c r="L46"/>
      <c r="M46"/>
      <c r="N46"/>
      <c r="O46"/>
      <c r="P46"/>
    </row>
    <row r="47" spans="2:21" x14ac:dyDescent="0.25">
      <c r="F47"/>
      <c r="G47"/>
      <c r="H47"/>
      <c r="I47"/>
      <c r="J47"/>
      <c r="K47"/>
      <c r="L47"/>
      <c r="M47"/>
      <c r="N47"/>
      <c r="O47"/>
      <c r="P47"/>
    </row>
    <row r="48" spans="2:21" x14ac:dyDescent="0.25">
      <c r="F48"/>
      <c r="G48"/>
      <c r="H48"/>
      <c r="I48"/>
      <c r="J48"/>
      <c r="K48"/>
      <c r="L48"/>
      <c r="M48"/>
      <c r="N48"/>
      <c r="O48"/>
      <c r="P48"/>
    </row>
    <row r="49" spans="6:16" x14ac:dyDescent="0.25">
      <c r="F49"/>
      <c r="G49"/>
      <c r="H49"/>
      <c r="I49"/>
      <c r="J49"/>
      <c r="K49"/>
      <c r="L49"/>
      <c r="M49"/>
      <c r="N49"/>
      <c r="O49"/>
      <c r="P49"/>
    </row>
    <row r="50" spans="6:16" x14ac:dyDescent="0.25">
      <c r="F50"/>
      <c r="G50"/>
      <c r="H50"/>
      <c r="I50"/>
      <c r="J50"/>
      <c r="K50"/>
      <c r="L50"/>
      <c r="M50"/>
      <c r="N50"/>
      <c r="O50"/>
      <c r="P50"/>
    </row>
    <row r="51" spans="6:16" x14ac:dyDescent="0.25">
      <c r="F51"/>
      <c r="G51"/>
    </row>
    <row r="52" spans="6:16" x14ac:dyDescent="0.25">
      <c r="F52"/>
      <c r="G52"/>
    </row>
    <row r="53" spans="6:16" x14ac:dyDescent="0.25">
      <c r="F53"/>
      <c r="G53"/>
    </row>
    <row r="54" spans="6:16" x14ac:dyDescent="0.25">
      <c r="F54"/>
      <c r="G54"/>
      <c r="H54"/>
      <c r="I54"/>
    </row>
    <row r="55" spans="6:16" x14ac:dyDescent="0.25">
      <c r="F55"/>
      <c r="G55"/>
      <c r="H55"/>
      <c r="I55"/>
    </row>
    <row r="56" spans="6:16" x14ac:dyDescent="0.25">
      <c r="G56"/>
      <c r="H56"/>
      <c r="I56"/>
    </row>
    <row r="57" spans="6:16" x14ac:dyDescent="0.25">
      <c r="G57"/>
      <c r="H57"/>
      <c r="I57"/>
      <c r="K57"/>
      <c r="L57"/>
    </row>
    <row r="58" spans="6:16" x14ac:dyDescent="0.25">
      <c r="G58"/>
      <c r="H58"/>
      <c r="I58"/>
      <c r="K58"/>
      <c r="L58"/>
    </row>
    <row r="59" spans="6:16" x14ac:dyDescent="0.25">
      <c r="G59"/>
      <c r="H59"/>
      <c r="I59"/>
      <c r="J59"/>
      <c r="K59"/>
      <c r="L59"/>
    </row>
    <row r="60" spans="6:16" x14ac:dyDescent="0.25">
      <c r="G60"/>
      <c r="H60"/>
      <c r="I60"/>
      <c r="J60"/>
      <c r="K60"/>
      <c r="L60"/>
    </row>
    <row r="61" spans="6:16" x14ac:dyDescent="0.25">
      <c r="G61"/>
      <c r="H61"/>
      <c r="I61"/>
      <c r="J61"/>
      <c r="K61"/>
      <c r="L61"/>
    </row>
    <row r="62" spans="6:16" x14ac:dyDescent="0.25">
      <c r="G62"/>
      <c r="H62"/>
      <c r="I62"/>
      <c r="J62"/>
      <c r="K62"/>
      <c r="L62"/>
    </row>
    <row r="63" spans="6:16" x14ac:dyDescent="0.25">
      <c r="G63"/>
      <c r="H63"/>
      <c r="I63"/>
      <c r="J63"/>
      <c r="K63"/>
      <c r="L63"/>
    </row>
    <row r="64" spans="6:16" x14ac:dyDescent="0.25">
      <c r="G64"/>
      <c r="H64"/>
      <c r="I64"/>
      <c r="J64"/>
      <c r="K64"/>
      <c r="L64"/>
    </row>
    <row r="65" spans="7:12" x14ac:dyDescent="0.25">
      <c r="G65"/>
      <c r="H65"/>
      <c r="I65"/>
      <c r="J65"/>
      <c r="K65"/>
      <c r="L65"/>
    </row>
    <row r="66" spans="7:12" x14ac:dyDescent="0.25">
      <c r="G66"/>
      <c r="H66"/>
      <c r="I66"/>
      <c r="J66"/>
      <c r="K66"/>
      <c r="L66"/>
    </row>
    <row r="67" spans="7:12" x14ac:dyDescent="0.25">
      <c r="H67"/>
      <c r="I67"/>
      <c r="J67"/>
      <c r="K67"/>
      <c r="L67"/>
    </row>
    <row r="68" spans="7:12" x14ac:dyDescent="0.25">
      <c r="H68"/>
      <c r="I68"/>
      <c r="J68"/>
      <c r="K68"/>
      <c r="L68"/>
    </row>
    <row r="69" spans="7:12" x14ac:dyDescent="0.25">
      <c r="H69"/>
      <c r="I69"/>
      <c r="J69"/>
      <c r="K69"/>
      <c r="L69"/>
    </row>
    <row r="70" spans="7:12" x14ac:dyDescent="0.25">
      <c r="H70"/>
      <c r="I70"/>
      <c r="J70"/>
      <c r="K70"/>
      <c r="L70"/>
    </row>
    <row r="71" spans="7:12" x14ac:dyDescent="0.25">
      <c r="H71"/>
      <c r="I71"/>
      <c r="J71"/>
      <c r="K71"/>
      <c r="L71"/>
    </row>
    <row r="72" spans="7:12" x14ac:dyDescent="0.25">
      <c r="H72"/>
      <c r="I72"/>
      <c r="J72"/>
      <c r="K72"/>
      <c r="L72"/>
    </row>
    <row r="73" spans="7:12" x14ac:dyDescent="0.25">
      <c r="H73"/>
      <c r="I73"/>
      <c r="J73"/>
      <c r="K73"/>
      <c r="L73"/>
    </row>
    <row r="74" spans="7:12" x14ac:dyDescent="0.25">
      <c r="H74"/>
      <c r="I74"/>
      <c r="J74"/>
      <c r="K74"/>
      <c r="L74"/>
    </row>
    <row r="75" spans="7:12" x14ac:dyDescent="0.25">
      <c r="H75"/>
      <c r="I75"/>
    </row>
    <row r="76" spans="7:12" x14ac:dyDescent="0.25">
      <c r="H76"/>
      <c r="I76"/>
    </row>
  </sheetData>
  <mergeCells count="5">
    <mergeCell ref="H3:I3"/>
    <mergeCell ref="J3:K3"/>
    <mergeCell ref="L3:M3"/>
    <mergeCell ref="N3:O3"/>
    <mergeCell ref="P3:Q3"/>
  </mergeCells>
  <hyperlinks>
    <hyperlink ref="F2" location="Menu!A1" display="MENU INICIAL" xr:uid="{DAC2855A-7C1C-4480-A8EE-44B9CC30C157}"/>
  </hyperlinks>
  <pageMargins left="0.511811024" right="0.511811024" top="0.78740157499999996" bottom="0.78740157499999996" header="0.31496062000000002" footer="0.31496062000000002"/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F14BC-0D85-4B91-9D73-33F466373C07}">
  <sheetPr codeName="Planilha10"/>
  <dimension ref="B1:X48"/>
  <sheetViews>
    <sheetView showGridLines="0" showRowColHeaders="0" tabSelected="1" topLeftCell="B1" zoomScale="70" zoomScaleNormal="70" workbookViewId="0">
      <pane ySplit="17" topLeftCell="A18" activePane="bottomLeft" state="frozen"/>
      <selection activeCell="B1" sqref="B1"/>
      <selection pane="bottomLeft"/>
    </sheetView>
  </sheetViews>
  <sheetFormatPr defaultRowHeight="24" customHeight="1" x14ac:dyDescent="0.25"/>
  <cols>
    <col min="1" max="1" width="0" style="1" hidden="1" customWidth="1"/>
    <col min="2" max="2" width="15.140625" style="1" customWidth="1"/>
    <col min="3" max="3" width="19.28515625" style="1" bestFit="1" customWidth="1"/>
    <col min="4" max="4" width="16.42578125" style="1" bestFit="1" customWidth="1"/>
    <col min="5" max="5" width="25.7109375" style="1" customWidth="1"/>
    <col min="6" max="6" width="24" style="1" bestFit="1" customWidth="1"/>
    <col min="7" max="7" width="28.85546875" style="1" bestFit="1" customWidth="1"/>
    <col min="8" max="8" width="18.85546875" style="1" bestFit="1" customWidth="1"/>
    <col min="9" max="9" width="25.42578125" style="1" customWidth="1"/>
    <col min="10" max="10" width="19" style="1" customWidth="1"/>
    <col min="11" max="11" width="35" style="1" bestFit="1" customWidth="1"/>
    <col min="12" max="12" width="23" style="1" bestFit="1" customWidth="1"/>
    <col min="13" max="13" width="32.5703125" style="1" bestFit="1" customWidth="1"/>
    <col min="14" max="16" width="30.7109375" style="1" bestFit="1" customWidth="1"/>
    <col min="17" max="17" width="32.42578125" style="1" bestFit="1" customWidth="1"/>
    <col min="18" max="18" width="15.42578125" style="1" bestFit="1" customWidth="1"/>
    <col min="19" max="19" width="14" style="32" bestFit="1" customWidth="1"/>
    <col min="20" max="21" width="17.85546875" style="32" customWidth="1"/>
    <col min="23" max="23" width="31.42578125" style="32" customWidth="1"/>
    <col min="24" max="24" width="17.85546875" style="32" customWidth="1"/>
    <col min="25" max="16384" width="9.140625" style="1"/>
  </cols>
  <sheetData>
    <row r="1" spans="2:24" s="71" customFormat="1" ht="129" customHeight="1" x14ac:dyDescent="0.25"/>
    <row r="2" spans="2:24" customFormat="1" ht="24" customHeight="1" x14ac:dyDescent="0.25"/>
    <row r="3" spans="2:24" ht="24" customHeight="1" x14ac:dyDescent="0.25">
      <c r="L3" s="61">
        <v>18</v>
      </c>
      <c r="V3" s="32"/>
      <c r="X3" s="1"/>
    </row>
    <row r="4" spans="2:24" ht="24" customHeight="1" x14ac:dyDescent="0.25">
      <c r="V4" s="32"/>
      <c r="X4" s="1"/>
    </row>
    <row r="5" spans="2:24" ht="9" customHeight="1" x14ac:dyDescent="0.25">
      <c r="V5" s="32"/>
      <c r="X5" s="1"/>
    </row>
    <row r="6" spans="2:24" ht="24" hidden="1" customHeight="1" x14ac:dyDescent="0.25">
      <c r="V6" s="32"/>
      <c r="X6" s="1"/>
    </row>
    <row r="7" spans="2:24" ht="24" hidden="1" customHeight="1" x14ac:dyDescent="0.25">
      <c r="V7" s="32"/>
      <c r="X7" s="1"/>
    </row>
    <row r="8" spans="2:24" ht="24" hidden="1" customHeight="1" x14ac:dyDescent="0.25">
      <c r="V8" s="32"/>
      <c r="X8" s="1"/>
    </row>
    <row r="9" spans="2:24" ht="18.75" hidden="1" customHeight="1" x14ac:dyDescent="0.25">
      <c r="V9" s="32"/>
      <c r="X9" s="1"/>
    </row>
    <row r="10" spans="2:24" ht="24" hidden="1" customHeight="1" x14ac:dyDescent="0.25">
      <c r="V10" s="32"/>
      <c r="X10" s="1"/>
    </row>
    <row r="11" spans="2:24" ht="24" hidden="1" customHeight="1" x14ac:dyDescent="0.25">
      <c r="V11" s="32"/>
      <c r="X11" s="1"/>
    </row>
    <row r="12" spans="2:24" ht="24" hidden="1" customHeight="1" x14ac:dyDescent="0.25">
      <c r="V12" s="32"/>
      <c r="X12" s="1"/>
    </row>
    <row r="13" spans="2:24" ht="24" hidden="1" customHeight="1" x14ac:dyDescent="0.25">
      <c r="V13" s="32"/>
      <c r="X13" s="1"/>
    </row>
    <row r="14" spans="2:24" ht="24" hidden="1" customHeight="1" x14ac:dyDescent="0.25">
      <c r="V14" s="32"/>
      <c r="X14" s="1"/>
    </row>
    <row r="15" spans="2:24" ht="24" hidden="1" customHeight="1" x14ac:dyDescent="0.25">
      <c r="V15" s="32"/>
      <c r="X15" s="1"/>
    </row>
    <row r="16" spans="2:24" ht="24" customHeight="1" x14ac:dyDescent="0.25">
      <c r="B16" s="105" t="s">
        <v>136</v>
      </c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V16" s="32"/>
      <c r="X16" s="1"/>
    </row>
    <row r="17" spans="2:23" s="73" customFormat="1" ht="24" customHeight="1" x14ac:dyDescent="0.25">
      <c r="B17" s="72" t="s">
        <v>62</v>
      </c>
      <c r="C17" s="72" t="s">
        <v>35</v>
      </c>
      <c r="D17" s="72" t="s">
        <v>137</v>
      </c>
      <c r="E17" s="72" t="s">
        <v>31</v>
      </c>
      <c r="F17" s="99" t="s">
        <v>133</v>
      </c>
      <c r="G17" s="72" t="s">
        <v>56</v>
      </c>
      <c r="H17" s="72" t="s">
        <v>39</v>
      </c>
      <c r="I17" s="72" t="s">
        <v>40</v>
      </c>
      <c r="J17" s="72" t="s">
        <v>63</v>
      </c>
      <c r="K17" s="72" t="s">
        <v>64</v>
      </c>
      <c r="L17" s="72" t="s">
        <v>127</v>
      </c>
      <c r="M17" s="72" t="s">
        <v>65</v>
      </c>
      <c r="N17" s="72" t="s">
        <v>128</v>
      </c>
      <c r="O17" s="72" t="s">
        <v>180</v>
      </c>
      <c r="P17" s="72" t="s">
        <v>66</v>
      </c>
      <c r="Q17" s="72" t="s">
        <v>150</v>
      </c>
      <c r="R17" s="72" t="s">
        <v>187</v>
      </c>
      <c r="S17" s="100" t="s">
        <v>197</v>
      </c>
      <c r="T17" s="100" t="s">
        <v>238</v>
      </c>
      <c r="U17" s="100" t="s">
        <v>239</v>
      </c>
      <c r="V17" s="100" t="s">
        <v>240</v>
      </c>
      <c r="W17" s="100" t="s">
        <v>231</v>
      </c>
    </row>
    <row r="18" spans="2:23" ht="24" customHeight="1" x14ac:dyDescent="0.25">
      <c r="B18" s="108">
        <v>9</v>
      </c>
      <c r="C18" s="108" t="s">
        <v>273</v>
      </c>
      <c r="D18" s="108">
        <v>2</v>
      </c>
      <c r="E18" s="109">
        <v>44573</v>
      </c>
      <c r="F18" s="110" t="str">
        <f>IFERROR(IF(Vendas[[#This Row],[Data]]="","-",PROPER(TEXT(WEEKDAY(Vendas[[#This Row],[Data]],1),"dddd"))),"")</f>
        <v>Quarta-Feira</v>
      </c>
      <c r="G18" s="108" t="s">
        <v>95</v>
      </c>
      <c r="H18" s="108">
        <v>4</v>
      </c>
      <c r="I18" s="111">
        <f>IFERROR(VLOOKUP(Vendas[[#This Row],[Produto]],Produtos!$L$4:$M$22,2,),"-")</f>
        <v>23.5</v>
      </c>
      <c r="J18" s="112">
        <f>IFERROR(Vendas[[#This Row],[Quantidade]]*Vendas[[#This Row],[Preço Unitário]],"")</f>
        <v>94</v>
      </c>
      <c r="K18" s="108" t="s">
        <v>76</v>
      </c>
      <c r="L18" s="113">
        <f>IFERROR(VLOOKUP(Vendas[[#This Row],[Produto]],Produtos!$L$3:$N$22,3,),"-")</f>
        <v>0.3</v>
      </c>
      <c r="M18" s="111">
        <f>IFERROR(VLOOKUP(Vendas[[#This Row],[Região de Entrega]],Produtos!$I$4:$J$18,2,FALSE),0)</f>
        <v>10</v>
      </c>
      <c r="N18" s="114">
        <f>IFERROR(Vendas[[#This Row],[% de lucro]]*Vendas[[#This Row],[Subtotal]],"-")</f>
        <v>28.2</v>
      </c>
      <c r="O18" s="115">
        <f>IF(Vendas[[#This Row],[Região de Entrega]]="-",0,SUMIFS(Vendas[Lucro],Vendas[Id Venda],Vendas[[#This Row],[Id Venda]]))</f>
        <v>70.95</v>
      </c>
      <c r="P18" s="115">
        <f>IF(Vendas[[#This Row],[Região de Entrega]]="-",0,SUMIFS(Vendas[Subtotal],Vendas[Id Venda],Vendas[[#This Row],[Id Venda]])+SUMIFS(Vendas[Valor de Entrega],Vendas[Id Venda],Vendas[[#This Row],[Id Venda]],Vendas[Região de Entrega],Vendas[[#This Row],[Região de Entrega]]))</f>
        <v>246.5</v>
      </c>
      <c r="Q18" s="115" t="s">
        <v>148</v>
      </c>
      <c r="R18" s="115" t="str">
        <f>IF(Vendas[[#This Row],[Forma de pagamento]]="","-",PROPER(TEXT(Vendas[[#This Row],[Data]],"mmmm")))</f>
        <v>Janeiro</v>
      </c>
      <c r="S18" s="116">
        <f>IF(Vendas[[#This Row],[Forma de pagamento]]="","-",DAY(Vendas[[#This Row],[Data]]))</f>
        <v>12</v>
      </c>
      <c r="T18" s="116" t="s">
        <v>274</v>
      </c>
      <c r="U18" s="116" t="s">
        <v>274</v>
      </c>
      <c r="V18" s="116">
        <v>155</v>
      </c>
      <c r="W18" s="116"/>
    </row>
    <row r="19" spans="2:23" ht="24" customHeight="1" x14ac:dyDescent="0.25">
      <c r="B19" s="108">
        <v>9</v>
      </c>
      <c r="C19" s="108" t="s">
        <v>138</v>
      </c>
      <c r="D19" s="108"/>
      <c r="E19" s="109" t="s">
        <v>138</v>
      </c>
      <c r="F19" s="110" t="str">
        <f>IFERROR(IF(Vendas[[#This Row],[Data]]="","-",PROPER(TEXT(WEEKDAY(Vendas[[#This Row],[Data]],1),"dddd"))),"")</f>
        <v/>
      </c>
      <c r="G19" s="108" t="s">
        <v>93</v>
      </c>
      <c r="H19" s="108">
        <v>5</v>
      </c>
      <c r="I19" s="111">
        <f>IFERROR(VLOOKUP(Vendas[[#This Row],[Produto]],Produtos!$L$4:$M$22,2,),"-")</f>
        <v>28.5</v>
      </c>
      <c r="J19" s="112">
        <f>IFERROR(Vendas[[#This Row],[Quantidade]]*Vendas[[#This Row],[Preço Unitário]],"")</f>
        <v>142.5</v>
      </c>
      <c r="K19" s="108" t="s">
        <v>138</v>
      </c>
      <c r="L19" s="113">
        <f>IFERROR(VLOOKUP(Vendas[[#This Row],[Produto]],Produtos!$L$3:$N$22,3,),"-")</f>
        <v>0.3</v>
      </c>
      <c r="M19" s="111">
        <f>IFERROR(VLOOKUP(Vendas[[#This Row],[Região de Entrega]],Produtos!$I$4:$J$18,2,FALSE),0)</f>
        <v>0</v>
      </c>
      <c r="N19" s="114">
        <f>IFERROR(Vendas[[#This Row],[% de lucro]]*Vendas[[#This Row],[Subtotal]],"-")</f>
        <v>42.75</v>
      </c>
      <c r="O19" s="115">
        <f>IF(Vendas[[#This Row],[Região de Entrega]]="-",0,SUMIFS(Vendas[Lucro],Vendas[Id Venda],Vendas[[#This Row],[Id Venda]]))</f>
        <v>0</v>
      </c>
      <c r="P19" s="115">
        <f>IF(Vendas[[#This Row],[Região de Entrega]]="-",0,SUMIFS(Vendas[Subtotal],Vendas[Id Venda],Vendas[[#This Row],[Id Venda]])+SUMIFS(Vendas[Valor de Entrega],Vendas[Id Venda],Vendas[[#This Row],[Id Venda]],Vendas[Região de Entrega],Vendas[[#This Row],[Região de Entrega]]))</f>
        <v>0</v>
      </c>
      <c r="Q19" s="115"/>
      <c r="R19" s="115" t="str">
        <f>IF(Vendas[[#This Row],[Forma de pagamento]]="","-",PROPER(TEXT(Vendas[[#This Row],[Data]],"mmmm")))</f>
        <v>-</v>
      </c>
      <c r="S19" s="116" t="str">
        <f>IF(Vendas[[#This Row],[Forma de pagamento]]="","-",DAY(Vendas[[#This Row],[Data]]))</f>
        <v>-</v>
      </c>
      <c r="T19" s="116"/>
      <c r="U19" s="116"/>
      <c r="V19" s="116"/>
      <c r="W19" s="116"/>
    </row>
    <row r="20" spans="2:23" ht="24" customHeight="1" x14ac:dyDescent="0.25">
      <c r="B20" s="108">
        <v>8</v>
      </c>
      <c r="C20" s="108" t="s">
        <v>249</v>
      </c>
      <c r="D20" s="108">
        <v>1</v>
      </c>
      <c r="E20" s="109">
        <v>44566</v>
      </c>
      <c r="F20" s="110" t="str">
        <f>IFERROR(IF(Vendas[[#This Row],[Data]]="","-",PROPER(TEXT(WEEKDAY(Vendas[[#This Row],[Data]],1),"dddd"))),"")</f>
        <v>Quarta-Feira</v>
      </c>
      <c r="G20" s="108" t="s">
        <v>94</v>
      </c>
      <c r="H20" s="108">
        <v>5</v>
      </c>
      <c r="I20" s="111">
        <f>IFERROR(VLOOKUP(Vendas[[#This Row],[Produto]],Produtos!$L$4:$M$22,2,),"-")</f>
        <v>26.5</v>
      </c>
      <c r="J20" s="112">
        <f>IFERROR(Vendas[[#This Row],[Quantidade]]*Vendas[[#This Row],[Preço Unitário]],"")</f>
        <v>132.5</v>
      </c>
      <c r="K20" s="108" t="s">
        <v>77</v>
      </c>
      <c r="L20" s="113">
        <f>IFERROR(VLOOKUP(Vendas[[#This Row],[Produto]],Produtos!$L$3:$N$22,3,),"-")</f>
        <v>0.3</v>
      </c>
      <c r="M20" s="111">
        <f>IFERROR(VLOOKUP(Vendas[[#This Row],[Região de Entrega]],Produtos!$I$4:$J$18,2,FALSE),0)</f>
        <v>10</v>
      </c>
      <c r="N20" s="114">
        <f>IFERROR(Vendas[[#This Row],[% de lucro]]*Vendas[[#This Row],[Subtotal]],"-")</f>
        <v>39.75</v>
      </c>
      <c r="O20" s="115">
        <f>IF(Vendas[[#This Row],[Região de Entrega]]="-",0,SUMIFS(Vendas[Lucro],Vendas[Id Venda],Vendas[[#This Row],[Id Venda]]))</f>
        <v>39.75</v>
      </c>
      <c r="P20" s="115">
        <f>IF(Vendas[[#This Row],[Região de Entrega]]="-",0,SUMIFS(Vendas[Subtotal],Vendas[Id Venda],Vendas[[#This Row],[Id Venda]])+SUMIFS(Vendas[Valor de Entrega],Vendas[Id Venda],Vendas[[#This Row],[Id Venda]],Vendas[Região de Entrega],Vendas[[#This Row],[Região de Entrega]]))</f>
        <v>142.5</v>
      </c>
      <c r="Q20" s="115" t="s">
        <v>148</v>
      </c>
      <c r="R20" s="115" t="str">
        <f>IF(Vendas[[#This Row],[Forma de pagamento]]="","-",PROPER(TEXT(Vendas[[#This Row],[Data]],"mmmm")))</f>
        <v>Janeiro</v>
      </c>
      <c r="S20" s="116">
        <f>IF(Vendas[[#This Row],[Forma de pagamento]]="","-",DAY(Vendas[[#This Row],[Data]]))</f>
        <v>5</v>
      </c>
      <c r="T20" s="116" t="s">
        <v>243</v>
      </c>
      <c r="U20" s="116" t="s">
        <v>243</v>
      </c>
      <c r="V20" s="116">
        <v>220</v>
      </c>
      <c r="W20" s="116" t="s">
        <v>243</v>
      </c>
    </row>
    <row r="21" spans="2:23" ht="24" customHeight="1" x14ac:dyDescent="0.25">
      <c r="B21" s="117">
        <v>5</v>
      </c>
      <c r="C21" s="117" t="s">
        <v>242</v>
      </c>
      <c r="D21" s="117">
        <v>1</v>
      </c>
      <c r="E21" s="118">
        <v>44566</v>
      </c>
      <c r="F21" s="119" t="str">
        <f>IFERROR(IF(Vendas[[#This Row],[Data]]="","-",PROPER(TEXT(WEEKDAY(Vendas[[#This Row],[Data]],1),"dddd"))),"")</f>
        <v>Quarta-Feira</v>
      </c>
      <c r="G21" s="117" t="s">
        <v>94</v>
      </c>
      <c r="H21" s="117">
        <v>5</v>
      </c>
      <c r="I21" s="120">
        <f>IFERROR(VLOOKUP(Vendas[[#This Row],[Produto]],Produtos!$L$4:$M$22,2,),"-")</f>
        <v>26.5</v>
      </c>
      <c r="J21" s="121">
        <f>IFERROR(Vendas[[#This Row],[Quantidade]]*Vendas[[#This Row],[Preço Unitário]],"")</f>
        <v>132.5</v>
      </c>
      <c r="K21" s="117" t="s">
        <v>76</v>
      </c>
      <c r="L21" s="122">
        <f>IFERROR(VLOOKUP(Vendas[[#This Row],[Produto]],Produtos!$L$3:$N$22,3,),"-")</f>
        <v>0.3</v>
      </c>
      <c r="M21" s="120">
        <f>IFERROR(VLOOKUP(Vendas[[#This Row],[Região de Entrega]],Produtos!$I$4:$J$18,2,FALSE),0)</f>
        <v>10</v>
      </c>
      <c r="N21" s="123">
        <f>IFERROR(Vendas[[#This Row],[% de lucro]]*Vendas[[#This Row],[Subtotal]],"-")</f>
        <v>39.75</v>
      </c>
      <c r="O21" s="124">
        <f>IF(Vendas[[#This Row],[Região de Entrega]]="-",0,SUMIFS(Vendas[Lucro],Vendas[Id Venda],Vendas[[#This Row],[Id Venda]]))</f>
        <v>39.75</v>
      </c>
      <c r="P21" s="124">
        <f>IF(Vendas[[#This Row],[Região de Entrega]]="-",0,SUMIFS(Vendas[Subtotal],Vendas[Id Venda],Vendas[[#This Row],[Id Venda]])+SUMIFS(Vendas[Valor de Entrega],Vendas[Id Venda],Vendas[[#This Row],[Id Venda]],Vendas[Região de Entrega],Vendas[[#This Row],[Região de Entrega]]))</f>
        <v>142.5</v>
      </c>
      <c r="Q21" s="124" t="s">
        <v>147</v>
      </c>
      <c r="R21" s="124" t="str">
        <f>IF(Vendas[[#This Row],[Forma de pagamento]]="","-",PROPER(TEXT(Vendas[[#This Row],[Data]],"mmmm")))</f>
        <v>Janeiro</v>
      </c>
      <c r="S21" s="125">
        <f>IF(Vendas[[#This Row],[Forma de pagamento]]="","-",DAY(Vendas[[#This Row],[Data]]))</f>
        <v>5</v>
      </c>
      <c r="T21" s="125" t="s">
        <v>243</v>
      </c>
      <c r="U21" s="125" t="s">
        <v>243</v>
      </c>
      <c r="V21" s="125">
        <v>1</v>
      </c>
      <c r="W21" s="125" t="s">
        <v>243</v>
      </c>
    </row>
    <row r="22" spans="2:23" ht="24" customHeight="1" x14ac:dyDescent="0.25">
      <c r="B22" s="117">
        <v>3</v>
      </c>
      <c r="C22" s="117" t="s">
        <v>177</v>
      </c>
      <c r="D22" s="117">
        <v>1</v>
      </c>
      <c r="E22" s="118">
        <v>44566</v>
      </c>
      <c r="F22" s="119" t="str">
        <f>IFERROR(IF(Vendas[[#This Row],[Data]]="","-",PROPER(TEXT(WEEKDAY(Vendas[[#This Row],[Data]],1),"dddd"))),"")</f>
        <v>Quarta-Feira</v>
      </c>
      <c r="G22" s="117" t="s">
        <v>99</v>
      </c>
      <c r="H22" s="117">
        <v>1</v>
      </c>
      <c r="I22" s="120">
        <f>IFERROR(VLOOKUP(Vendas[[#This Row],[Produto]],Produtos!$L$4:$M$22,2,),"-")</f>
        <v>21.5</v>
      </c>
      <c r="J22" s="121">
        <f>IFERROR(Vendas[[#This Row],[Quantidade]]*Vendas[[#This Row],[Preço Unitário]],"")</f>
        <v>21.5</v>
      </c>
      <c r="K22" s="117" t="s">
        <v>81</v>
      </c>
      <c r="L22" s="122">
        <f>IFERROR(VLOOKUP(Vendas[[#This Row],[Produto]],Produtos!$L$3:$N$22,3,),"-")</f>
        <v>0.3</v>
      </c>
      <c r="M22" s="120">
        <f>IFERROR(VLOOKUP(Vendas[[#This Row],[Região de Entrega]],Produtos!$I$4:$J$18,2,FALSE),0)</f>
        <v>10</v>
      </c>
      <c r="N22" s="123">
        <f>IFERROR(Vendas[[#This Row],[% de lucro]]*Vendas[[#This Row],[Subtotal]],"-")</f>
        <v>6.45</v>
      </c>
      <c r="O22" s="124">
        <f>IF(Vendas[[#This Row],[Região de Entrega]]="-",0,SUMIFS(Vendas[Lucro],Vendas[Id Venda],Vendas[[#This Row],[Id Venda]]))</f>
        <v>52.95</v>
      </c>
      <c r="P22" s="124">
        <f>IF(Vendas[[#This Row],[Região de Entrega]]="-",0,SUMIFS(Vendas[Subtotal],Vendas[Id Venda],Vendas[[#This Row],[Id Venda]])+SUMIFS(Vendas[Valor de Entrega],Vendas[Id Venda],Vendas[[#This Row],[Id Venda]],Vendas[Região de Entrega],Vendas[[#This Row],[Região de Entrega]]))</f>
        <v>186.5</v>
      </c>
      <c r="Q22" s="124" t="s">
        <v>149</v>
      </c>
      <c r="R22" s="124" t="str">
        <f>IF(Vendas[[#This Row],[Forma de pagamento]]="","-",PROPER(TEXT(Vendas[[#This Row],[Data]],"mmmm")))</f>
        <v>Janeiro</v>
      </c>
      <c r="S22" s="125">
        <f>IF(Vendas[[#This Row],[Forma de pagamento]]="","-",DAY(Vendas[[#This Row],[Data]]))</f>
        <v>5</v>
      </c>
      <c r="T22" s="125" t="s">
        <v>232</v>
      </c>
      <c r="U22" s="125" t="s">
        <v>81</v>
      </c>
      <c r="V22" s="125">
        <v>330</v>
      </c>
      <c r="W22" s="125" t="s">
        <v>233</v>
      </c>
    </row>
    <row r="23" spans="2:23" ht="24" customHeight="1" x14ac:dyDescent="0.25">
      <c r="B23" s="117">
        <v>3</v>
      </c>
      <c r="C23" s="117" t="s">
        <v>138</v>
      </c>
      <c r="D23" s="117"/>
      <c r="E23" s="118" t="s">
        <v>138</v>
      </c>
      <c r="F23" s="119" t="str">
        <f>IFERROR(IF(Vendas[[#This Row],[Data]]="","-",PROPER(TEXT(WEEKDAY(Vendas[[#This Row],[Data]],1),"dddd"))),"")</f>
        <v/>
      </c>
      <c r="G23" s="117" t="s">
        <v>94</v>
      </c>
      <c r="H23" s="117">
        <v>4</v>
      </c>
      <c r="I23" s="120">
        <f>IFERROR(VLOOKUP(Vendas[[#This Row],[Produto]],Produtos!$L$4:$M$22,2,),"-")</f>
        <v>26.5</v>
      </c>
      <c r="J23" s="121">
        <f>IFERROR(Vendas[[#This Row],[Quantidade]]*Vendas[[#This Row],[Preço Unitário]],"")</f>
        <v>106</v>
      </c>
      <c r="K23" s="117" t="s">
        <v>138</v>
      </c>
      <c r="L23" s="122">
        <f>IFERROR(VLOOKUP(Vendas[[#This Row],[Produto]],Produtos!$L$3:$N$22,3,),"-")</f>
        <v>0.3</v>
      </c>
      <c r="M23" s="120">
        <f>IFERROR(VLOOKUP(Vendas[[#This Row],[Região de Entrega]],Produtos!$I$4:$J$18,2,FALSE),0)</f>
        <v>0</v>
      </c>
      <c r="N23" s="123">
        <f>IFERROR(Vendas[[#This Row],[% de lucro]]*Vendas[[#This Row],[Subtotal]],"-")</f>
        <v>31.799999999999997</v>
      </c>
      <c r="O23" s="124">
        <f>IF(Vendas[[#This Row],[Região de Entrega]]="-",0,SUMIFS(Vendas[Lucro],Vendas[Id Venda],Vendas[[#This Row],[Id Venda]]))</f>
        <v>0</v>
      </c>
      <c r="P23" s="124">
        <f>IF(Vendas[[#This Row],[Região de Entrega]]="-",0,SUMIFS(Vendas[Subtotal],Vendas[Id Venda],Vendas[[#This Row],[Id Venda]])+SUMIFS(Vendas[Valor de Entrega],Vendas[Id Venda],Vendas[[#This Row],[Id Venda]],Vendas[Região de Entrega],Vendas[[#This Row],[Região de Entrega]]))</f>
        <v>0</v>
      </c>
      <c r="Q23" s="124"/>
      <c r="R23" s="124" t="str">
        <f>IF(Vendas[[#This Row],[Forma de pagamento]]="","-",PROPER(TEXT(Vendas[[#This Row],[Data]],"mmmm")))</f>
        <v>-</v>
      </c>
      <c r="S23" s="125" t="str">
        <f>IF(Vendas[[#This Row],[Forma de pagamento]]="","-",DAY(Vendas[[#This Row],[Data]]))</f>
        <v>-</v>
      </c>
      <c r="T23" s="125"/>
      <c r="U23" s="125"/>
      <c r="V23" s="125"/>
      <c r="W23" s="125"/>
    </row>
    <row r="24" spans="2:23" ht="24" customHeight="1" x14ac:dyDescent="0.25">
      <c r="B24" s="117">
        <v>3</v>
      </c>
      <c r="C24" s="117" t="s">
        <v>138</v>
      </c>
      <c r="D24" s="117"/>
      <c r="E24" s="118" t="s">
        <v>138</v>
      </c>
      <c r="F24" s="119" t="str">
        <f>IFERROR(IF(Vendas[[#This Row],[Data]]="","-",PROPER(TEXT(WEEKDAY(Vendas[[#This Row],[Data]],1),"dddd"))),"")</f>
        <v/>
      </c>
      <c r="G24" s="117" t="s">
        <v>97</v>
      </c>
      <c r="H24" s="117">
        <v>2</v>
      </c>
      <c r="I24" s="120">
        <f>IFERROR(VLOOKUP(Vendas[[#This Row],[Produto]],Produtos!$L$4:$M$22,2,),"-")</f>
        <v>24.5</v>
      </c>
      <c r="J24" s="121">
        <f>IFERROR(Vendas[[#This Row],[Quantidade]]*Vendas[[#This Row],[Preço Unitário]],"")</f>
        <v>49</v>
      </c>
      <c r="K24" s="117" t="s">
        <v>138</v>
      </c>
      <c r="L24" s="122">
        <f>IFERROR(VLOOKUP(Vendas[[#This Row],[Produto]],Produtos!$L$3:$N$22,3,),"-")</f>
        <v>0.3</v>
      </c>
      <c r="M24" s="120">
        <f>IFERROR(VLOOKUP(Vendas[[#This Row],[Região de Entrega]],Produtos!$I$4:$J$18,2,FALSE),0)</f>
        <v>0</v>
      </c>
      <c r="N24" s="123">
        <f>IFERROR(Vendas[[#This Row],[% de lucro]]*Vendas[[#This Row],[Subtotal]],"-")</f>
        <v>14.7</v>
      </c>
      <c r="O24" s="124">
        <f>IF(Vendas[[#This Row],[Região de Entrega]]="-",0,SUMIFS(Vendas[Lucro],Vendas[Id Venda],Vendas[[#This Row],[Id Venda]]))</f>
        <v>0</v>
      </c>
      <c r="P24" s="124">
        <f>IF(Vendas[[#This Row],[Região de Entrega]]="-",0,SUMIFS(Vendas[Subtotal],Vendas[Id Venda],Vendas[[#This Row],[Id Venda]])+SUMIFS(Vendas[Valor de Entrega],Vendas[Id Venda],Vendas[[#This Row],[Id Venda]],Vendas[Região de Entrega],Vendas[[#This Row],[Região de Entrega]]))</f>
        <v>0</v>
      </c>
      <c r="Q24" s="124"/>
      <c r="R24" s="124" t="str">
        <f>IF(Vendas[[#This Row],[Forma de pagamento]]="","-",PROPER(TEXT(Vendas[[#This Row],[Data]],"mmmm")))</f>
        <v>-</v>
      </c>
      <c r="S24" s="125" t="str">
        <f>IF(Vendas[[#This Row],[Forma de pagamento]]="","-",DAY(Vendas[[#This Row],[Data]]))</f>
        <v>-</v>
      </c>
      <c r="T24" s="125"/>
      <c r="U24" s="125"/>
      <c r="V24" s="125"/>
      <c r="W24" s="125"/>
    </row>
    <row r="25" spans="2:23" ht="24" customHeight="1" x14ac:dyDescent="0.25">
      <c r="V25" s="1"/>
    </row>
    <row r="26" spans="2:23" ht="24" customHeight="1" x14ac:dyDescent="0.25">
      <c r="V26" s="1"/>
    </row>
    <row r="27" spans="2:23" ht="24" customHeight="1" x14ac:dyDescent="0.25">
      <c r="V27" s="1"/>
    </row>
    <row r="28" spans="2:23" ht="24" customHeight="1" x14ac:dyDescent="0.25">
      <c r="V28" s="1"/>
    </row>
    <row r="29" spans="2:23" ht="24" customHeight="1" x14ac:dyDescent="0.25">
      <c r="V29" s="1"/>
    </row>
    <row r="30" spans="2:23" ht="24" customHeight="1" x14ac:dyDescent="0.25">
      <c r="V30" s="1"/>
    </row>
    <row r="31" spans="2:23" ht="24" customHeight="1" x14ac:dyDescent="0.25">
      <c r="V31" s="1"/>
    </row>
    <row r="32" spans="2:23" ht="24" customHeight="1" x14ac:dyDescent="0.25">
      <c r="V32" s="1"/>
    </row>
    <row r="33" spans="6:22" ht="24" customHeight="1" x14ac:dyDescent="0.25">
      <c r="V33" s="1"/>
    </row>
    <row r="34" spans="6:22" ht="24" customHeight="1" x14ac:dyDescent="0.25">
      <c r="V34" s="1"/>
    </row>
    <row r="35" spans="6:22" ht="24" customHeight="1" x14ac:dyDescent="0.25">
      <c r="F35"/>
      <c r="G35"/>
      <c r="H35"/>
      <c r="V35" s="1"/>
    </row>
    <row r="36" spans="6:22" ht="24" customHeight="1" x14ac:dyDescent="0.25">
      <c r="F36"/>
      <c r="G36"/>
      <c r="H36"/>
      <c r="V36" s="1"/>
    </row>
    <row r="37" spans="6:22" ht="24" customHeight="1" x14ac:dyDescent="0.25">
      <c r="F37"/>
      <c r="G37"/>
      <c r="H37"/>
      <c r="V37" s="1"/>
    </row>
    <row r="38" spans="6:22" ht="24" customHeight="1" x14ac:dyDescent="0.25">
      <c r="F38"/>
      <c r="G38"/>
      <c r="H38"/>
      <c r="V38" s="1"/>
    </row>
    <row r="39" spans="6:22" ht="24" customHeight="1" x14ac:dyDescent="0.25">
      <c r="F39"/>
      <c r="G39"/>
      <c r="H39"/>
      <c r="V39" s="1"/>
    </row>
    <row r="40" spans="6:22" ht="24" customHeight="1" x14ac:dyDescent="0.25">
      <c r="F40"/>
      <c r="G40"/>
      <c r="H40"/>
      <c r="V40" s="1"/>
    </row>
    <row r="41" spans="6:22" ht="24" customHeight="1" x14ac:dyDescent="0.25">
      <c r="F41"/>
      <c r="G41"/>
      <c r="H41"/>
      <c r="V41" s="1"/>
    </row>
    <row r="42" spans="6:22" ht="24" customHeight="1" x14ac:dyDescent="0.25">
      <c r="F42"/>
      <c r="G42"/>
      <c r="H42"/>
      <c r="V42" s="1"/>
    </row>
    <row r="43" spans="6:22" ht="24" customHeight="1" x14ac:dyDescent="0.25">
      <c r="F43"/>
      <c r="G43"/>
      <c r="H43"/>
      <c r="V43" s="1"/>
    </row>
    <row r="44" spans="6:22" ht="24" customHeight="1" x14ac:dyDescent="0.25">
      <c r="F44"/>
      <c r="G44"/>
      <c r="H44"/>
      <c r="V44" s="1"/>
    </row>
    <row r="45" spans="6:22" ht="24" customHeight="1" x14ac:dyDescent="0.25">
      <c r="F45"/>
      <c r="G45"/>
      <c r="H45"/>
      <c r="V45" s="1"/>
    </row>
    <row r="46" spans="6:22" ht="24" customHeight="1" x14ac:dyDescent="0.25">
      <c r="V46" s="1"/>
    </row>
    <row r="47" spans="6:22" ht="24" customHeight="1" x14ac:dyDescent="0.25">
      <c r="V47" s="1"/>
    </row>
    <row r="48" spans="6:22" ht="24" customHeight="1" x14ac:dyDescent="0.25">
      <c r="V48" s="1"/>
    </row>
  </sheetData>
  <phoneticPr fontId="20" type="noConversion"/>
  <conditionalFormatting sqref="B18:W24">
    <cfRule type="expression" dxfId="82" priority="21">
      <formula>$C18="-"</formula>
    </cfRule>
  </conditionalFormatting>
  <conditionalFormatting sqref="B18:W24">
    <cfRule type="expression" dxfId="81" priority="20">
      <formula>$C18&lt;&gt;"-"</formula>
    </cfRule>
  </conditionalFormatting>
  <conditionalFormatting sqref="B18:F24">
    <cfRule type="expression" dxfId="80" priority="19">
      <formula>$C18="-"</formula>
    </cfRule>
  </conditionalFormatting>
  <conditionalFormatting sqref="B18:W24">
    <cfRule type="expression" dxfId="79" priority="12">
      <formula>$C18&lt;&gt;"-"</formula>
    </cfRule>
  </conditionalFormatting>
  <conditionalFormatting sqref="B18:W24">
    <cfRule type="expression" dxfId="78" priority="11">
      <formula>$C18="-"</formula>
    </cfRule>
  </conditionalFormatting>
  <conditionalFormatting sqref="G18:W24">
    <cfRule type="expression" dxfId="77" priority="10">
      <formula>$C18="-"</formula>
    </cfRule>
  </conditionalFormatting>
  <conditionalFormatting sqref="K18:K24">
    <cfRule type="expression" dxfId="76" priority="9">
      <formula>$K18="-"</formula>
    </cfRule>
  </conditionalFormatting>
  <conditionalFormatting sqref="G18:W24">
    <cfRule type="expression" dxfId="75" priority="14">
      <formula>#REF!="-"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438788-5C8D-44DB-B109-86A59E636BFF}">
          <x14:formula1>
            <xm:f>Produtos!$L$4:$L$22</xm:f>
          </x14:formula1>
          <xm:sqref>G18:G24</xm:sqref>
        </x14:dataValidation>
        <x14:dataValidation type="list" allowBlank="1" showInputMessage="1" showErrorMessage="1" xr:uid="{7B5EFE0B-A5D8-449A-861A-82B2A41D1D44}">
          <x14:formula1>
            <xm:f>Produtos!$I$4:$I$18</xm:f>
          </x14:formula1>
          <xm:sqref>K18:K24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0DF0-CC4C-4261-9AE9-5A66CA8FD8EE}">
  <sheetPr codeName="Planilha14"/>
  <dimension ref="A1:M23"/>
  <sheetViews>
    <sheetView showGridLines="0" showRowColHeaders="0" topLeftCell="B1" zoomScale="70" zoomScaleNormal="70" workbookViewId="0">
      <pane ySplit="4" topLeftCell="A5" activePane="bottomLeft" state="frozen"/>
      <selection activeCell="B1" sqref="B1"/>
      <selection pane="bottomLeft"/>
    </sheetView>
  </sheetViews>
  <sheetFormatPr defaultRowHeight="48" customHeight="1" outlineLevelCol="1" x14ac:dyDescent="0.25"/>
  <cols>
    <col min="1" max="1" width="9.140625" style="1" hidden="1" customWidth="1"/>
    <col min="2" max="2" width="41" style="5" customWidth="1"/>
    <col min="3" max="3" width="50" style="1" bestFit="1" customWidth="1"/>
    <col min="4" max="4" width="40.7109375" style="1" bestFit="1" customWidth="1"/>
    <col min="5" max="6" width="24.85546875" style="1" hidden="1" customWidth="1" outlineLevel="1"/>
    <col min="7" max="7" width="40.7109375" style="32" hidden="1" customWidth="1" outlineLevel="1"/>
    <col min="8" max="8" width="44.85546875" style="32" hidden="1" customWidth="1" outlineLevel="1"/>
    <col min="9" max="9" width="64" style="1" hidden="1" customWidth="1" outlineLevel="1"/>
    <col min="10" max="10" width="57.28515625" style="32" hidden="1" customWidth="1" outlineLevel="1"/>
    <col min="11" max="11" width="42.140625" bestFit="1" customWidth="1" collapsed="1"/>
    <col min="12" max="12" width="37.140625" style="1" bestFit="1" customWidth="1"/>
    <col min="13" max="13" width="41.7109375" bestFit="1" customWidth="1"/>
    <col min="14" max="14" width="20.42578125" style="1" customWidth="1"/>
    <col min="15" max="15" width="26.7109375" style="1" customWidth="1"/>
    <col min="16" max="16384" width="9.140625" style="1"/>
  </cols>
  <sheetData>
    <row r="1" spans="2:13" s="71" customFormat="1" ht="129.75" customHeight="1" x14ac:dyDescent="0.25">
      <c r="B1" s="184"/>
      <c r="G1" s="182"/>
      <c r="H1" s="182"/>
      <c r="J1" s="182"/>
    </row>
    <row r="2" spans="2:13" customFormat="1" ht="110.25" hidden="1" customHeight="1" x14ac:dyDescent="0.25">
      <c r="B2" s="63"/>
      <c r="G2" s="30"/>
      <c r="H2" s="30"/>
      <c r="J2" s="30"/>
    </row>
    <row r="3" spans="2:13" ht="55.5" customHeight="1" x14ac:dyDescent="0.25">
      <c r="B3" s="185" t="s">
        <v>241</v>
      </c>
      <c r="C3" s="94"/>
      <c r="D3" s="94"/>
      <c r="E3" s="94"/>
      <c r="F3" s="94"/>
      <c r="G3" s="95"/>
      <c r="H3" s="95"/>
      <c r="I3" s="94"/>
      <c r="J3" s="95"/>
      <c r="K3" s="94"/>
      <c r="L3" s="94"/>
      <c r="M3" s="94"/>
    </row>
    <row r="4" spans="2:13" ht="48" customHeight="1" x14ac:dyDescent="0.25">
      <c r="B4" s="186" t="s">
        <v>73</v>
      </c>
      <c r="C4" s="101" t="s">
        <v>74</v>
      </c>
      <c r="D4" s="101" t="s">
        <v>215</v>
      </c>
      <c r="E4" s="101" t="s">
        <v>90</v>
      </c>
      <c r="F4" s="101" t="s">
        <v>228</v>
      </c>
      <c r="G4" s="183" t="s">
        <v>229</v>
      </c>
      <c r="H4" s="183" t="s">
        <v>230</v>
      </c>
      <c r="I4" s="101" t="s">
        <v>231</v>
      </c>
      <c r="J4" s="102" t="s">
        <v>158</v>
      </c>
      <c r="K4" s="101" t="s">
        <v>157</v>
      </c>
      <c r="L4" s="101" t="s">
        <v>162</v>
      </c>
      <c r="M4" s="101" t="s">
        <v>163</v>
      </c>
    </row>
    <row r="5" spans="2:13" ht="48" customHeight="1" x14ac:dyDescent="0.25">
      <c r="B5" s="187">
        <v>44566</v>
      </c>
      <c r="C5" s="79" t="s">
        <v>249</v>
      </c>
      <c r="D5" s="79" t="s">
        <v>243</v>
      </c>
      <c r="E5" s="79" t="s">
        <v>77</v>
      </c>
      <c r="F5" s="79" t="s">
        <v>243</v>
      </c>
      <c r="G5" s="81">
        <v>220</v>
      </c>
      <c r="H5" s="81">
        <v>1</v>
      </c>
      <c r="I5" s="79" t="s">
        <v>243</v>
      </c>
      <c r="J5" s="81">
        <f ca="1">TODAY()-Telefones[[#This Row],[Data do último pedido]]</f>
        <v>27</v>
      </c>
      <c r="K5" s="104" t="str">
        <f ca="1">IF(Telefones[[#This Row],[Tempo do último pedido em dias]]&gt;40,"HÁ MAIS DE 40 DIAS SEM PEDIR - MANDAR MENSAGEM",IF(Telefones[[#This Row],[Tempo do último pedido em dias]]&lt;15,"ATENDIDO RECENTEMENTE","HÁ MAIS DE 15 DIAS SEM PEDIR"))</f>
        <v>HÁ MAIS DE 15 DIAS SEM PEDIR</v>
      </c>
      <c r="L5" s="104" t="s">
        <v>237</v>
      </c>
      <c r="M5" s="104" t="str">
        <f ca="1">IF(Telefones[[#This Row],[Tempo do último pedido em dias]]&gt;60,"CLIENTE NÃO ATIVO","CLIENTE ATIVO")</f>
        <v>CLIENTE ATIVO</v>
      </c>
    </row>
    <row r="6" spans="2:13" ht="48" customHeight="1" x14ac:dyDescent="0.25">
      <c r="B6" s="187">
        <v>44566</v>
      </c>
      <c r="C6" s="79" t="s">
        <v>242</v>
      </c>
      <c r="D6" s="79" t="s">
        <v>243</v>
      </c>
      <c r="E6" s="79" t="s">
        <v>76</v>
      </c>
      <c r="F6" s="79" t="s">
        <v>243</v>
      </c>
      <c r="G6" s="81">
        <v>1</v>
      </c>
      <c r="H6" s="81">
        <v>1</v>
      </c>
      <c r="I6" s="79" t="s">
        <v>243</v>
      </c>
      <c r="J6" s="81">
        <f ca="1">TODAY()-Telefones[[#This Row],[Data do último pedido]]</f>
        <v>27</v>
      </c>
      <c r="K6" s="104" t="str">
        <f ca="1">IF(Telefones[[#This Row],[Tempo do último pedido em dias]]&gt;40,"HÁ MAIS DE 40 DIAS SEM PEDIR - MANDAR MENSAGEM",IF(Telefones[[#This Row],[Tempo do último pedido em dias]]&lt;15,"ATENDIDO RECENTEMENTE","HÁ MAIS DE 15 DIAS SEM PEDIR"))</f>
        <v>HÁ MAIS DE 15 DIAS SEM PEDIR</v>
      </c>
      <c r="L6" s="104" t="s">
        <v>237</v>
      </c>
      <c r="M6" s="104" t="str">
        <f ca="1">IF(Telefones[[#This Row],[Tempo do último pedido em dias]]&gt;60,"CLIENTE NÃO ATIVO","CLIENTE ATIVO")</f>
        <v>CLIENTE ATIVO</v>
      </c>
    </row>
    <row r="7" spans="2:13" ht="48" customHeight="1" x14ac:dyDescent="0.25">
      <c r="B7" s="187">
        <v>44566</v>
      </c>
      <c r="C7" s="79" t="s">
        <v>176</v>
      </c>
      <c r="D7" s="79" t="s">
        <v>234</v>
      </c>
      <c r="E7" s="79" t="s">
        <v>69</v>
      </c>
      <c r="F7" s="79" t="s">
        <v>235</v>
      </c>
      <c r="G7" s="81">
        <v>330</v>
      </c>
      <c r="H7" s="81">
        <v>2</v>
      </c>
      <c r="I7" s="79" t="s">
        <v>236</v>
      </c>
      <c r="J7" s="81">
        <f ca="1">TODAY()-Telefones[[#This Row],[Data do último pedido]]</f>
        <v>27</v>
      </c>
      <c r="K7" s="104" t="str">
        <f ca="1">IF(Telefones[[#This Row],[Tempo do último pedido em dias]]&gt;40,"HÁ MAIS DE 40 DIAS SEM PEDIR - MANDAR MENSAGEM",IF(Telefones[[#This Row],[Tempo do último pedido em dias]]&lt;15,"ATENDIDO RECENTEMENTE","HÁ MAIS DE 15 DIAS SEM PEDIR"))</f>
        <v>HÁ MAIS DE 15 DIAS SEM PEDIR</v>
      </c>
      <c r="L7" s="104" t="s">
        <v>237</v>
      </c>
      <c r="M7" s="104" t="str">
        <f ca="1">IF(Telefones[[#This Row],[Tempo do último pedido em dias]]&gt;60,"CLIENTE NÃO ATIVO","CLIENTE ATIVO")</f>
        <v>CLIENTE ATIVO</v>
      </c>
    </row>
    <row r="8" spans="2:13" ht="48" customHeight="1" x14ac:dyDescent="0.25">
      <c r="B8" s="187">
        <v>44566</v>
      </c>
      <c r="C8" s="79" t="s">
        <v>177</v>
      </c>
      <c r="D8" s="79" t="s">
        <v>232</v>
      </c>
      <c r="E8" s="79" t="s">
        <v>81</v>
      </c>
      <c r="F8" s="79" t="s">
        <v>81</v>
      </c>
      <c r="G8" s="81">
        <v>330</v>
      </c>
      <c r="H8" s="81">
        <v>58</v>
      </c>
      <c r="I8" s="79" t="s">
        <v>233</v>
      </c>
      <c r="J8" s="81">
        <f ca="1">TODAY()-Telefones[[#This Row],[Data do último pedido]]</f>
        <v>27</v>
      </c>
      <c r="K8" s="103" t="str">
        <f ca="1">IF(Telefones[[#This Row],[Tempo do último pedido em dias]]&gt;40,"HÁ MAIS DE 40 DIAS SEM PEDIR - MANDAR MENSAGEM",IF(Telefones[[#This Row],[Tempo do último pedido em dias]]&lt;15,"ATENDIDO RECENTEMENTE","HÁ MAIS DE 15 DIAS SEM PEDIR"))</f>
        <v>HÁ MAIS DE 15 DIAS SEM PEDIR</v>
      </c>
      <c r="L8" s="103" t="s">
        <v>244</v>
      </c>
      <c r="M8" s="103" t="str">
        <f ca="1">IF(Telefones[[#This Row],[Tempo do último pedido em dias]]&gt;60,"CLIENTE NÃO ATIVO","CLIENTE ATIVO")</f>
        <v>CLIENTE ATIVO</v>
      </c>
    </row>
    <row r="9" spans="2:13" ht="48" customHeight="1" x14ac:dyDescent="0.25">
      <c r="B9" s="189">
        <v>44573</v>
      </c>
      <c r="C9" s="190" t="s">
        <v>273</v>
      </c>
      <c r="D9" s="190" t="s">
        <v>274</v>
      </c>
      <c r="E9" s="190" t="s">
        <v>76</v>
      </c>
      <c r="F9" s="190" t="s">
        <v>274</v>
      </c>
      <c r="G9" s="191">
        <v>155</v>
      </c>
      <c r="H9" s="191">
        <v>1</v>
      </c>
      <c r="I9" s="190"/>
      <c r="J9" s="81">
        <f ca="1">TODAY()-Telefones[[#This Row],[Data do último pedido]]</f>
        <v>20</v>
      </c>
      <c r="K9" s="104" t="str">
        <f ca="1">IF(Telefones[[#This Row],[Tempo do último pedido em dias]]&gt;40,"HÁ MAIS DE 40 DIAS SEM PEDIR - MANDAR MENSAGEM",IF(Telefones[[#This Row],[Tempo do último pedido em dias]]&lt;15,"ATENDIDO RECENTEMENTE","HÁ MAIS DE 15 DIAS SEM PEDIR"))</f>
        <v>HÁ MAIS DE 15 DIAS SEM PEDIR</v>
      </c>
      <c r="L9" s="104" t="s">
        <v>237</v>
      </c>
      <c r="M9" s="104" t="str">
        <f ca="1">IF(Telefones[[#This Row],[Tempo do último pedido em dias]]&gt;60,"CLIENTE NÃO ATIVO","CLIENTE ATIVO")</f>
        <v>CLIENTE ATIVO</v>
      </c>
    </row>
    <row r="10" spans="2:13" ht="48" customHeight="1" x14ac:dyDescent="0.25">
      <c r="B10" s="189">
        <v>44580</v>
      </c>
      <c r="C10" s="190" t="s">
        <v>282</v>
      </c>
      <c r="D10" s="190" t="s">
        <v>283</v>
      </c>
      <c r="E10" s="190" t="s">
        <v>77</v>
      </c>
      <c r="F10" s="190" t="s">
        <v>283</v>
      </c>
      <c r="G10" s="191">
        <v>15</v>
      </c>
      <c r="H10" s="191">
        <v>1</v>
      </c>
      <c r="I10" s="190" t="s">
        <v>283</v>
      </c>
      <c r="J10" s="192">
        <f ca="1">TODAY()-Telefones[[#This Row],[Data do último pedido]]</f>
        <v>13</v>
      </c>
      <c r="K10" s="104" t="str">
        <f ca="1">IF(Telefones[[#This Row],[Tempo do último pedido em dias]]&gt;40,"HÁ MAIS DE 40 DIAS SEM PEDIR - MANDAR MENSAGEM",IF(Telefones[[#This Row],[Tempo do último pedido em dias]]&lt;15,"ATENDIDO RECENTEMENTE","HÁ MAIS DE 15 DIAS SEM PEDIR"))</f>
        <v>ATENDIDO RECENTEMENTE</v>
      </c>
      <c r="L10" s="104" t="s">
        <v>237</v>
      </c>
      <c r="M10" s="104" t="str">
        <f ca="1">IF(Telefones[[#This Row],[Tempo do último pedido em dias]]&gt;60,"CLIENTE NÃO ATIVO","CLIENTE ATIVO")</f>
        <v>CLIENTE ATIVO</v>
      </c>
    </row>
    <row r="11" spans="2:13" ht="48" customHeight="1" x14ac:dyDescent="0.25">
      <c r="K11" s="1"/>
    </row>
    <row r="20" spans="5:11" ht="48" customHeight="1" x14ac:dyDescent="0.25">
      <c r="E20" s="5"/>
      <c r="F20" s="5"/>
      <c r="I20" s="5"/>
      <c r="K20" s="1"/>
    </row>
    <row r="21" spans="5:11" ht="48" customHeight="1" x14ac:dyDescent="0.25">
      <c r="E21" s="5"/>
      <c r="F21" s="5"/>
      <c r="I21" s="5"/>
      <c r="K21" s="1"/>
    </row>
    <row r="22" spans="5:11" ht="48" customHeight="1" x14ac:dyDescent="0.25">
      <c r="K22" s="1"/>
    </row>
    <row r="23" spans="5:11" ht="48" customHeight="1" x14ac:dyDescent="0.25">
      <c r="K23" s="1"/>
    </row>
  </sheetData>
  <phoneticPr fontId="20" type="noConversion"/>
  <conditionalFormatting sqref="K5:K10">
    <cfRule type="cellIs" dxfId="50" priority="1" operator="equal">
      <formula>"ATENDIDO RECENTEMENTE"</formula>
    </cfRule>
    <cfRule type="cellIs" dxfId="49" priority="9" operator="equal">
      <formula>"HÁ MAIS DE 40 DIAS SEM PEDIR - MANDAR MENSAGEM"</formula>
    </cfRule>
    <cfRule type="cellIs" dxfId="48" priority="10" operator="equal">
      <formula>"HÁ MAIS DE 15 DIAS SEM PEDIR"</formula>
    </cfRule>
  </conditionalFormatting>
  <conditionalFormatting sqref="M5:M10">
    <cfRule type="containsText" dxfId="47" priority="2" operator="containsText" text="CLIENTE ATIVO">
      <formula>NOT(ISERROR(SEARCH("CLIENTE ATIVO",M5)))</formula>
    </cfRule>
    <cfRule type="containsText" dxfId="46" priority="3" operator="containsText" text="CLIENTE NÃO ATIVO">
      <formula>NOT(ISERROR(SEARCH("CLIENTE NÃO ATIVO",M5)))</formula>
    </cfRule>
  </conditionalFormatting>
  <conditionalFormatting sqref="L5:M10">
    <cfRule type="cellIs" dxfId="45" priority="247" operator="equal">
      <formula>"NÃO"</formula>
    </cfRule>
    <cfRule type="cellIs" dxfId="44" priority="248" operator="equal">
      <formula>"SIM"</formula>
    </cfRule>
    <cfRule type="iconSet" priority="249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L5:L10" xr:uid="{2B602999-4E16-4E9E-9BDA-4FB20E49B368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B1:Y29"/>
  <sheetViews>
    <sheetView workbookViewId="0">
      <selection activeCell="C20" sqref="C20"/>
    </sheetView>
  </sheetViews>
  <sheetFormatPr defaultRowHeight="15" x14ac:dyDescent="0.25"/>
  <cols>
    <col min="1" max="1" width="9.140625" style="1"/>
    <col min="2" max="2" width="13.7109375" style="1" bestFit="1" customWidth="1"/>
    <col min="3" max="3" width="15.7109375" style="1" bestFit="1" customWidth="1"/>
    <col min="4" max="4" width="28.7109375" style="1" bestFit="1" customWidth="1"/>
    <col min="5" max="5" width="25.85546875" style="1" customWidth="1"/>
    <col min="6" max="6" width="9.28515625" style="1" customWidth="1"/>
    <col min="7" max="7" width="8.85546875" style="1" customWidth="1"/>
    <col min="8" max="8" width="10" style="1" customWidth="1"/>
    <col min="9" max="9" width="22.7109375" style="1" bestFit="1" customWidth="1"/>
    <col min="10" max="10" width="20.7109375" style="1" bestFit="1" customWidth="1"/>
    <col min="11" max="11" width="20" style="1" customWidth="1"/>
    <col min="12" max="12" width="21.5703125" style="1" bestFit="1" customWidth="1"/>
    <col min="13" max="13" width="11.42578125" style="1" bestFit="1" customWidth="1"/>
    <col min="14" max="14" width="12" style="1" bestFit="1" customWidth="1"/>
    <col min="15" max="15" width="16" style="1" bestFit="1" customWidth="1"/>
    <col min="16" max="16" width="11.85546875" style="1" customWidth="1"/>
    <col min="17" max="17" width="24" style="1" bestFit="1" customWidth="1"/>
    <col min="18" max="18" width="13.7109375" style="1" bestFit="1" customWidth="1"/>
    <col min="19" max="19" width="20.7109375" style="1" bestFit="1" customWidth="1"/>
    <col min="20" max="20" width="18.85546875" style="1" bestFit="1" customWidth="1"/>
    <col min="21" max="21" width="24.42578125" style="1" bestFit="1" customWidth="1"/>
    <col min="22" max="22" width="15.5703125" style="1" bestFit="1" customWidth="1"/>
    <col min="23" max="23" width="9.140625" style="1"/>
    <col min="24" max="24" width="24" style="1" bestFit="1" customWidth="1"/>
    <col min="25" max="25" width="12.7109375" style="1" bestFit="1" customWidth="1"/>
    <col min="26" max="26" width="24.42578125" style="1" bestFit="1" customWidth="1"/>
    <col min="27" max="27" width="10.28515625" style="1" customWidth="1"/>
    <col min="28" max="16384" width="9.140625" style="1"/>
  </cols>
  <sheetData>
    <row r="1" spans="2:25" ht="52.5" customHeight="1" x14ac:dyDescent="0.25">
      <c r="B1" s="8" t="s">
        <v>37</v>
      </c>
    </row>
    <row r="3" spans="2:25" x14ac:dyDescent="0.25">
      <c r="C3" s="2" t="s">
        <v>41</v>
      </c>
      <c r="D3" s="2" t="s">
        <v>42</v>
      </c>
      <c r="E3" s="2"/>
      <c r="F3" s="2"/>
      <c r="G3"/>
      <c r="I3" s="2" t="s">
        <v>67</v>
      </c>
      <c r="J3" s="2" t="s">
        <v>68</v>
      </c>
      <c r="L3" s="2" t="s">
        <v>91</v>
      </c>
      <c r="M3" s="2" t="s">
        <v>92</v>
      </c>
      <c r="N3" s="2" t="s">
        <v>129</v>
      </c>
      <c r="O3" s="2" t="s">
        <v>41</v>
      </c>
      <c r="Q3" s="62" t="s">
        <v>206</v>
      </c>
      <c r="S3" s="1" t="s">
        <v>206</v>
      </c>
      <c r="T3" s="1" t="s">
        <v>220</v>
      </c>
      <c r="V3" s="1" t="s">
        <v>154</v>
      </c>
      <c r="X3" s="66" t="s">
        <v>206</v>
      </c>
      <c r="Y3" s="67" t="s">
        <v>220</v>
      </c>
    </row>
    <row r="4" spans="2:25" x14ac:dyDescent="0.25">
      <c r="C4" s="1" t="s">
        <v>12</v>
      </c>
      <c r="D4" s="1" t="s">
        <v>43</v>
      </c>
      <c r="E4" s="2"/>
      <c r="F4" s="2"/>
      <c r="G4"/>
      <c r="I4" s="1" t="s">
        <v>75</v>
      </c>
      <c r="J4" s="3">
        <v>10</v>
      </c>
      <c r="L4" s="1" t="s">
        <v>93</v>
      </c>
      <c r="M4" s="3">
        <v>28.5</v>
      </c>
      <c r="N4" s="4">
        <v>0.3</v>
      </c>
      <c r="O4" s="1" t="s">
        <v>12</v>
      </c>
      <c r="Q4" s="59" t="s">
        <v>1</v>
      </c>
      <c r="S4" s="1" t="s">
        <v>4</v>
      </c>
      <c r="T4" s="1" t="s">
        <v>5</v>
      </c>
      <c r="V4" s="1" t="s">
        <v>147</v>
      </c>
      <c r="X4" s="64" t="s">
        <v>222</v>
      </c>
      <c r="Y4" s="65" t="s">
        <v>32</v>
      </c>
    </row>
    <row r="5" spans="2:25" x14ac:dyDescent="0.25">
      <c r="C5" s="1" t="s">
        <v>21</v>
      </c>
      <c r="D5" s="3" t="s">
        <v>44</v>
      </c>
      <c r="G5"/>
      <c r="I5" s="1" t="s">
        <v>76</v>
      </c>
      <c r="J5" s="3">
        <v>10</v>
      </c>
      <c r="L5" s="1" t="s">
        <v>94</v>
      </c>
      <c r="M5" s="3">
        <v>26.5</v>
      </c>
      <c r="N5" s="4">
        <v>0.3</v>
      </c>
      <c r="O5" s="1" t="s">
        <v>11</v>
      </c>
      <c r="Q5" s="59" t="s">
        <v>222</v>
      </c>
      <c r="S5" s="1" t="s">
        <v>4</v>
      </c>
      <c r="T5" s="1" t="s">
        <v>6</v>
      </c>
      <c r="V5" s="1" t="s">
        <v>148</v>
      </c>
      <c r="X5" s="64" t="s">
        <v>222</v>
      </c>
      <c r="Y5" s="65" t="s">
        <v>33</v>
      </c>
    </row>
    <row r="6" spans="2:25" x14ac:dyDescent="0.25">
      <c r="C6" s="1" t="s">
        <v>9</v>
      </c>
      <c r="D6" s="3" t="s">
        <v>45</v>
      </c>
      <c r="G6"/>
      <c r="I6" s="1" t="s">
        <v>77</v>
      </c>
      <c r="J6" s="3">
        <v>10</v>
      </c>
      <c r="L6" s="1" t="s">
        <v>95</v>
      </c>
      <c r="M6" s="3">
        <v>23.5</v>
      </c>
      <c r="N6" s="4">
        <v>0.3</v>
      </c>
      <c r="O6" s="1" t="s">
        <v>111</v>
      </c>
      <c r="Q6" s="59" t="s">
        <v>0</v>
      </c>
      <c r="S6" s="1" t="s">
        <v>4</v>
      </c>
      <c r="T6" s="1" t="s">
        <v>7</v>
      </c>
      <c r="V6" s="1" t="s">
        <v>149</v>
      </c>
      <c r="X6" s="64" t="s">
        <v>222</v>
      </c>
      <c r="Y6" s="65" t="s">
        <v>34</v>
      </c>
    </row>
    <row r="7" spans="2:25" x14ac:dyDescent="0.25">
      <c r="C7" s="1" t="s">
        <v>26</v>
      </c>
      <c r="D7" s="3" t="s">
        <v>44</v>
      </c>
      <c r="G7"/>
      <c r="I7" s="1" t="s">
        <v>78</v>
      </c>
      <c r="J7" s="3">
        <v>10</v>
      </c>
      <c r="L7" s="1" t="s">
        <v>96</v>
      </c>
      <c r="M7" s="3">
        <v>20.5</v>
      </c>
      <c r="N7" s="4">
        <v>0.3</v>
      </c>
      <c r="O7" s="1" t="s">
        <v>16</v>
      </c>
      <c r="Q7" s="60" t="s">
        <v>4</v>
      </c>
      <c r="S7" s="1" t="s">
        <v>4</v>
      </c>
      <c r="T7" s="1" t="s">
        <v>8</v>
      </c>
      <c r="X7" s="64" t="s">
        <v>222</v>
      </c>
      <c r="Y7" s="65" t="s">
        <v>35</v>
      </c>
    </row>
    <row r="8" spans="2:25" x14ac:dyDescent="0.25">
      <c r="C8" s="1" t="s">
        <v>29</v>
      </c>
      <c r="D8" s="3" t="s">
        <v>44</v>
      </c>
      <c r="G8"/>
      <c r="I8" s="1" t="s">
        <v>79</v>
      </c>
      <c r="J8" s="3">
        <v>10</v>
      </c>
      <c r="L8" s="1" t="s">
        <v>97</v>
      </c>
      <c r="M8" s="3">
        <v>24.5</v>
      </c>
      <c r="N8" s="4">
        <v>0.3</v>
      </c>
      <c r="O8" s="1" t="s">
        <v>113</v>
      </c>
      <c r="S8" s="1" t="s">
        <v>4</v>
      </c>
      <c r="T8" s="1" t="s">
        <v>3</v>
      </c>
      <c r="X8" s="68" t="s">
        <v>222</v>
      </c>
      <c r="Y8" s="69" t="s">
        <v>36</v>
      </c>
    </row>
    <row r="9" spans="2:25" x14ac:dyDescent="0.25">
      <c r="C9" s="1" t="s">
        <v>46</v>
      </c>
      <c r="D9" s="3" t="s">
        <v>47</v>
      </c>
      <c r="G9"/>
      <c r="I9" s="1" t="s">
        <v>80</v>
      </c>
      <c r="J9" s="3">
        <v>10</v>
      </c>
      <c r="L9" s="1" t="s">
        <v>98</v>
      </c>
      <c r="M9" s="3">
        <v>29.5</v>
      </c>
      <c r="N9" s="4">
        <v>0.3</v>
      </c>
      <c r="O9" s="1" t="s">
        <v>112</v>
      </c>
      <c r="S9" s="1" t="s">
        <v>4</v>
      </c>
      <c r="T9" s="1" t="s">
        <v>2</v>
      </c>
    </row>
    <row r="10" spans="2:25" x14ac:dyDescent="0.25">
      <c r="C10" s="1" t="s">
        <v>25</v>
      </c>
      <c r="D10" s="3" t="s">
        <v>44</v>
      </c>
      <c r="G10"/>
      <c r="I10" s="1" t="s">
        <v>69</v>
      </c>
      <c r="J10" s="3">
        <v>10</v>
      </c>
      <c r="L10" s="1" t="s">
        <v>99</v>
      </c>
      <c r="M10" s="3">
        <v>21.5</v>
      </c>
      <c r="N10" s="4">
        <v>0.3</v>
      </c>
      <c r="O10" s="1" t="s">
        <v>114</v>
      </c>
      <c r="Q10"/>
    </row>
    <row r="11" spans="2:25" x14ac:dyDescent="0.25">
      <c r="C11" s="1" t="s">
        <v>13</v>
      </c>
      <c r="D11" s="3" t="s">
        <v>45</v>
      </c>
      <c r="G11"/>
      <c r="I11" s="1" t="s">
        <v>81</v>
      </c>
      <c r="J11" s="3">
        <v>10</v>
      </c>
      <c r="L11" s="1" t="s">
        <v>100</v>
      </c>
      <c r="M11" s="3">
        <v>22.5</v>
      </c>
      <c r="N11" s="4">
        <v>0.3</v>
      </c>
      <c r="O11" s="1" t="s">
        <v>115</v>
      </c>
      <c r="Q11"/>
    </row>
    <row r="12" spans="2:25" x14ac:dyDescent="0.25">
      <c r="C12" s="1" t="s">
        <v>19</v>
      </c>
      <c r="D12" s="3" t="s">
        <v>45</v>
      </c>
      <c r="G12"/>
      <c r="I12" s="1" t="s">
        <v>82</v>
      </c>
      <c r="J12" s="3">
        <v>10</v>
      </c>
      <c r="L12" s="1" t="s">
        <v>101</v>
      </c>
      <c r="M12" s="3">
        <v>21.5</v>
      </c>
      <c r="N12" s="4">
        <v>0.3</v>
      </c>
      <c r="O12" s="1" t="s">
        <v>116</v>
      </c>
      <c r="Q12"/>
    </row>
    <row r="13" spans="2:25" x14ac:dyDescent="0.25">
      <c r="C13" s="1" t="s">
        <v>22</v>
      </c>
      <c r="D13" s="3" t="s">
        <v>48</v>
      </c>
      <c r="G13"/>
      <c r="I13" s="1" t="s">
        <v>83</v>
      </c>
      <c r="J13" s="3">
        <v>10</v>
      </c>
      <c r="L13" s="1" t="s">
        <v>102</v>
      </c>
      <c r="M13" s="3">
        <v>23.5</v>
      </c>
      <c r="N13" s="4">
        <v>0.3</v>
      </c>
      <c r="O13" s="1" t="s">
        <v>117</v>
      </c>
      <c r="Q13"/>
    </row>
    <row r="14" spans="2:25" x14ac:dyDescent="0.25">
      <c r="C14" s="1" t="s">
        <v>27</v>
      </c>
      <c r="D14" s="3" t="s">
        <v>49</v>
      </c>
      <c r="G14"/>
      <c r="I14" s="1" t="s">
        <v>84</v>
      </c>
      <c r="J14" s="3">
        <v>10</v>
      </c>
      <c r="L14" s="1" t="s">
        <v>103</v>
      </c>
      <c r="M14" s="3">
        <v>25.5</v>
      </c>
      <c r="N14" s="4">
        <v>0.3</v>
      </c>
      <c r="O14" s="1" t="s">
        <v>118</v>
      </c>
      <c r="Q14"/>
    </row>
    <row r="15" spans="2:25" x14ac:dyDescent="0.25">
      <c r="C15" s="1" t="s">
        <v>28</v>
      </c>
      <c r="D15" s="3" t="s">
        <v>50</v>
      </c>
      <c r="G15"/>
      <c r="I15" s="1" t="s">
        <v>86</v>
      </c>
      <c r="J15" s="3">
        <v>10</v>
      </c>
      <c r="L15" s="1" t="s">
        <v>104</v>
      </c>
      <c r="M15" s="3">
        <v>28.5</v>
      </c>
      <c r="N15" s="4">
        <v>0.3</v>
      </c>
      <c r="O15" s="1" t="s">
        <v>119</v>
      </c>
      <c r="Q15"/>
    </row>
    <row r="16" spans="2:25" x14ac:dyDescent="0.25">
      <c r="C16" s="1" t="s">
        <v>24</v>
      </c>
      <c r="D16" s="3" t="s">
        <v>43</v>
      </c>
      <c r="G16"/>
      <c r="I16" s="1" t="s">
        <v>87</v>
      </c>
      <c r="J16" s="3">
        <v>10</v>
      </c>
      <c r="L16" s="1" t="s">
        <v>105</v>
      </c>
      <c r="M16" s="3">
        <v>31.5</v>
      </c>
      <c r="N16" s="4">
        <v>0.3</v>
      </c>
      <c r="O16" s="1" t="s">
        <v>14</v>
      </c>
      <c r="Q16"/>
    </row>
    <row r="17" spans="3:17" x14ac:dyDescent="0.25">
      <c r="C17" s="1" t="s">
        <v>10</v>
      </c>
      <c r="D17" s="3" t="s">
        <v>45</v>
      </c>
      <c r="G17"/>
      <c r="I17" s="1" t="s">
        <v>88</v>
      </c>
      <c r="J17" s="3">
        <v>10</v>
      </c>
      <c r="L17" s="1" t="s">
        <v>106</v>
      </c>
      <c r="M17" s="3">
        <v>7</v>
      </c>
      <c r="N17" s="4">
        <v>0.3</v>
      </c>
      <c r="O17" s="1" t="s">
        <v>120</v>
      </c>
      <c r="Q17"/>
    </row>
    <row r="18" spans="3:17" x14ac:dyDescent="0.25">
      <c r="C18" s="1" t="s">
        <v>14</v>
      </c>
      <c r="D18" s="3" t="s">
        <v>45</v>
      </c>
      <c r="G18"/>
      <c r="I18" s="1" t="s">
        <v>89</v>
      </c>
      <c r="J18" s="3">
        <v>10</v>
      </c>
      <c r="L18" s="1" t="s">
        <v>107</v>
      </c>
      <c r="M18" s="3">
        <v>6.5</v>
      </c>
      <c r="N18" s="4">
        <v>0.3</v>
      </c>
      <c r="O18" s="1" t="s">
        <v>121</v>
      </c>
      <c r="Q18"/>
    </row>
    <row r="19" spans="3:17" x14ac:dyDescent="0.25">
      <c r="C19" s="1" t="s">
        <v>51</v>
      </c>
      <c r="D19" s="3" t="s">
        <v>43</v>
      </c>
      <c r="G19"/>
      <c r="L19" s="1" t="s">
        <v>108</v>
      </c>
      <c r="M19" s="3">
        <v>5.5</v>
      </c>
      <c r="N19" s="4">
        <v>0.3</v>
      </c>
      <c r="O19" s="1" t="s">
        <v>46</v>
      </c>
    </row>
    <row r="20" spans="3:17" x14ac:dyDescent="0.25">
      <c r="C20" s="1" t="s">
        <v>15</v>
      </c>
      <c r="D20" s="3" t="s">
        <v>45</v>
      </c>
      <c r="G20"/>
      <c r="L20" s="1" t="s">
        <v>109</v>
      </c>
      <c r="M20" s="3">
        <v>5.5</v>
      </c>
      <c r="N20" s="4">
        <v>0.3</v>
      </c>
    </row>
    <row r="21" spans="3:17" x14ac:dyDescent="0.25">
      <c r="C21" s="1" t="s">
        <v>16</v>
      </c>
      <c r="D21" s="3" t="s">
        <v>45</v>
      </c>
      <c r="G21"/>
      <c r="L21" s="1" t="s">
        <v>110</v>
      </c>
      <c r="M21" s="3">
        <v>9.5</v>
      </c>
      <c r="N21" s="4">
        <v>0.3</v>
      </c>
    </row>
    <row r="22" spans="3:17" x14ac:dyDescent="0.25">
      <c r="C22" s="1" t="s">
        <v>52</v>
      </c>
      <c r="D22" s="3" t="s">
        <v>47</v>
      </c>
      <c r="G22"/>
      <c r="L22" s="1" t="s">
        <v>32</v>
      </c>
      <c r="M22" s="3">
        <v>3</v>
      </c>
      <c r="N22" s="4">
        <v>0.3</v>
      </c>
    </row>
    <row r="23" spans="3:17" x14ac:dyDescent="0.25">
      <c r="C23" s="1" t="s">
        <v>18</v>
      </c>
      <c r="D23" s="3" t="s">
        <v>47</v>
      </c>
      <c r="G23"/>
    </row>
    <row r="24" spans="3:17" x14ac:dyDescent="0.25">
      <c r="C24" s="1" t="s">
        <v>11</v>
      </c>
      <c r="D24" s="3" t="s">
        <v>45</v>
      </c>
      <c r="G24"/>
    </row>
    <row r="25" spans="3:17" x14ac:dyDescent="0.25">
      <c r="C25" s="1" t="s">
        <v>20</v>
      </c>
      <c r="D25" s="3" t="s">
        <v>45</v>
      </c>
      <c r="G25"/>
    </row>
    <row r="26" spans="3:17" x14ac:dyDescent="0.25">
      <c r="C26" s="1" t="s">
        <v>17</v>
      </c>
      <c r="D26" s="3" t="s">
        <v>53</v>
      </c>
      <c r="G26"/>
    </row>
    <row r="27" spans="3:17" x14ac:dyDescent="0.25">
      <c r="C27" s="1" t="s">
        <v>23</v>
      </c>
      <c r="D27" s="3" t="s">
        <v>53</v>
      </c>
      <c r="G27"/>
    </row>
    <row r="28" spans="3:17" x14ac:dyDescent="0.25">
      <c r="G28"/>
    </row>
    <row r="29" spans="3:17" x14ac:dyDescent="0.25">
      <c r="G29"/>
      <c r="H29"/>
      <c r="I29"/>
    </row>
  </sheetData>
  <hyperlinks>
    <hyperlink ref="B1" location="Menu!A1" display="MENU INICIAL" xr:uid="{B2FF7B95-B430-4C33-9FC8-30F3B687DA41}"/>
  </hyperlinks>
  <pageMargins left="0.511811024" right="0.511811024" top="0.78740157499999996" bottom="0.78740157499999996" header="0.31496062000000002" footer="0.31496062000000002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025DC-9148-4AEF-A18D-03A14E6ABC6B}">
  <sheetPr codeName="Planilha7"/>
  <dimension ref="A1:L8"/>
  <sheetViews>
    <sheetView showGridLines="0" showRowColHeaders="0" zoomScale="70" zoomScaleNormal="70" workbookViewId="0"/>
  </sheetViews>
  <sheetFormatPr defaultRowHeight="15" x14ac:dyDescent="0.25"/>
  <cols>
    <col min="1" max="3" width="15.140625" customWidth="1"/>
    <col min="4" max="4" width="10.140625" customWidth="1"/>
    <col min="5" max="6" width="19.28515625" customWidth="1"/>
    <col min="7" max="7" width="24" customWidth="1"/>
    <col min="8" max="8" width="19.28515625" customWidth="1"/>
    <col min="9" max="9" width="17.5703125" customWidth="1"/>
  </cols>
  <sheetData>
    <row r="1" spans="1:12" s="71" customFormat="1" ht="129.75" customHeight="1" x14ac:dyDescent="0.25"/>
    <row r="2" spans="1:12" ht="37.5" customHeight="1" x14ac:dyDescent="0.25">
      <c r="A2" s="172" t="s">
        <v>253</v>
      </c>
      <c r="B2" s="173"/>
      <c r="C2" s="174"/>
      <c r="D2" s="175"/>
      <c r="E2" s="175"/>
      <c r="F2" s="175"/>
      <c r="G2" s="175"/>
    </row>
    <row r="3" spans="1:12" ht="15.75" customHeight="1" x14ac:dyDescent="0.25"/>
    <row r="4" spans="1:12" ht="15" customHeight="1" x14ac:dyDescent="0.25">
      <c r="F4" s="201" t="s">
        <v>172</v>
      </c>
      <c r="G4" s="201"/>
      <c r="H4" s="201"/>
    </row>
    <row r="5" spans="1:12" ht="23.25" customHeight="1" x14ac:dyDescent="0.25">
      <c r="F5" s="201"/>
      <c r="G5" s="201"/>
      <c r="H5" s="201"/>
    </row>
    <row r="6" spans="1:12" ht="15.75" customHeight="1" x14ac:dyDescent="0.25">
      <c r="L6" s="47"/>
    </row>
    <row r="7" spans="1:12" x14ac:dyDescent="0.25">
      <c r="K7" s="47"/>
      <c r="L7" s="47"/>
    </row>
    <row r="8" spans="1:12" x14ac:dyDescent="0.25">
      <c r="K8" s="47"/>
      <c r="L8" s="47"/>
    </row>
  </sheetData>
  <mergeCells count="1">
    <mergeCell ref="F4:H5"/>
  </mergeCell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1DE07C-EF31-473F-AE6B-2645DD3528F8}">
          <x14:formula1>
            <xm:f>'Soma valores totais'!$A$21:$A$25</xm:f>
          </x14:formula1>
          <xm:sqref>F4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AD7A-E1D3-482C-BA83-376CBA03F125}">
  <sheetPr codeName="Planilha9"/>
  <dimension ref="K1:K14"/>
  <sheetViews>
    <sheetView topLeftCell="A10" workbookViewId="0">
      <selection activeCell="N10" sqref="N10"/>
    </sheetView>
  </sheetViews>
  <sheetFormatPr defaultRowHeight="15" x14ac:dyDescent="0.25"/>
  <cols>
    <col min="1" max="1" width="35.42578125" customWidth="1"/>
    <col min="2" max="2" width="11.140625" bestFit="1" customWidth="1"/>
    <col min="11" max="11" width="43.42578125" customWidth="1"/>
  </cols>
  <sheetData>
    <row r="1" spans="11:11" ht="49.5" customHeight="1" x14ac:dyDescent="0.25"/>
    <row r="8" spans="11:11" s="1" customFormat="1" ht="45" x14ac:dyDescent="0.25">
      <c r="K8" s="188" t="s">
        <v>262</v>
      </c>
    </row>
    <row r="9" spans="11:11" s="1" customFormat="1" ht="30" x14ac:dyDescent="0.25">
      <c r="K9" s="188" t="s">
        <v>263</v>
      </c>
    </row>
    <row r="10" spans="11:11" s="1" customFormat="1" ht="75" x14ac:dyDescent="0.25">
      <c r="K10" s="188" t="s">
        <v>261</v>
      </c>
    </row>
    <row r="11" spans="11:11" ht="60" x14ac:dyDescent="0.25">
      <c r="K11" s="188" t="s">
        <v>260</v>
      </c>
    </row>
    <row r="12" spans="11:11" ht="75" x14ac:dyDescent="0.25">
      <c r="K12" s="188" t="s">
        <v>264</v>
      </c>
    </row>
    <row r="13" spans="11:11" ht="30" x14ac:dyDescent="0.25">
      <c r="K13" s="188" t="s">
        <v>265</v>
      </c>
    </row>
    <row r="14" spans="11:11" ht="75" x14ac:dyDescent="0.25">
      <c r="K14" s="188" t="s">
        <v>266</v>
      </c>
    </row>
  </sheetData>
  <phoneticPr fontId="20" type="noConversion"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913D3F-0A69-4978-89FA-6C9C586F64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Menu</vt:lpstr>
      <vt:lpstr>Despesas Fixas</vt:lpstr>
      <vt:lpstr>Soma valores totais</vt:lpstr>
      <vt:lpstr>Controle Mercadorias</vt:lpstr>
      <vt:lpstr>Investimentos</vt:lpstr>
      <vt:lpstr>Controle de Estoque</vt:lpstr>
      <vt:lpstr>Resultados</vt:lpstr>
      <vt:lpstr>Vendas</vt:lpstr>
      <vt:lpstr>Telefones</vt:lpstr>
      <vt:lpstr>Produtos</vt:lpstr>
      <vt:lpstr>Gráficos</vt:lpstr>
      <vt:lpstr>Tabela Quantidades</vt:lpstr>
      <vt:lpstr>Bairros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joao mm</cp:lastModifiedBy>
  <dcterms:created xsi:type="dcterms:W3CDTF">2015-06-24T19:21:22Z</dcterms:created>
  <dcterms:modified xsi:type="dcterms:W3CDTF">2022-02-01T14:34:52Z</dcterms:modified>
</cp:coreProperties>
</file>