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0" windowWidth="19320" windowHeight="8340"/>
  </bookViews>
  <sheets>
    <sheet name="Presupuesto y Flujo de Caja" sheetId="1" r:id="rId1"/>
    <sheet name="Gastos de personal" sheetId="2" r:id="rId2"/>
  </sheets>
  <externalReferences>
    <externalReference r:id="rId3"/>
    <externalReference r:id="rId4"/>
    <externalReference r:id="rId5"/>
  </externalReferences>
  <definedNames>
    <definedName name="_xlnm.Print_Area" localSheetId="1">'Gastos de personal'!$A$1:$P$20</definedName>
    <definedName name="ARP">'[1]Datos Básicos'!$F$9</definedName>
    <definedName name="AT">'[1]Datos Básicos'!$B$6</definedName>
    <definedName name="CAJA">'[1]Datos Básicos'!$B$11</definedName>
    <definedName name="Cesantia">'[1]Datos Básicos'!$B$19</definedName>
    <definedName name="EMPLEADOS" localSheetId="1">#REF!</definedName>
    <definedName name="EMPLEADOS">#REF!</definedName>
    <definedName name="ESAP">'[1]Datos Básicos'!$F$15</definedName>
    <definedName name="ExtraDiurna" localSheetId="1">'[1]Datos Básicos'!#REF!</definedName>
    <definedName name="ExtraDiurna">'[1]Datos Básicos'!#REF!</definedName>
    <definedName name="ExtraDiurnaDominicalFestivo" localSheetId="1">'[1]Datos Básicos'!#REF!</definedName>
    <definedName name="ExtraDiurnaDominicalFestivo">'[1]Datos Básicos'!#REF!</definedName>
    <definedName name="ExtraNocturna" localSheetId="1">'[1]Datos Básicos'!#REF!</definedName>
    <definedName name="ExtraNocturna">'[1]Datos Básicos'!#REF!</definedName>
    <definedName name="FonSol1">'[1]Datos Básicos'!$B$26</definedName>
    <definedName name="FonSol2">'[1]Datos Básicos'!$B$27</definedName>
    <definedName name="FonSol3">'[1]Datos Básicos'!$B$28</definedName>
    <definedName name="FonSol4">'[1]Datos Básicos'!$B$29</definedName>
    <definedName name="FonSol5">'[1]Datos Básicos'!$B$30</definedName>
    <definedName name="FonSol6">'[1]Datos Básicos'!$B$31</definedName>
    <definedName name="ICBF">'[1]Datos Básicos'!$B$10</definedName>
    <definedName name="IncGto">'[2]Evaluación Financiera Mensual'!$R$6</definedName>
    <definedName name="IncSalarios">'[2]Evaluación Financiera Mensual'!$T$6</definedName>
    <definedName name="IND">'[1]Datos Básicos'!$F$16</definedName>
    <definedName name="IntCesantia">'[1]Datos Básicos'!$B$22</definedName>
    <definedName name="OrdinariaDominicalFestivo" localSheetId="1">'[1]Datos Básicos'!#REF!</definedName>
    <definedName name="OrdinariaDominicalFestivo">'[1]Datos Básicos'!#REF!</definedName>
    <definedName name="PensionEmpleado">'[1]Datos Básicos'!$B$16</definedName>
    <definedName name="PensionEmpresa">'[1]Datos Básicos'!$C$16</definedName>
    <definedName name="Prima">'[1]Datos Básicos'!$B$20</definedName>
    <definedName name="RecargoNocturno" localSheetId="1">'[1]Datos Básicos'!#REF!</definedName>
    <definedName name="RecargoNocturno">'[1]Datos Básicos'!#REF!</definedName>
    <definedName name="SaludEmpleado">'[1]Datos Básicos'!$B$15</definedName>
    <definedName name="SaludEmpresa">'[1]Datos Básicos'!$C$15</definedName>
    <definedName name="SENA">'[1]Datos Básicos'!$B$9</definedName>
    <definedName name="SM">'[1]Datos Básicos'!$B$5</definedName>
    <definedName name="UVT">'[1]Datos Básicos'!$F$11</definedName>
    <definedName name="V20150102UP" localSheetId="1">'[2]Evaluación Financiera Mensual'!#REF!</definedName>
    <definedName name="V20150102UP3" localSheetId="1">'[2]K W'!#REF!</definedName>
    <definedName name="Vacaciones">'[1]Datos Básicos'!$B$21</definedName>
    <definedName name="ValorHora">[1]Calculos!$B$4</definedName>
  </definedNames>
  <calcPr calcId="1456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E29" i="2" l="1"/>
  <c r="I29" i="2" s="1"/>
  <c r="K29" i="2" l="1"/>
  <c r="J29" i="2"/>
  <c r="O29" i="2" l="1"/>
  <c r="P29" i="2" s="1"/>
  <c r="D8" i="1" l="1"/>
  <c r="C39" i="1"/>
  <c r="D53" i="1"/>
  <c r="D38" i="1"/>
  <c r="D31" i="1"/>
  <c r="D6" i="1" s="1"/>
  <c r="C33" i="1"/>
  <c r="G7" i="2"/>
  <c r="H7" i="2"/>
  <c r="L7" i="2"/>
  <c r="M7" i="2"/>
  <c r="N7" i="2"/>
  <c r="D56" i="1" l="1"/>
  <c r="C43" i="1"/>
  <c r="C41" i="1"/>
  <c r="E38" i="1"/>
  <c r="F38" i="1" s="1"/>
  <c r="G38" i="1" s="1"/>
  <c r="H38" i="1" s="1"/>
  <c r="E31" i="1"/>
  <c r="E32" i="1" s="1"/>
  <c r="D1" i="1"/>
  <c r="C16" i="1"/>
  <c r="C9" i="1"/>
  <c r="C45" i="1"/>
  <c r="E46" i="1" s="1"/>
  <c r="E69" i="1" s="1"/>
  <c r="D79" i="1"/>
  <c r="D78" i="1"/>
  <c r="F46" i="1"/>
  <c r="F69" i="1" s="1"/>
  <c r="A32" i="1"/>
  <c r="D32" i="1" s="1"/>
  <c r="E26" i="2"/>
  <c r="I26" i="2" s="1"/>
  <c r="E27" i="2"/>
  <c r="E28" i="2"/>
  <c r="I28" i="2" s="1"/>
  <c r="E30" i="2"/>
  <c r="E31" i="2"/>
  <c r="I31" i="2" s="1"/>
  <c r="J31" i="2" s="1"/>
  <c r="E32" i="2"/>
  <c r="I32" i="2" s="1"/>
  <c r="E33" i="2"/>
  <c r="I33" i="2" s="1"/>
  <c r="J33" i="2" s="1"/>
  <c r="E34" i="2"/>
  <c r="E6" i="2"/>
  <c r="E5" i="2"/>
  <c r="I5" i="2" s="1"/>
  <c r="B35" i="2"/>
  <c r="I27" i="2"/>
  <c r="J27" i="2" s="1"/>
  <c r="I30" i="2"/>
  <c r="J30" i="2" s="1"/>
  <c r="I34" i="2"/>
  <c r="J34" i="2" s="1"/>
  <c r="I6" i="2"/>
  <c r="J6" i="2" s="1"/>
  <c r="F35" i="2"/>
  <c r="E4" i="2"/>
  <c r="E7" i="2" s="1"/>
  <c r="F4" i="2"/>
  <c r="F7" i="2" s="1"/>
  <c r="D19" i="1"/>
  <c r="E19" i="1" s="1"/>
  <c r="F19" i="1" s="1"/>
  <c r="G19" i="1" s="1"/>
  <c r="H19" i="1" s="1"/>
  <c r="J34" i="1"/>
  <c r="H37" i="1"/>
  <c r="E1" i="1"/>
  <c r="N35" i="2"/>
  <c r="M35" i="2"/>
  <c r="L35" i="2"/>
  <c r="H35" i="2"/>
  <c r="G35" i="2"/>
  <c r="L23" i="2"/>
  <c r="M23" i="2" s="1"/>
  <c r="J23" i="2"/>
  <c r="K23" i="2" s="1"/>
  <c r="I23" i="2"/>
  <c r="H23" i="2"/>
  <c r="G23" i="2"/>
  <c r="F23" i="2"/>
  <c r="D7" i="2"/>
  <c r="B7" i="2"/>
  <c r="L1" i="2"/>
  <c r="M1" i="2" s="1"/>
  <c r="J1" i="2"/>
  <c r="K1" i="2" s="1"/>
  <c r="I1" i="2"/>
  <c r="H1" i="2"/>
  <c r="G1" i="2"/>
  <c r="F1" i="2"/>
  <c r="F1" i="1"/>
  <c r="G1" i="1" s="1"/>
  <c r="H1" i="1" s="1"/>
  <c r="G47" i="1"/>
  <c r="J26" i="2" l="1"/>
  <c r="K26" i="2"/>
  <c r="J28" i="2"/>
  <c r="K28" i="2"/>
  <c r="D57" i="1"/>
  <c r="D62" i="1" s="1"/>
  <c r="D33" i="1"/>
  <c r="D37" i="1"/>
  <c r="E6" i="1"/>
  <c r="E47" i="1"/>
  <c r="G37" i="1"/>
  <c r="F37" i="1"/>
  <c r="G48" i="1"/>
  <c r="F57" i="1"/>
  <c r="E37" i="1"/>
  <c r="E56" i="1"/>
  <c r="F47" i="1"/>
  <c r="H46" i="1"/>
  <c r="H69" i="1" s="1"/>
  <c r="D49" i="1"/>
  <c r="O26" i="2"/>
  <c r="P26" i="2" s="1"/>
  <c r="F31" i="1"/>
  <c r="F56" i="1" s="1"/>
  <c r="D47" i="1"/>
  <c r="E48" i="1"/>
  <c r="D12" i="1"/>
  <c r="D68" i="1" s="1"/>
  <c r="H47" i="1"/>
  <c r="G46" i="1"/>
  <c r="G69" i="1" s="1"/>
  <c r="H48" i="1"/>
  <c r="F48" i="1"/>
  <c r="D48" i="1"/>
  <c r="D46" i="1"/>
  <c r="D69" i="1" s="1"/>
  <c r="E8" i="1"/>
  <c r="F8" i="1"/>
  <c r="G8" i="1" s="1"/>
  <c r="H8" i="1" s="1"/>
  <c r="E33" i="1"/>
  <c r="E80" i="1"/>
  <c r="F62" i="1"/>
  <c r="F6" i="1"/>
  <c r="F32" i="1"/>
  <c r="G31" i="1"/>
  <c r="E57" i="1"/>
  <c r="E62" i="1" s="1"/>
  <c r="D80" i="1"/>
  <c r="D81" i="1" s="1"/>
  <c r="D5" i="1" s="1"/>
  <c r="J32" i="2"/>
  <c r="O32" i="2" s="1"/>
  <c r="P32" i="2" s="1"/>
  <c r="K32" i="2"/>
  <c r="I35" i="2"/>
  <c r="K34" i="2"/>
  <c r="O34" i="2" s="1"/>
  <c r="P34" i="2" s="1"/>
  <c r="K30" i="2"/>
  <c r="O30" i="2" s="1"/>
  <c r="P30" i="2" s="1"/>
  <c r="K27" i="2"/>
  <c r="O27" i="2" s="1"/>
  <c r="J5" i="2"/>
  <c r="K5" i="2"/>
  <c r="I4" i="2"/>
  <c r="I7" i="2" s="1"/>
  <c r="K6" i="2"/>
  <c r="O6" i="2" s="1"/>
  <c r="P6" i="2" s="1"/>
  <c r="K33" i="2"/>
  <c r="O33" i="2" s="1"/>
  <c r="P33" i="2" s="1"/>
  <c r="K31" i="2"/>
  <c r="E35" i="2"/>
  <c r="L40" i="2" l="1"/>
  <c r="O39" i="2"/>
  <c r="O40" i="2" s="1"/>
  <c r="L39" i="2"/>
  <c r="O5" i="2"/>
  <c r="P5" i="2" s="1"/>
  <c r="D83" i="1"/>
  <c r="O42" i="2"/>
  <c r="D65" i="1"/>
  <c r="E65" i="1" s="1"/>
  <c r="F65" i="1" s="1"/>
  <c r="G65" i="1" s="1"/>
  <c r="H65" i="1" s="1"/>
  <c r="D13" i="1"/>
  <c r="E49" i="1"/>
  <c r="K35" i="2"/>
  <c r="E68" i="1"/>
  <c r="O28" i="2"/>
  <c r="P28" i="2" s="1"/>
  <c r="E79" i="1"/>
  <c r="E12" i="1" s="1"/>
  <c r="F68" i="1" s="1"/>
  <c r="E78" i="1"/>
  <c r="G56" i="1"/>
  <c r="G32" i="1"/>
  <c r="G33" i="1" s="1"/>
  <c r="G6" i="1"/>
  <c r="H31" i="1"/>
  <c r="H57" i="1"/>
  <c r="F33" i="1"/>
  <c r="F80" i="1"/>
  <c r="L41" i="2"/>
  <c r="L42" i="2"/>
  <c r="O41" i="2"/>
  <c r="J35" i="2"/>
  <c r="L44" i="2"/>
  <c r="L43" i="2"/>
  <c r="O31" i="2"/>
  <c r="P31" i="2" s="1"/>
  <c r="J4" i="2"/>
  <c r="J7" i="2" s="1"/>
  <c r="K4" i="2"/>
  <c r="K7" i="2" s="1"/>
  <c r="P27" i="2"/>
  <c r="L45" i="2" l="1"/>
  <c r="P35" i="2"/>
  <c r="F49" i="1"/>
  <c r="E13" i="1"/>
  <c r="E81" i="1"/>
  <c r="H56" i="1"/>
  <c r="H62" i="1" s="1"/>
  <c r="H32" i="1"/>
  <c r="H80" i="1" s="1"/>
  <c r="H6" i="1"/>
  <c r="H33" i="1"/>
  <c r="G57" i="1"/>
  <c r="G62" i="1" s="1"/>
  <c r="G80" i="1"/>
  <c r="O35" i="2"/>
  <c r="O45" i="2"/>
  <c r="O4" i="2"/>
  <c r="O7" i="2" s="1"/>
  <c r="L11" i="2"/>
  <c r="L13" i="2"/>
  <c r="O14" i="2"/>
  <c r="L12" i="2"/>
  <c r="L15" i="2"/>
  <c r="O11" i="2"/>
  <c r="O12" i="2" s="1"/>
  <c r="L14" i="2"/>
  <c r="O13" i="2"/>
  <c r="L16" i="2"/>
  <c r="P47" i="2" l="1"/>
  <c r="F13" i="1"/>
  <c r="G49" i="1"/>
  <c r="D14" i="1"/>
  <c r="J47" i="2"/>
  <c r="F78" i="1"/>
  <c r="F81" i="1" s="1"/>
  <c r="F83" i="1" s="1"/>
  <c r="E5" i="1"/>
  <c r="F79" i="1" s="1"/>
  <c r="F12" i="1" s="1"/>
  <c r="G68" i="1" s="1"/>
  <c r="E83" i="1"/>
  <c r="O17" i="2"/>
  <c r="P4" i="2"/>
  <c r="P7" i="2" s="1"/>
  <c r="L17" i="2"/>
  <c r="P48" i="2" l="1"/>
  <c r="E35" i="1" s="1"/>
  <c r="J19" i="2"/>
  <c r="L20" i="2" s="1"/>
  <c r="D36" i="1" s="1"/>
  <c r="E14" i="1"/>
  <c r="F14" i="1" s="1"/>
  <c r="G14" i="1" s="1"/>
  <c r="H14" i="1" s="1"/>
  <c r="G13" i="1"/>
  <c r="H49" i="1"/>
  <c r="P19" i="2"/>
  <c r="D66" i="1" s="1"/>
  <c r="E66" i="1" s="1"/>
  <c r="F66" i="1" s="1"/>
  <c r="G66" i="1" s="1"/>
  <c r="H66" i="1" s="1"/>
  <c r="F5" i="1"/>
  <c r="D70" i="1" l="1"/>
  <c r="E36" i="1"/>
  <c r="E70" i="1" s="1"/>
  <c r="G79" i="1"/>
  <c r="G12" i="1" s="1"/>
  <c r="H68" i="1" s="1"/>
  <c r="G78" i="1"/>
  <c r="D39" i="1"/>
  <c r="D41" i="1" s="1"/>
  <c r="D67" i="1" s="1"/>
  <c r="D71" i="1" s="1"/>
  <c r="F36" i="1" l="1"/>
  <c r="F70" i="1" s="1"/>
  <c r="G81" i="1"/>
  <c r="F35" i="1"/>
  <c r="E39" i="1"/>
  <c r="C20" i="1"/>
  <c r="D43" i="1"/>
  <c r="D20" i="1" s="1"/>
  <c r="G36" i="1" l="1"/>
  <c r="G70" i="1" s="1"/>
  <c r="G5" i="1"/>
  <c r="G83" i="1"/>
  <c r="H36" i="1"/>
  <c r="H70" i="1" s="1"/>
  <c r="D21" i="1"/>
  <c r="E21" i="1" s="1"/>
  <c r="C22" i="1"/>
  <c r="C24" i="1" s="1"/>
  <c r="C26" i="1" s="1"/>
  <c r="F39" i="1"/>
  <c r="G35" i="1"/>
  <c r="D15" i="1"/>
  <c r="D16" i="1" s="1"/>
  <c r="E67" i="1"/>
  <c r="E71" i="1" s="1"/>
  <c r="E41" i="1"/>
  <c r="E43" i="1" s="1"/>
  <c r="E20" i="1" s="1"/>
  <c r="H79" i="1" l="1"/>
  <c r="H12" i="1" s="1"/>
  <c r="H78" i="1"/>
  <c r="F21" i="1"/>
  <c r="E22" i="1"/>
  <c r="F41" i="1"/>
  <c r="D22" i="1"/>
  <c r="D24" i="1" s="1"/>
  <c r="H35" i="1"/>
  <c r="H39" i="1" s="1"/>
  <c r="G39" i="1"/>
  <c r="G41" i="1" s="1"/>
  <c r="F67" i="1"/>
  <c r="F71" i="1" s="1"/>
  <c r="E15" i="1"/>
  <c r="E16" i="1" s="1"/>
  <c r="H81" i="1" l="1"/>
  <c r="G43" i="1"/>
  <c r="G20" i="1" s="1"/>
  <c r="H67" i="1"/>
  <c r="H71" i="1" s="1"/>
  <c r="G15" i="1"/>
  <c r="G16" i="1" s="1"/>
  <c r="G67" i="1"/>
  <c r="G71" i="1" s="1"/>
  <c r="F15" i="1"/>
  <c r="F16" i="1" s="1"/>
  <c r="H41" i="1"/>
  <c r="H15" i="1" s="1"/>
  <c r="H16" i="1" s="1"/>
  <c r="F43" i="1"/>
  <c r="F20" i="1" s="1"/>
  <c r="G21" i="1" s="1"/>
  <c r="E24" i="1"/>
  <c r="H5" i="1" l="1"/>
  <c r="H83" i="1"/>
  <c r="H43" i="1"/>
  <c r="H20" i="1" s="1"/>
  <c r="F22" i="1"/>
  <c r="F24" i="1" s="1"/>
  <c r="H21" i="1"/>
  <c r="G22" i="1"/>
  <c r="G24" i="1" s="1"/>
  <c r="H22" i="1" l="1"/>
  <c r="H24" i="1" s="1"/>
  <c r="D73" i="1"/>
  <c r="D4" i="1" s="1"/>
  <c r="D9" i="1" s="1"/>
  <c r="D26" i="1" s="1"/>
  <c r="E53" i="1" l="1"/>
  <c r="E73" i="1" s="1"/>
  <c r="E4" i="1" l="1"/>
  <c r="E9" i="1" s="1"/>
  <c r="E26" i="1" s="1"/>
  <c r="F53" i="1"/>
  <c r="F73" i="1" s="1"/>
  <c r="G53" i="1" l="1"/>
  <c r="G73" i="1" s="1"/>
  <c r="F4" i="1"/>
  <c r="F9" i="1" s="1"/>
  <c r="F26" i="1" s="1"/>
  <c r="H53" i="1" l="1"/>
  <c r="H73" i="1" s="1"/>
  <c r="H4" i="1" s="1"/>
  <c r="H9" i="1" s="1"/>
  <c r="H26" i="1" s="1"/>
  <c r="G4" i="1"/>
  <c r="G9" i="1" s="1"/>
  <c r="G26" i="1" s="1"/>
</calcChain>
</file>

<file path=xl/sharedStrings.xml><?xml version="1.0" encoding="utf-8"?>
<sst xmlns="http://schemas.openxmlformats.org/spreadsheetml/2006/main" count="139" uniqueCount="93">
  <si>
    <t>UTILIDAD NETA</t>
  </si>
  <si>
    <t>1,2</t>
  </si>
  <si>
    <t>Gastos de Personal Adminitrativo</t>
  </si>
  <si>
    <t>SUELDO BASICO</t>
  </si>
  <si>
    <t xml:space="preserve">DIAS </t>
  </si>
  <si>
    <t>DEVENGADO</t>
  </si>
  <si>
    <t>TOTAL DEVENGADO</t>
  </si>
  <si>
    <t>DEDUCCIONES</t>
  </si>
  <si>
    <t>TOTAL DEDUCCIONES</t>
  </si>
  <si>
    <t>NETO PAGADO</t>
  </si>
  <si>
    <t>CARGO</t>
  </si>
  <si>
    <t>No. de personas</t>
  </si>
  <si>
    <t>BASICO</t>
  </si>
  <si>
    <t>AUXILIO DE TRANSPORTE</t>
  </si>
  <si>
    <t>HORAS EXTRAS</t>
  </si>
  <si>
    <t>COMISIONES</t>
  </si>
  <si>
    <t>SALUD</t>
  </si>
  <si>
    <t>PENSION</t>
  </si>
  <si>
    <t>FONDO DE SOLIDARIDAD</t>
  </si>
  <si>
    <t>RETENCION EN LA FUENTE</t>
  </si>
  <si>
    <t>OTRAS DEDUCCIONES</t>
  </si>
  <si>
    <t>TOTALES</t>
  </si>
  <si>
    <t>Aportes Parafiscales</t>
  </si>
  <si>
    <t>Valor</t>
  </si>
  <si>
    <t>Otras Apropiaciones</t>
  </si>
  <si>
    <t>Salud</t>
  </si>
  <si>
    <t>Cesantia</t>
  </si>
  <si>
    <t>Riesgos Profesionales</t>
  </si>
  <si>
    <t>Int. S/Cesantia</t>
  </si>
  <si>
    <t>Fondo de Pensiones</t>
  </si>
  <si>
    <t>Prima de Servicios</t>
  </si>
  <si>
    <t>ICBF</t>
  </si>
  <si>
    <t>Vacaciones</t>
  </si>
  <si>
    <t>SENA</t>
  </si>
  <si>
    <t>Caja de Compensacion</t>
  </si>
  <si>
    <t>Subtotal</t>
  </si>
  <si>
    <t>Gastos de Personal Directo 2</t>
  </si>
  <si>
    <t>No. de Personas</t>
  </si>
  <si>
    <t>Costo de Personal Total</t>
  </si>
  <si>
    <t>ACTIVOS</t>
  </si>
  <si>
    <t>BANCOS</t>
  </si>
  <si>
    <t>INVENTARIOS</t>
  </si>
  <si>
    <t>CUENTAS X COBRAR</t>
  </si>
  <si>
    <t>ACTIVOS FIJOS</t>
  </si>
  <si>
    <t>DEPRECIACION ACUMULADA</t>
  </si>
  <si>
    <t>TOTAL</t>
  </si>
  <si>
    <t>PASIVAS</t>
  </si>
  <si>
    <t>PATRIMONIO</t>
  </si>
  <si>
    <t>COMPROBACION</t>
  </si>
  <si>
    <t>BALANCE GENERAL</t>
  </si>
  <si>
    <t>ESTADO DE RESULTADOS</t>
  </si>
  <si>
    <t>PROVEEDORES</t>
  </si>
  <si>
    <t>OBLGACIONES FINANCIERAS</t>
  </si>
  <si>
    <t>OBLIGACIONES LABORALES</t>
  </si>
  <si>
    <t>IMPUESTOS</t>
  </si>
  <si>
    <t>CAPITAL</t>
  </si>
  <si>
    <t>UTILIDAD RETENIDA</t>
  </si>
  <si>
    <t>INGRESOS</t>
  </si>
  <si>
    <t>COSTO VENTAS</t>
  </si>
  <si>
    <t>UTILIDAD BRUTA</t>
  </si>
  <si>
    <t>GASTOS DE PERSONAL</t>
  </si>
  <si>
    <t>GASTOS ADMINISTRATIVOS</t>
  </si>
  <si>
    <t>GASTOS FINANCIEROS</t>
  </si>
  <si>
    <t>GASTOS DEPRECIACION</t>
  </si>
  <si>
    <t>UTILIDAD OPERATIVA</t>
  </si>
  <si>
    <t>IMPUESTO RENTA</t>
  </si>
  <si>
    <t>FLUJO DE CAJA</t>
  </si>
  <si>
    <t>SALDOS INICIALES</t>
  </si>
  <si>
    <t>VENTAS DE CONTADO</t>
  </si>
  <si>
    <t>VENTAS A CREDITO</t>
  </si>
  <si>
    <t>TOTAL INGRESOS</t>
  </si>
  <si>
    <t>EGRESOS</t>
  </si>
  <si>
    <t>SUELDOS</t>
  </si>
  <si>
    <t>APROPIACIONES Y PARAFISCALES</t>
  </si>
  <si>
    <t>IMPORENTA y CREE</t>
  </si>
  <si>
    <t>CUOTA DE CREDITO</t>
  </si>
  <si>
    <t>GASTO ADMINSTRATIVO</t>
  </si>
  <si>
    <t>TOTAL EGRESO</t>
  </si>
  <si>
    <t>SALDO EJERCICIO</t>
  </si>
  <si>
    <t>SALDO INICIAL</t>
  </si>
  <si>
    <t>MAS COMPRAS</t>
  </si>
  <si>
    <t>MENOS SALIDAS</t>
  </si>
  <si>
    <t>SALDOS FINAL</t>
  </si>
  <si>
    <t>VENDEDORA</t>
  </si>
  <si>
    <t>MENSAJERO</t>
  </si>
  <si>
    <t>AUXILIR BODEGA</t>
  </si>
  <si>
    <t>AUXILIR GERENCIA</t>
  </si>
  <si>
    <t>AUXILIR DE SERVISION G</t>
  </si>
  <si>
    <t>AUXILIR CONTABLE</t>
  </si>
  <si>
    <t>CONTADORA</t>
  </si>
  <si>
    <t>REPRESENTANTE LEGAL</t>
  </si>
  <si>
    <t>TABLA AMORTIZACION</t>
  </si>
  <si>
    <t>PASIVO + PATRIMONIO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</si>
</sst>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&quot;$&quot;#,##0.00;[Red]\-&quot;$&quot;#,##0.00"/>
    <numFmt numFmtId="165" formatCode="_-* #,##0_-;\-* #,##0_-;_-* &quot;-&quot;_-;_-@_-"/>
    <numFmt numFmtId="166" formatCode="_-&quot;$&quot;* #,##0.00_-;\-&quot;$&quot;* #,##0.00_-;_-&quot;$&quot;* &quot;-&quot;??_-;_-@_-"/>
    <numFmt numFmtId="167" formatCode="_-&quot;$&quot;* #,##0_-;\-&quot;$&quot;* #,##0_-;_-&quot;$&quot;* &quot;-&quot;??_-;_-@_-"/>
    <numFmt numFmtId="168" formatCode="&quot;$&quot;\ #,##0"/>
    <numFmt numFmtId="169" formatCode="_ &quot;$&quot;\ * #,##0.00_ ;_ &quot;$&quot;\ * \-#,##0.00_ ;_ &quot;$&quot;\ * &quot;-&quot;??_ ;_ @_ "/>
    <numFmt numFmtId="170" formatCode="[$$-240A]\ #,##0_);\([$$-240A]\ #,##0\)"/>
    <numFmt numFmtId="171" formatCode="&quot;Total Apropiaciones &quot;[$$-240A]\ #,##0"/>
    <numFmt numFmtId="173" formatCode="[$$-240A]\ #,##0.00_);\([$$-240A]\ #,##0.00\)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0"/>
      <color indexed="8"/>
      <name val="MS Sans Serif"/>
      <family val="2"/>
    </font>
    <font>
      <b/>
      <sz val="2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66">
    <xf numFmtId="0" fontId="0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169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1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92">
    <xf numFmtId="0" fontId="0" fillId="0" borderId="0" xfId="0"/>
    <xf numFmtId="167" fontId="0" fillId="0" borderId="0" xfId="1" applyNumberFormat="1" applyFont="1"/>
    <xf numFmtId="0" fontId="3" fillId="0" borderId="0" xfId="0" applyFont="1"/>
    <xf numFmtId="166" fontId="0" fillId="0" borderId="0" xfId="0" applyNumberFormat="1"/>
    <xf numFmtId="164" fontId="0" fillId="0" borderId="0" xfId="0" applyNumberFormat="1"/>
    <xf numFmtId="4" fontId="0" fillId="0" borderId="0" xfId="0" applyNumberFormat="1"/>
    <xf numFmtId="4" fontId="0" fillId="0" borderId="0" xfId="1" applyNumberFormat="1" applyFont="1"/>
    <xf numFmtId="0" fontId="7" fillId="3" borderId="0" xfId="28" applyFont="1" applyFill="1" applyProtection="1">
      <protection hidden="1"/>
    </xf>
    <xf numFmtId="0" fontId="8" fillId="3" borderId="0" xfId="28" applyFont="1" applyFill="1" applyAlignment="1" applyProtection="1">
      <alignment horizontal="center"/>
      <protection hidden="1"/>
    </xf>
    <xf numFmtId="0" fontId="2" fillId="3" borderId="0" xfId="28" applyFill="1" applyProtection="1">
      <protection hidden="1"/>
    </xf>
    <xf numFmtId="0" fontId="9" fillId="4" borderId="1" xfId="28" applyFont="1" applyFill="1" applyBorder="1" applyAlignment="1" applyProtection="1">
      <protection hidden="1"/>
    </xf>
    <xf numFmtId="0" fontId="9" fillId="4" borderId="3" xfId="28" applyFont="1" applyFill="1" applyBorder="1" applyAlignment="1" applyProtection="1">
      <alignment horizontal="center" wrapText="1"/>
      <protection hidden="1"/>
    </xf>
    <xf numFmtId="0" fontId="9" fillId="4" borderId="7" xfId="28" applyFont="1" applyFill="1" applyBorder="1" applyAlignment="1" applyProtection="1">
      <alignment horizontal="center" vertical="center"/>
      <protection hidden="1"/>
    </xf>
    <xf numFmtId="0" fontId="9" fillId="4" borderId="8" xfId="28" applyFont="1" applyFill="1" applyBorder="1" applyAlignment="1" applyProtection="1">
      <alignment horizontal="center" vertical="center" wrapText="1"/>
      <protection hidden="1"/>
    </xf>
    <xf numFmtId="0" fontId="9" fillId="4" borderId="8" xfId="28" applyFont="1" applyFill="1" applyBorder="1" applyAlignment="1" applyProtection="1">
      <alignment horizontal="center" vertical="center"/>
      <protection hidden="1"/>
    </xf>
    <xf numFmtId="0" fontId="2" fillId="3" borderId="0" xfId="28" applyFill="1" applyAlignment="1" applyProtection="1">
      <alignment vertical="center"/>
      <protection hidden="1"/>
    </xf>
    <xf numFmtId="0" fontId="7" fillId="3" borderId="10" xfId="28" applyFont="1" applyFill="1" applyBorder="1" applyAlignment="1" applyProtection="1">
      <alignment horizontal="center" vertical="center" shrinkToFit="1"/>
      <protection locked="0"/>
    </xf>
    <xf numFmtId="168" fontId="7" fillId="3" borderId="8" xfId="28" applyNumberFormat="1" applyFont="1" applyFill="1" applyBorder="1" applyAlignment="1" applyProtection="1">
      <alignment horizontal="right" vertical="center" shrinkToFit="1"/>
      <protection locked="0"/>
    </xf>
    <xf numFmtId="0" fontId="7" fillId="3" borderId="8" xfId="28" applyFont="1" applyFill="1" applyBorder="1" applyAlignment="1" applyProtection="1">
      <alignment horizontal="center" vertical="center" shrinkToFit="1"/>
      <protection locked="0"/>
    </xf>
    <xf numFmtId="168" fontId="7" fillId="3" borderId="8" xfId="28" applyNumberFormat="1" applyFont="1" applyFill="1" applyBorder="1" applyAlignment="1" applyProtection="1">
      <alignment vertical="center" shrinkToFit="1"/>
      <protection hidden="1"/>
    </xf>
    <xf numFmtId="168" fontId="7" fillId="3" borderId="8" xfId="28" applyNumberFormat="1" applyFont="1" applyFill="1" applyBorder="1" applyAlignment="1" applyProtection="1">
      <alignment vertical="center" shrinkToFit="1"/>
      <protection locked="0"/>
    </xf>
    <xf numFmtId="0" fontId="2" fillId="3" borderId="0" xfId="28" applyFill="1" applyAlignment="1" applyProtection="1">
      <alignment horizontal="center"/>
      <protection hidden="1"/>
    </xf>
    <xf numFmtId="0" fontId="9" fillId="4" borderId="12" xfId="28" applyFont="1" applyFill="1" applyBorder="1" applyAlignment="1" applyProtection="1">
      <alignment horizontal="center" vertical="center" shrinkToFit="1"/>
      <protection hidden="1"/>
    </xf>
    <xf numFmtId="168" fontId="9" fillId="4" borderId="13" xfId="28" applyNumberFormat="1" applyFont="1" applyFill="1" applyBorder="1" applyAlignment="1" applyProtection="1">
      <alignment horizontal="right" vertical="center" shrinkToFit="1"/>
      <protection hidden="1"/>
    </xf>
    <xf numFmtId="3" fontId="9" fillId="4" borderId="13" xfId="28" applyNumberFormat="1" applyFont="1" applyFill="1" applyBorder="1" applyAlignment="1" applyProtection="1">
      <alignment horizontal="right" vertical="center" shrinkToFit="1"/>
      <protection hidden="1"/>
    </xf>
    <xf numFmtId="0" fontId="7" fillId="3" borderId="0" xfId="28" applyFont="1" applyFill="1" applyAlignment="1" applyProtection="1">
      <alignment horizontal="center"/>
      <protection hidden="1"/>
    </xf>
    <xf numFmtId="0" fontId="7" fillId="3" borderId="0" xfId="28" applyFont="1" applyFill="1" applyBorder="1" applyAlignment="1" applyProtection="1">
      <protection hidden="1"/>
    </xf>
    <xf numFmtId="0" fontId="9" fillId="3" borderId="0" xfId="28" applyFont="1" applyFill="1" applyBorder="1" applyAlignment="1" applyProtection="1">
      <alignment horizontal="center"/>
      <protection hidden="1"/>
    </xf>
    <xf numFmtId="0" fontId="7" fillId="3" borderId="0" xfId="28" applyFont="1" applyFill="1" applyBorder="1" applyAlignment="1" applyProtection="1">
      <alignment horizontal="left"/>
      <protection locked="0"/>
    </xf>
    <xf numFmtId="0" fontId="9" fillId="3" borderId="8" xfId="28" applyFont="1" applyFill="1" applyBorder="1" applyAlignment="1" applyProtection="1">
      <alignment horizontal="center"/>
      <protection hidden="1"/>
    </xf>
    <xf numFmtId="170" fontId="7" fillId="3" borderId="8" xfId="29" applyNumberFormat="1" applyFont="1" applyFill="1" applyBorder="1" applyAlignment="1" applyProtection="1">
      <alignment horizontal="right"/>
      <protection hidden="1"/>
    </xf>
    <xf numFmtId="0" fontId="7" fillId="3" borderId="14" xfId="28" applyFont="1" applyFill="1" applyBorder="1" applyAlignment="1" applyProtection="1">
      <alignment horizontal="left"/>
      <protection hidden="1"/>
    </xf>
    <xf numFmtId="0" fontId="7" fillId="3" borderId="15" xfId="28" applyFont="1" applyFill="1" applyBorder="1" applyAlignment="1" applyProtection="1">
      <alignment horizontal="left"/>
      <protection hidden="1"/>
    </xf>
    <xf numFmtId="168" fontId="7" fillId="3" borderId="8" xfId="28" applyNumberFormat="1" applyFont="1" applyFill="1" applyBorder="1" applyAlignment="1" applyProtection="1">
      <alignment horizontal="right"/>
      <protection hidden="1"/>
    </xf>
    <xf numFmtId="0" fontId="7" fillId="3" borderId="0" xfId="28" applyFont="1" applyFill="1" applyBorder="1" applyAlignment="1" applyProtection="1">
      <alignment horizontal="justify" vertical="top"/>
      <protection locked="0"/>
    </xf>
    <xf numFmtId="3" fontId="2" fillId="3" borderId="0" xfId="28" applyNumberFormat="1" applyFill="1" applyProtection="1">
      <protection hidden="1"/>
    </xf>
    <xf numFmtId="170" fontId="9" fillId="3" borderId="8" xfId="28" applyNumberFormat="1" applyFont="1" applyFill="1" applyBorder="1" applyProtection="1">
      <protection hidden="1"/>
    </xf>
    <xf numFmtId="0" fontId="9" fillId="3" borderId="14" xfId="28" applyFont="1" applyFill="1" applyBorder="1" applyAlignment="1" applyProtection="1">
      <alignment horizontal="center"/>
      <protection hidden="1"/>
    </xf>
    <xf numFmtId="0" fontId="9" fillId="3" borderId="15" xfId="28" applyFont="1" applyFill="1" applyBorder="1" applyAlignment="1" applyProtection="1">
      <alignment horizontal="center"/>
      <protection hidden="1"/>
    </xf>
    <xf numFmtId="170" fontId="9" fillId="3" borderId="8" xfId="28" applyNumberFormat="1" applyFont="1" applyFill="1" applyBorder="1" applyAlignment="1" applyProtection="1">
      <alignment horizontal="right"/>
      <protection hidden="1"/>
    </xf>
    <xf numFmtId="170" fontId="7" fillId="3" borderId="0" xfId="28" applyNumberFormat="1" applyFont="1" applyFill="1" applyProtection="1">
      <protection hidden="1"/>
    </xf>
    <xf numFmtId="171" fontId="9" fillId="3" borderId="0" xfId="28" applyNumberFormat="1" applyFont="1" applyFill="1" applyBorder="1" applyAlignment="1" applyProtection="1">
      <alignment horizontal="center" vertical="center"/>
      <protection hidden="1"/>
    </xf>
    <xf numFmtId="3" fontId="9" fillId="3" borderId="0" xfId="28" applyNumberFormat="1" applyFont="1" applyFill="1" applyBorder="1" applyAlignment="1" applyProtection="1">
      <alignment horizontal="center" vertical="center"/>
      <protection hidden="1"/>
    </xf>
    <xf numFmtId="0" fontId="1" fillId="3" borderId="0" xfId="28" applyFont="1" applyFill="1" applyProtection="1">
      <protection hidden="1"/>
    </xf>
    <xf numFmtId="0" fontId="8" fillId="3" borderId="0" xfId="28" applyFont="1" applyFill="1" applyBorder="1" applyProtection="1">
      <protection hidden="1"/>
    </xf>
    <xf numFmtId="168" fontId="8" fillId="3" borderId="0" xfId="28" applyNumberFormat="1" applyFont="1" applyFill="1" applyBorder="1" applyProtection="1">
      <protection hidden="1"/>
    </xf>
    <xf numFmtId="0" fontId="1" fillId="3" borderId="0" xfId="28" applyFont="1" applyFill="1" applyAlignment="1" applyProtection="1">
      <alignment vertical="center"/>
      <protection hidden="1"/>
    </xf>
    <xf numFmtId="0" fontId="7" fillId="3" borderId="11" xfId="28" applyFont="1" applyFill="1" applyBorder="1" applyAlignment="1" applyProtection="1">
      <alignment horizontal="center" vertical="center" shrinkToFit="1"/>
      <protection locked="0"/>
    </xf>
    <xf numFmtId="0" fontId="9" fillId="3" borderId="0" xfId="28" applyFont="1" applyFill="1" applyAlignment="1" applyProtection="1">
      <alignment horizontal="right"/>
      <protection hidden="1"/>
    </xf>
    <xf numFmtId="3" fontId="7" fillId="3" borderId="0" xfId="28" applyNumberFormat="1" applyFont="1" applyFill="1" applyProtection="1">
      <protection hidden="1"/>
    </xf>
    <xf numFmtId="0" fontId="8" fillId="3" borderId="0" xfId="28" applyFont="1" applyFill="1" applyBorder="1" applyAlignment="1" applyProtection="1">
      <alignment horizontal="center" vertical="top" wrapText="1"/>
      <protection hidden="1"/>
    </xf>
    <xf numFmtId="0" fontId="8" fillId="3" borderId="0" xfId="28" applyFont="1" applyFill="1" applyBorder="1" applyAlignment="1" applyProtection="1">
      <alignment vertical="top" wrapText="1"/>
      <protection hidden="1"/>
    </xf>
    <xf numFmtId="2" fontId="0" fillId="0" borderId="0" xfId="0" applyNumberFormat="1"/>
    <xf numFmtId="3" fontId="15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4" fontId="13" fillId="0" borderId="0" xfId="1" applyNumberFormat="1" applyFont="1"/>
    <xf numFmtId="0" fontId="17" fillId="0" borderId="0" xfId="0" applyFont="1" applyAlignment="1">
      <alignment horizontal="left"/>
    </xf>
    <xf numFmtId="4" fontId="17" fillId="0" borderId="0" xfId="1" applyNumberFormat="1" applyFont="1"/>
    <xf numFmtId="0" fontId="17" fillId="0" borderId="0" xfId="0" applyFont="1"/>
    <xf numFmtId="4" fontId="18" fillId="5" borderId="0" xfId="3" applyNumberFormat="1" applyFont="1" applyFill="1"/>
    <xf numFmtId="4" fontId="17" fillId="0" borderId="0" xfId="0" applyNumberFormat="1" applyFont="1"/>
    <xf numFmtId="4" fontId="19" fillId="0" borderId="0" xfId="1" applyNumberFormat="1" applyFont="1"/>
    <xf numFmtId="0" fontId="9" fillId="3" borderId="8" xfId="28" applyFont="1" applyFill="1" applyBorder="1" applyAlignment="1" applyProtection="1">
      <alignment horizontal="center" vertical="center" wrapText="1"/>
      <protection hidden="1"/>
    </xf>
    <xf numFmtId="0" fontId="16" fillId="7" borderId="0" xfId="0" applyFont="1" applyFill="1" applyAlignment="1">
      <alignment horizontal="center"/>
    </xf>
    <xf numFmtId="43" fontId="0" fillId="0" borderId="0" xfId="65" applyFont="1"/>
    <xf numFmtId="170" fontId="7" fillId="6" borderId="0" xfId="28" applyNumberFormat="1" applyFont="1" applyFill="1" applyProtection="1">
      <protection hidden="1"/>
    </xf>
    <xf numFmtId="0" fontId="14" fillId="0" borderId="0" xfId="0" applyFont="1" applyAlignment="1">
      <alignment horizontal="center"/>
    </xf>
    <xf numFmtId="0" fontId="12" fillId="7" borderId="0" xfId="0" applyFont="1" applyFill="1" applyAlignment="1">
      <alignment horizontal="center"/>
    </xf>
    <xf numFmtId="3" fontId="14" fillId="0" borderId="0" xfId="1" applyNumberFormat="1" applyFont="1" applyAlignment="1">
      <alignment horizontal="center"/>
    </xf>
    <xf numFmtId="0" fontId="9" fillId="4" borderId="6" xfId="28" applyFont="1" applyFill="1" applyBorder="1" applyAlignment="1" applyProtection="1">
      <alignment horizontal="center" wrapText="1"/>
      <protection hidden="1"/>
    </xf>
    <xf numFmtId="0" fontId="9" fillId="4" borderId="9" xfId="28" applyFont="1" applyFill="1" applyBorder="1" applyAlignment="1" applyProtection="1">
      <alignment horizontal="center" wrapText="1"/>
      <protection hidden="1"/>
    </xf>
    <xf numFmtId="0" fontId="9" fillId="4" borderId="3" xfId="28" applyFont="1" applyFill="1" applyBorder="1" applyAlignment="1" applyProtection="1">
      <alignment horizontal="center"/>
      <protection hidden="1"/>
    </xf>
    <xf numFmtId="0" fontId="9" fillId="4" borderId="4" xfId="28" applyFont="1" applyFill="1" applyBorder="1" applyAlignment="1" applyProtection="1">
      <alignment horizontal="center"/>
      <protection hidden="1"/>
    </xf>
    <xf numFmtId="0" fontId="9" fillId="4" borderId="5" xfId="28" applyFont="1" applyFill="1" applyBorder="1" applyAlignment="1" applyProtection="1">
      <alignment horizontal="center"/>
      <protection hidden="1"/>
    </xf>
    <xf numFmtId="0" fontId="9" fillId="3" borderId="19" xfId="28" applyFont="1" applyFill="1" applyBorder="1" applyAlignment="1" applyProtection="1">
      <alignment horizontal="center"/>
      <protection hidden="1"/>
    </xf>
    <xf numFmtId="0" fontId="7" fillId="3" borderId="14" xfId="28" applyFont="1" applyFill="1" applyBorder="1" applyAlignment="1" applyProtection="1">
      <alignment horizontal="left"/>
      <protection hidden="1"/>
    </xf>
    <xf numFmtId="0" fontId="7" fillId="3" borderId="15" xfId="28" applyFont="1" applyFill="1" applyBorder="1" applyAlignment="1" applyProtection="1">
      <alignment horizontal="left"/>
      <protection hidden="1"/>
    </xf>
    <xf numFmtId="0" fontId="9" fillId="3" borderId="14" xfId="28" applyFont="1" applyFill="1" applyBorder="1" applyAlignment="1" applyProtection="1">
      <alignment horizontal="center"/>
      <protection hidden="1"/>
    </xf>
    <xf numFmtId="0" fontId="9" fillId="3" borderId="15" xfId="28" applyFont="1" applyFill="1" applyBorder="1" applyAlignment="1" applyProtection="1">
      <alignment horizontal="center"/>
      <protection hidden="1"/>
    </xf>
    <xf numFmtId="171" fontId="9" fillId="3" borderId="16" xfId="28" applyNumberFormat="1" applyFont="1" applyFill="1" applyBorder="1" applyAlignment="1" applyProtection="1">
      <alignment horizontal="center" vertical="center"/>
      <protection hidden="1"/>
    </xf>
    <xf numFmtId="171" fontId="9" fillId="3" borderId="17" xfId="28" applyNumberFormat="1" applyFont="1" applyFill="1" applyBorder="1" applyAlignment="1" applyProtection="1">
      <alignment horizontal="center" vertical="center"/>
      <protection hidden="1"/>
    </xf>
    <xf numFmtId="171" fontId="9" fillId="3" borderId="18" xfId="28" applyNumberFormat="1" applyFont="1" applyFill="1" applyBorder="1" applyAlignment="1" applyProtection="1">
      <alignment horizontal="center" vertical="center"/>
      <protection hidden="1"/>
    </xf>
    <xf numFmtId="0" fontId="9" fillId="4" borderId="2" xfId="28" applyFont="1" applyFill="1" applyBorder="1" applyAlignment="1" applyProtection="1">
      <alignment horizontal="center" wrapText="1"/>
      <protection hidden="1"/>
    </xf>
    <xf numFmtId="0" fontId="9" fillId="4" borderId="8" xfId="28" applyFont="1" applyFill="1" applyBorder="1" applyAlignment="1" applyProtection="1">
      <alignment horizontal="center" wrapText="1"/>
      <protection hidden="1"/>
    </xf>
    <xf numFmtId="0" fontId="9" fillId="4" borderId="6" xfId="28" applyFont="1" applyFill="1" applyBorder="1" applyAlignment="1" applyProtection="1">
      <alignment horizontal="center" vertical="center" wrapText="1"/>
      <protection hidden="1"/>
    </xf>
    <xf numFmtId="0" fontId="9" fillId="4" borderId="9" xfId="28" applyFont="1" applyFill="1" applyBorder="1" applyAlignment="1" applyProtection="1">
      <alignment horizontal="center" vertical="center" wrapText="1"/>
      <protection hidden="1"/>
    </xf>
    <xf numFmtId="0" fontId="10" fillId="3" borderId="0" xfId="28" applyFont="1" applyFill="1" applyBorder="1" applyAlignment="1" applyProtection="1">
      <alignment horizontal="center"/>
      <protection hidden="1"/>
    </xf>
    <xf numFmtId="0" fontId="10" fillId="3" borderId="0" xfId="28" applyFont="1" applyFill="1" applyBorder="1" applyAlignment="1" applyProtection="1">
      <alignment horizontal="center" vertical="center" wrapText="1"/>
      <protection hidden="1"/>
    </xf>
    <xf numFmtId="4" fontId="0" fillId="0" borderId="0" xfId="1" applyNumberFormat="1" applyFont="1" applyFill="1"/>
    <xf numFmtId="0" fontId="0" fillId="0" borderId="0" xfId="0" applyAlignment="1">
      <alignment horizontal="right"/>
    </xf>
    <xf numFmtId="9" fontId="0" fillId="0" borderId="0" xfId="2" applyFont="1" applyAlignment="1">
      <alignment horizontal="right"/>
    </xf>
    <xf numFmtId="173" fontId="7" fillId="3" borderId="0" xfId="28" applyNumberFormat="1" applyFont="1" applyFill="1" applyProtection="1">
      <protection hidden="1"/>
    </xf>
  </cellXfs>
  <cellStyles count="66">
    <cellStyle name="Buena" xfId="3" builtinId="26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Millares" xfId="65" builtinId="3"/>
    <cellStyle name="Millares [0] 2" xfId="30"/>
    <cellStyle name="Millares [0] 3" xfId="31"/>
    <cellStyle name="Moneda" xfId="1" builtinId="4"/>
    <cellStyle name="Moneda 2" xfId="29"/>
    <cellStyle name="Moneda 3" xfId="32"/>
    <cellStyle name="Normal" xfId="0" builtinId="0"/>
    <cellStyle name="Normal 2" xfId="28"/>
    <cellStyle name="Normal 3" xfId="33"/>
    <cellStyle name="Porcentaje" xfId="2" builtinId="5"/>
    <cellStyle name="Porcentaje 2" xfId="34"/>
    <cellStyle name="Porcentual 2" xfId="35"/>
    <cellStyle name="Porcentual 3" xfId="36"/>
  </cellStyles>
  <dxfs count="175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/>
      </font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172" formatCode="#.##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172" formatCode="#.##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FAPONTE\AppData\Local\Microsoft\Windows\Temporary%20Internet%20Files\Content.Outlook\1O0XO95U\Users\usuario2\AppData\Local\Temp\Rar$DIa0.783\nomin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FAPONTE\AppData\Local\Microsoft\Windows\Temporary%20Internet%20Files\Content.Outlook\1O0XO95U\Users\JAVIER\Documents\Coltanques\Proyectos\Modelo%20de%20Precios\Proyecto%20Bodega%20Cartagena%20VSin%20Financiacion%20%20070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LA%20AMORTIZACIO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Básicos"/>
      <sheetName val="Calculos"/>
    </sheetNames>
    <sheetDataSet>
      <sheetData sheetId="0">
        <row r="5">
          <cell r="B5">
            <v>496900</v>
          </cell>
        </row>
        <row r="6">
          <cell r="B6">
            <v>72000</v>
          </cell>
        </row>
        <row r="9">
          <cell r="B9">
            <v>0.02</v>
          </cell>
          <cell r="F9">
            <v>5.2199999999999998E-3</v>
          </cell>
        </row>
        <row r="10">
          <cell r="B10">
            <v>0.03</v>
          </cell>
        </row>
        <row r="11">
          <cell r="B11">
            <v>0.04</v>
          </cell>
          <cell r="F11">
            <v>23763</v>
          </cell>
        </row>
        <row r="15">
          <cell r="B15">
            <v>0.04</v>
          </cell>
          <cell r="C15">
            <v>8.5000000000000006E-2</v>
          </cell>
        </row>
        <row r="16">
          <cell r="B16">
            <v>0.04</v>
          </cell>
          <cell r="C16">
            <v>0.12</v>
          </cell>
        </row>
        <row r="19">
          <cell r="B19">
            <v>8.3333333333333343E-2</v>
          </cell>
        </row>
        <row r="20">
          <cell r="B20">
            <v>8.3333333333333343E-2</v>
          </cell>
        </row>
        <row r="21">
          <cell r="B21">
            <v>4.1666666666666671E-2</v>
          </cell>
        </row>
        <row r="22">
          <cell r="B22">
            <v>0.01</v>
          </cell>
        </row>
        <row r="26">
          <cell r="B26">
            <v>0.01</v>
          </cell>
        </row>
        <row r="27">
          <cell r="B27">
            <v>1.2E-2</v>
          </cell>
        </row>
        <row r="28">
          <cell r="B28">
            <v>1.4E-2</v>
          </cell>
        </row>
        <row r="29">
          <cell r="B29">
            <v>1.6E-2</v>
          </cell>
        </row>
        <row r="30">
          <cell r="B30">
            <v>1.7999999999999999E-2</v>
          </cell>
        </row>
        <row r="31">
          <cell r="B31">
            <v>0.02</v>
          </cell>
        </row>
      </sheetData>
      <sheetData sheetId="1">
        <row r="4">
          <cell r="B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ón Financiera Mensual"/>
      <sheetName val="Costos y Gastos"/>
      <sheetName val="K W"/>
      <sheetName val="Arrendamientos"/>
      <sheetName val="Materiales e Insumos"/>
      <sheetName val="Conceptos Evaluaciòn"/>
      <sheetName val="Informacion Bodegas 2015"/>
      <sheetName val="Ctos de operacion"/>
      <sheetName val="Ingresos"/>
      <sheetName val="Mantenimiento"/>
      <sheetName val="ConMovCC.rpt"/>
      <sheetName val="Inversiones"/>
      <sheetName val="Gastos de personal"/>
      <sheetName val="Tabla de Amortización"/>
    </sheetNames>
    <sheetDataSet>
      <sheetData sheetId="0">
        <row r="6">
          <cell r="R6">
            <v>3.6600000000000001E-2</v>
          </cell>
          <cell r="T6">
            <v>4.2000000000000003E-2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AMORTIZACION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4" name="Tabla4" displayName="Tabla4" ref="B4:H9" headerRowCount="0" totalsRowShown="0" headerRowDxfId="174">
  <tableColumns count="7">
    <tableColumn id="1" name="ACTIVOS" headerRowDxfId="173" dataDxfId="172"/>
    <tableColumn id="2" name="Columna1" headerRowDxfId="171" dataDxfId="170" dataCellStyle="Moneda"/>
    <tableColumn id="3" name="Columna2" headerRowDxfId="169" dataDxfId="168"/>
    <tableColumn id="4" name="Columna3" headerRowDxfId="167" dataDxfId="166"/>
    <tableColumn id="5" name="Columna4" headerRowDxfId="165" dataDxfId="164"/>
    <tableColumn id="6" name="Columna5" headerRowDxfId="163" dataDxfId="162"/>
    <tableColumn id="7" name="Columna6" headerRowDxfId="161" dataDxfId="160"/>
  </tableColumns>
  <tableStyleInfo name="TableStyleMedium23" showFirstColumn="0" showLastColumn="0" showRowStripes="1" showColumnStripes="0"/>
</table>
</file>

<file path=xl/tables/table10.xml><?xml version="1.0" encoding="utf-8"?>
<table xmlns="http://schemas.openxmlformats.org/spreadsheetml/2006/main" id="20" name="Tabla20" displayName="Tabla20" ref="B56:H57" headerRowCount="0" totalsRowShown="0" headerRowDxfId="58">
  <tableColumns count="7">
    <tableColumn id="1" name="Columna1" dataDxfId="57"/>
    <tableColumn id="2" name="Columna2"/>
    <tableColumn id="3" name="Columna3" headerRowDxfId="56" dataDxfId="55">
      <calculatedColumnFormula>+D31*$A$56</calculatedColumnFormula>
    </tableColumn>
    <tableColumn id="4" name="Columna4" headerRowDxfId="54" dataDxfId="53">
      <calculatedColumnFormula>E31*A56</calculatedColumnFormula>
    </tableColumn>
    <tableColumn id="5" name="Columna5" headerRowDxfId="52" dataDxfId="51">
      <calculatedColumnFormula>+E30*$A$57</calculatedColumnFormula>
    </tableColumn>
    <tableColumn id="6" name="Columna6" headerRowDxfId="50" dataDxfId="49">
      <calculatedColumnFormula>G31*A56</calculatedColumnFormula>
    </tableColumn>
    <tableColumn id="7" name="Columna7" headerRowDxfId="48" dataDxfId="47">
      <calculatedColumnFormula>+G30*$A$57</calculatedColumnFormula>
    </tableColumn>
  </tableColumns>
  <tableStyleInfo name="TableStyleMedium23" showFirstColumn="0" showLastColumn="0" showRowStripes="1" showColumnStripes="0"/>
</table>
</file>

<file path=xl/tables/table11.xml><?xml version="1.0" encoding="utf-8"?>
<table xmlns="http://schemas.openxmlformats.org/spreadsheetml/2006/main" id="21" name="Tabla21" displayName="Tabla21" ref="C45:H49" headerRowCount="0" totalsRowShown="0" headerRowDxfId="46">
  <tableColumns count="6">
    <tableColumn id="1" name="Columna1" headerRowDxfId="45" dataDxfId="44"/>
    <tableColumn id="2" name="Columna2" headerRowDxfId="43" dataDxfId="42"/>
    <tableColumn id="3" name="Columna3" headerRowDxfId="41" dataDxfId="40"/>
    <tableColumn id="4" name="Columna4" headerRowDxfId="39" dataDxfId="38"/>
    <tableColumn id="5" name="Columna5" headerRowDxfId="37" dataDxfId="36"/>
    <tableColumn id="6" name="Columna6" headerRowDxfId="35" dataDxfId="34"/>
  </tableColumns>
  <tableStyleInfo name="TableStyleMedium23" showFirstColumn="0" showLastColumn="0" showRowStripes="1" showColumnStripes="0"/>
</table>
</file>

<file path=xl/tables/table12.xml><?xml version="1.0" encoding="utf-8"?>
<table xmlns="http://schemas.openxmlformats.org/spreadsheetml/2006/main" id="22" name="Tabla22" displayName="Tabla22" ref="C62:H62" headerRowCount="0" totalsRowShown="0" headerRowDxfId="33">
  <tableColumns count="6">
    <tableColumn id="1" name="Columna1"/>
    <tableColumn id="2" name="Columna2" headerRowDxfId="32" dataDxfId="31">
      <calculatedColumnFormula>+SUM(D56:D61)</calculatedColumnFormula>
    </tableColumn>
    <tableColumn id="3" name="Columna3" headerRowDxfId="30" dataDxfId="29">
      <calculatedColumnFormula>SUM(E56:E61)</calculatedColumnFormula>
    </tableColumn>
    <tableColumn id="4" name="Columna4" headerRowDxfId="28" dataDxfId="27">
      <calculatedColumnFormula>SUM(F56:F61)</calculatedColumnFormula>
    </tableColumn>
    <tableColumn id="5" name="Columna5" headerRowDxfId="26" dataDxfId="25">
      <calculatedColumnFormula>+SUM(G56:G61)</calculatedColumnFormula>
    </tableColumn>
    <tableColumn id="6" name="Columna6" headerRowDxfId="24" dataDxfId="23">
      <calculatedColumnFormula>SUM(H56:H61)</calculatedColumnFormula>
    </tableColumn>
  </tableColumns>
  <tableStyleInfo name="TableStyleMedium23" showFirstColumn="0" showLastColumn="0" showRowStripes="1" showColumnStripes="0"/>
</table>
</file>

<file path=xl/tables/table13.xml><?xml version="1.0" encoding="utf-8"?>
<table xmlns="http://schemas.openxmlformats.org/spreadsheetml/2006/main" id="23" name="Tabla23" displayName="Tabla23" ref="B65:H71" headerRowCount="0" totalsRowShown="0" headerRowDxfId="22">
  <tableColumns count="7">
    <tableColumn id="1" name="Columna1" dataDxfId="21"/>
    <tableColumn id="2" name="Columna2"/>
    <tableColumn id="3" name="Columna3" headerRowDxfId="20" dataDxfId="19"/>
    <tableColumn id="4" name="Columna4" headerRowDxfId="18" dataDxfId="17"/>
    <tableColumn id="5" name="Columna5" headerRowDxfId="16" dataDxfId="15"/>
    <tableColumn id="6" name="Columna6" headerRowDxfId="14" dataDxfId="13"/>
    <tableColumn id="7" name="Columna7" headerRowDxfId="12" dataDxfId="11"/>
  </tableColumns>
  <tableStyleInfo name="TableStyleMedium23" showFirstColumn="0" showLastColumn="0" showRowStripes="1" showColumnStripes="0"/>
</table>
</file>

<file path=xl/tables/table14.xml><?xml version="1.0" encoding="utf-8"?>
<table xmlns="http://schemas.openxmlformats.org/spreadsheetml/2006/main" id="24" name="Tabla24" displayName="Tabla24" ref="C73:H73" headerRowCount="0" totalsRowShown="0" headerRowDxfId="10">
  <tableColumns count="6">
    <tableColumn id="1" name="Columna1"/>
    <tableColumn id="2" name="Columna2" headerRowDxfId="9" dataDxfId="8">
      <calculatedColumnFormula>+D53+D62-D71</calculatedColumnFormula>
    </tableColumn>
    <tableColumn id="3" name="Columna3" headerRowDxfId="7" dataDxfId="6">
      <calculatedColumnFormula>+E53+E62-E71</calculatedColumnFormula>
    </tableColumn>
    <tableColumn id="4" name="Columna4" headerRowDxfId="5" dataDxfId="4">
      <calculatedColumnFormula>+F53+F62-F71</calculatedColumnFormula>
    </tableColumn>
    <tableColumn id="5" name="Columna5" headerRowDxfId="3" dataDxfId="2">
      <calculatedColumnFormula>+G53+G62-G71</calculatedColumnFormula>
    </tableColumn>
    <tableColumn id="6" name="Columna6" headerRowDxfId="1" dataDxfId="0">
      <calculatedColumnFormula>+H53+H62-H71</calculatedColumnFormula>
    </tableColumn>
  </tableColumns>
  <tableStyleInfo name="TableStyleMedium24" showFirstColumn="0" showLastColumn="0" showRowStripes="1" showColumnStripes="0"/>
</table>
</file>

<file path=xl/tables/table15.xml><?xml version="1.0" encoding="utf-8"?>
<table xmlns="http://schemas.openxmlformats.org/spreadsheetml/2006/main" id="25" name="Tabla25" displayName="Tabla25" ref="B77:H83" headerRowCount="0" totalsRowShown="0">
  <tableColumns count="7">
    <tableColumn id="1" name="Columna1"/>
    <tableColumn id="2" name="Columna2"/>
    <tableColumn id="3" name="Columna3"/>
    <tableColumn id="4" name="Columna4"/>
    <tableColumn id="5" name="Columna5"/>
    <tableColumn id="6" name="Columna6"/>
    <tableColumn id="7" name="Columna7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7" name="Tabla7" displayName="Tabla7" ref="B12:H16" headerRowCount="0" totalsRowShown="0" headerRowDxfId="159">
  <tableColumns count="7">
    <tableColumn id="1" name="pasivo"/>
    <tableColumn id="2" name="Columna1" headerRowDxfId="158" headerRowCellStyle="Moneda"/>
    <tableColumn id="3" name="Columna2" headerRowDxfId="157" dataDxfId="156"/>
    <tableColumn id="4" name="Columna3" headerRowDxfId="155" dataDxfId="154"/>
    <tableColumn id="5" name="Columna4" headerRowDxfId="153" dataDxfId="152"/>
    <tableColumn id="6" name="Columna5" headerRowDxfId="151" dataDxfId="150"/>
    <tableColumn id="7" name="Columna6" headerRowDxfId="149" dataDxfId="148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8" name="Tabla8" displayName="Tabla8" ref="B19:H22" headerRowCount="0" totalsRowShown="0" headerRowDxfId="147">
  <tableColumns count="7">
    <tableColumn id="1" name="patrimonio"/>
    <tableColumn id="2" name="Columna1" headerRowDxfId="146" dataDxfId="145" headerRowCellStyle="Moneda" dataCellStyle="Moneda"/>
    <tableColumn id="3" name="Columna2" headerRowDxfId="144" dataDxfId="143"/>
    <tableColumn id="4" name="Columna3" headerRowDxfId="142" dataDxfId="141"/>
    <tableColumn id="5" name="Columna4" headerRowDxfId="140" dataDxfId="139"/>
    <tableColumn id="6" name="Columna5" headerRowDxfId="138" dataDxfId="137"/>
    <tableColumn id="7" name="Columna6" headerRowDxfId="136" dataDxfId="135"/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id="9" name="Tabla9" displayName="Tabla9" ref="C24:H24" headerRowCount="0" totalsRowShown="0" headerRowDxfId="134" dataDxfId="133" headerRowCellStyle="Moneda" dataCellStyle="Moneda">
  <tableColumns count="6">
    <tableColumn id="1" name="Columna1" headerRowDxfId="132" dataDxfId="131" headerRowCellStyle="Moneda" dataCellStyle="Moneda">
      <calculatedColumnFormula>+C16+C22</calculatedColumnFormula>
    </tableColumn>
    <tableColumn id="2" name="Columna2" headerRowDxfId="130" dataDxfId="129" headerRowCellStyle="Moneda" dataCellStyle="Moneda">
      <calculatedColumnFormula>+D16+D22</calculatedColumnFormula>
    </tableColumn>
    <tableColumn id="3" name="Columna3" headerRowDxfId="128" dataDxfId="127" headerRowCellStyle="Moneda" dataCellStyle="Moneda">
      <calculatedColumnFormula>+E16+E22</calculatedColumnFormula>
    </tableColumn>
    <tableColumn id="4" name="Columna4" headerRowDxfId="126" dataDxfId="125" headerRowCellStyle="Moneda" dataCellStyle="Moneda">
      <calculatedColumnFormula>+F16+F22</calculatedColumnFormula>
    </tableColumn>
    <tableColumn id="5" name="Columna5" headerRowDxfId="124" dataDxfId="123" headerRowCellStyle="Moneda" dataCellStyle="Moneda">
      <calculatedColumnFormula>+G16+G22</calculatedColumnFormula>
    </tableColumn>
    <tableColumn id="6" name="Columna6" headerRowDxfId="122" dataDxfId="121" headerRowCellStyle="Moneda" dataCellStyle="Moneda">
      <calculatedColumnFormula>+H16+H22</calculatedColumnFormula>
    </tableColumn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id="11" name="Tabla11" displayName="Tabla11" ref="C26:H26" headerRowCount="0" totalsRowShown="0" headerRowDxfId="120" dataDxfId="119" headerRowCellStyle="Moneda" dataCellStyle="Moneda">
  <tableColumns count="6">
    <tableColumn id="1" name="Columna1" headerRowDxfId="118" dataDxfId="117" headerRowCellStyle="Moneda" dataCellStyle="Moneda">
      <calculatedColumnFormula>+C9-C24</calculatedColumnFormula>
    </tableColumn>
    <tableColumn id="2" name="Columna2" headerRowDxfId="116" dataDxfId="115" headerRowCellStyle="Moneda" dataCellStyle="Moneda">
      <calculatedColumnFormula>+D9-D24</calculatedColumnFormula>
    </tableColumn>
    <tableColumn id="3" name="Columna3" headerRowDxfId="114" dataDxfId="113" headerRowCellStyle="Moneda" dataCellStyle="Moneda">
      <calculatedColumnFormula>+E9-E24</calculatedColumnFormula>
    </tableColumn>
    <tableColumn id="4" name="Columna4" headerRowDxfId="112" dataDxfId="111" headerRowCellStyle="Moneda" dataCellStyle="Moneda">
      <calculatedColumnFormula>+F9-F24</calculatedColumnFormula>
    </tableColumn>
    <tableColumn id="5" name="Columna5" headerRowDxfId="110" dataDxfId="109" headerRowCellStyle="Moneda" dataCellStyle="Moneda">
      <calculatedColumnFormula>+G9-G24</calculatedColumnFormula>
    </tableColumn>
    <tableColumn id="6" name="Columna6" headerRowDxfId="108" dataDxfId="107" headerRowCellStyle="Moneda" dataCellStyle="Moneda">
      <calculatedColumnFormula>H9-H24</calculatedColumnFormula>
    </tableColumn>
  </tableColumns>
  <tableStyleInfo name="TableStyleMedium24" showFirstColumn="0" showLastColumn="0" showRowStripes="1" showColumnStripes="0"/>
</table>
</file>

<file path=xl/tables/table6.xml><?xml version="1.0" encoding="utf-8"?>
<table xmlns="http://schemas.openxmlformats.org/spreadsheetml/2006/main" id="14" name="Tabla14" displayName="Tabla14" ref="B31:H33" headerRowCount="0" totalsRowShown="0" headerRowDxfId="106">
  <tableColumns count="7">
    <tableColumn id="1" name="Columna1" dataDxfId="105"/>
    <tableColumn id="2" name="Columna2" headerRowDxfId="104" dataDxfId="103" headerRowCellStyle="Moneda" dataCellStyle="Moneda"/>
    <tableColumn id="3" name="Columna3" headerRowDxfId="102"/>
    <tableColumn id="4" name="Columna4" headerRowDxfId="101"/>
    <tableColumn id="5" name="Columna5" headerRowDxfId="100"/>
    <tableColumn id="6" name="Columna6" headerRowDxfId="99"/>
    <tableColumn id="7" name="Columna7" headerRowDxfId="98"/>
  </tableColumns>
  <tableStyleInfo name="TableStyleMedium23" showFirstColumn="0" showLastColumn="0" showRowStripes="1" showColumnStripes="0"/>
</table>
</file>

<file path=xl/tables/table7.xml><?xml version="1.0" encoding="utf-8"?>
<table xmlns="http://schemas.openxmlformats.org/spreadsheetml/2006/main" id="15" name="Tabla15" displayName="Tabla15" ref="B35:H39" headerRowCount="0" totalsRowShown="0" headerRowDxfId="97">
  <tableColumns count="7">
    <tableColumn id="1" name="Columna1" dataDxfId="96"/>
    <tableColumn id="2" name="Columna2" headerRowDxfId="95" dataDxfId="94" headerRowCellStyle="Moneda" dataCellStyle="Moneda"/>
    <tableColumn id="3" name="Columna3" headerRowDxfId="93" dataDxfId="92"/>
    <tableColumn id="4" name="Columna4" headerRowDxfId="91" dataDxfId="90"/>
    <tableColumn id="5" name="Columna5" headerRowDxfId="89" dataDxfId="88"/>
    <tableColumn id="6" name="Columna6" headerRowDxfId="87" dataDxfId="86"/>
    <tableColumn id="7" name="Columna7" headerRowDxfId="85" dataDxfId="84"/>
  </tableColumns>
  <tableStyleInfo name="TableStyleMedium23" showFirstColumn="0" showLastColumn="0" showRowStripes="1" showColumnStripes="0"/>
</table>
</file>

<file path=xl/tables/table8.xml><?xml version="1.0" encoding="utf-8"?>
<table xmlns="http://schemas.openxmlformats.org/spreadsheetml/2006/main" id="18" name="Tabla18" displayName="Tabla18" ref="C41:H41" headerRowCount="0" totalsRowShown="0" headerRowDxfId="83" dataDxfId="82" headerRowCellStyle="Moneda" dataCellStyle="Moneda">
  <tableColumns count="6">
    <tableColumn id="1" name="Columna1" headerRowDxfId="81" dataDxfId="80" headerRowCellStyle="Moneda" dataCellStyle="Moneda">
      <calculatedColumnFormula>C39*0.34</calculatedColumnFormula>
    </tableColumn>
    <tableColumn id="2" name="Columna2" headerRowDxfId="79" dataDxfId="78" headerRowCellStyle="Moneda" dataCellStyle="Moneda">
      <calculatedColumnFormula>D39*0.34</calculatedColumnFormula>
    </tableColumn>
    <tableColumn id="3" name="Columna3" headerRowDxfId="77" dataDxfId="76" headerRowCellStyle="Moneda" dataCellStyle="Moneda">
      <calculatedColumnFormula>E39*0.34</calculatedColumnFormula>
    </tableColumn>
    <tableColumn id="4" name="Columna4" headerRowDxfId="75" dataDxfId="74" headerRowCellStyle="Moneda" dataCellStyle="Moneda">
      <calculatedColumnFormula>F39*0.34</calculatedColumnFormula>
    </tableColumn>
    <tableColumn id="5" name="Columna5" headerRowDxfId="73" dataDxfId="72" headerRowCellStyle="Moneda" dataCellStyle="Moneda">
      <calculatedColumnFormula>G39*0.34</calculatedColumnFormula>
    </tableColumn>
    <tableColumn id="6" name="Columna6" headerRowDxfId="71" dataDxfId="70" headerRowCellStyle="Moneda" dataCellStyle="Moneda">
      <calculatedColumnFormula>H39*0.34</calculatedColumnFormula>
    </tableColumn>
  </tableColumns>
  <tableStyleInfo name="TableStyleMedium23" showFirstColumn="0" showLastColumn="0" showRowStripes="1" showColumnStripes="0"/>
</table>
</file>

<file path=xl/tables/table9.xml><?xml version="1.0" encoding="utf-8"?>
<table xmlns="http://schemas.openxmlformats.org/spreadsheetml/2006/main" id="19" name="Tabla19" displayName="Tabla19" ref="C53:H53" headerRowCount="0" totalsRowShown="0" headerRowDxfId="69">
  <tableColumns count="6">
    <tableColumn id="1" name="Columna1"/>
    <tableColumn id="2" name="Columna2" headerRowDxfId="68" dataDxfId="67">
      <calculatedColumnFormula>+C4</calculatedColumnFormula>
    </tableColumn>
    <tableColumn id="3" name="Columna3" headerRowDxfId="66" dataDxfId="65">
      <calculatedColumnFormula>+D73</calculatedColumnFormula>
    </tableColumn>
    <tableColumn id="4" name="Columna4" headerRowDxfId="64" dataDxfId="63">
      <calculatedColumnFormula>+E73</calculatedColumnFormula>
    </tableColumn>
    <tableColumn id="5" name="Columna5" headerRowDxfId="62" dataDxfId="61">
      <calculatedColumnFormula>+F73</calculatedColumnFormula>
    </tableColumn>
    <tableColumn id="6" name="Columna6" headerRowDxfId="60" dataDxfId="59">
      <calculatedColumnFormula>+G73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83"/>
  <sheetViews>
    <sheetView tabSelected="1" zoomScaleNormal="100" zoomScalePageLayoutView="150" workbookViewId="0">
      <pane ySplit="1" topLeftCell="A8" activePane="bottomLeft" state="frozen"/>
      <selection pane="bottomLeft" activeCell="D36" sqref="D36"/>
    </sheetView>
  </sheetViews>
  <sheetFormatPr baseColWidth="10" defaultRowHeight="15" x14ac:dyDescent="0.25"/>
  <cols>
    <col min="1" max="1" width="11.42578125" style="89"/>
    <col min="2" max="2" width="30.140625" customWidth="1"/>
    <col min="3" max="6" width="23.7109375" bestFit="1" customWidth="1"/>
    <col min="7" max="8" width="25.28515625" bestFit="1" customWidth="1"/>
    <col min="9" max="9" width="18.28515625" bestFit="1" customWidth="1"/>
    <col min="10" max="10" width="14" bestFit="1" customWidth="1"/>
    <col min="11" max="11" width="13.140625" bestFit="1" customWidth="1"/>
    <col min="12" max="13" width="13.42578125" bestFit="1" customWidth="1"/>
  </cols>
  <sheetData>
    <row r="1" spans="2:10" ht="21" x14ac:dyDescent="0.35">
      <c r="C1" s="53">
        <v>2013</v>
      </c>
      <c r="D1" s="53">
        <f>+C1+1</f>
        <v>2014</v>
      </c>
      <c r="E1" s="53">
        <f t="shared" ref="E1:H1" si="0">+D1+1</f>
        <v>2015</v>
      </c>
      <c r="F1" s="53">
        <f t="shared" si="0"/>
        <v>2016</v>
      </c>
      <c r="G1" s="53">
        <f>+F1+1</f>
        <v>2017</v>
      </c>
      <c r="H1" s="53">
        <f t="shared" si="0"/>
        <v>2018</v>
      </c>
    </row>
    <row r="2" spans="2:10" ht="28.5" x14ac:dyDescent="0.45">
      <c r="B2" s="66" t="s">
        <v>49</v>
      </c>
      <c r="C2" s="66"/>
      <c r="D2" s="66"/>
      <c r="E2" s="66"/>
      <c r="F2" s="66"/>
      <c r="G2" s="66"/>
      <c r="H2" s="66"/>
    </row>
    <row r="3" spans="2:10" ht="28.5" x14ac:dyDescent="0.45">
      <c r="B3" s="67" t="s">
        <v>39</v>
      </c>
      <c r="C3" s="67"/>
      <c r="D3" s="67"/>
      <c r="E3" s="67"/>
      <c r="F3" s="67"/>
      <c r="G3" s="67"/>
      <c r="H3" s="67"/>
    </row>
    <row r="4" spans="2:10" x14ac:dyDescent="0.25">
      <c r="B4" s="54" t="s">
        <v>40</v>
      </c>
      <c r="C4" s="6">
        <v>96352000</v>
      </c>
      <c r="D4" s="5">
        <f>+D73</f>
        <v>63611921.895796537</v>
      </c>
      <c r="E4" s="5">
        <f>+E73</f>
        <v>39059130.813055113</v>
      </c>
      <c r="F4" s="5">
        <f>+F73</f>
        <v>35959878.988453999</v>
      </c>
      <c r="G4" s="5">
        <f>+G73</f>
        <v>-25388605.32043393</v>
      </c>
      <c r="H4" s="5">
        <f>+H73</f>
        <v>-105504072.06928338</v>
      </c>
    </row>
    <row r="5" spans="2:10" x14ac:dyDescent="0.25">
      <c r="B5" s="54" t="s">
        <v>41</v>
      </c>
      <c r="C5" s="6">
        <v>47659195</v>
      </c>
      <c r="D5" s="5">
        <f>+D81</f>
        <v>58061782.684244134</v>
      </c>
      <c r="E5" s="5">
        <f>+E81</f>
        <v>79704546.331894934</v>
      </c>
      <c r="F5" s="5">
        <f>+F81</f>
        <v>125692230.60535003</v>
      </c>
      <c r="G5" s="5">
        <f>+G81</f>
        <v>224428931.77499458</v>
      </c>
      <c r="H5" s="5">
        <f>+H81</f>
        <v>437479994.90593481</v>
      </c>
    </row>
    <row r="6" spans="2:10" x14ac:dyDescent="0.25">
      <c r="B6" s="54" t="s">
        <v>42</v>
      </c>
      <c r="C6" s="6">
        <v>15786000</v>
      </c>
      <c r="D6" s="5">
        <f>+D31*0.6</f>
        <v>60318995.399999999</v>
      </c>
      <c r="E6" s="5">
        <f>+E31*0.6</f>
        <v>61525375.307999998</v>
      </c>
      <c r="F6" s="5">
        <f>+F31*0.6</f>
        <v>62755882.814160004</v>
      </c>
      <c r="G6" s="5">
        <f>+G31*0.6</f>
        <v>64011000.470443204</v>
      </c>
      <c r="H6" s="5">
        <f>+H31*0.6</f>
        <v>65291220.479852073</v>
      </c>
    </row>
    <row r="7" spans="2:10" x14ac:dyDescent="0.25">
      <c r="B7" s="54" t="s">
        <v>43</v>
      </c>
      <c r="C7" s="6">
        <v>32478951.800000001</v>
      </c>
      <c r="D7" s="5">
        <v>21175258.68</v>
      </c>
      <c r="E7" s="5">
        <v>60523037.140000001</v>
      </c>
      <c r="F7" s="5">
        <v>67547138.379999995</v>
      </c>
      <c r="G7" s="5">
        <v>108845280.88</v>
      </c>
      <c r="H7" s="5">
        <v>116530462.44</v>
      </c>
    </row>
    <row r="8" spans="2:10" x14ac:dyDescent="0.25">
      <c r="B8" s="54" t="s">
        <v>44</v>
      </c>
      <c r="C8" s="6">
        <v>-15236520</v>
      </c>
      <c r="D8" s="5">
        <f>+C8-D38</f>
        <v>-18338244.719999999</v>
      </c>
      <c r="E8" s="5">
        <f>+D8-E38</f>
        <v>-21582648.777119998</v>
      </c>
      <c r="F8" s="5">
        <f>+E8-F38</f>
        <v>-24976295.420867518</v>
      </c>
      <c r="G8" s="5">
        <f>+F8-G38</f>
        <v>-28526049.810227424</v>
      </c>
      <c r="H8" s="5">
        <f>+G8-H38</f>
        <v>-32239092.901497886</v>
      </c>
    </row>
    <row r="9" spans="2:10" x14ac:dyDescent="0.25">
      <c r="B9" s="56" t="s">
        <v>45</v>
      </c>
      <c r="C9" s="57">
        <f>SUM(C4:C8)</f>
        <v>177039626.80000001</v>
      </c>
      <c r="D9" s="57">
        <f t="shared" ref="D9:H9" si="1">SUM(D4:D8)</f>
        <v>184829713.94004068</v>
      </c>
      <c r="E9" s="57">
        <f t="shared" si="1"/>
        <v>219229440.81583005</v>
      </c>
      <c r="F9" s="57">
        <f t="shared" si="1"/>
        <v>266978835.36709654</v>
      </c>
      <c r="G9" s="57">
        <f t="shared" si="1"/>
        <v>343370557.99477637</v>
      </c>
      <c r="H9" s="57">
        <f t="shared" si="1"/>
        <v>481558512.85500562</v>
      </c>
    </row>
    <row r="10" spans="2:10" x14ac:dyDescent="0.25">
      <c r="C10" s="6"/>
      <c r="D10" s="5"/>
      <c r="E10" s="5"/>
      <c r="F10" s="5"/>
      <c r="G10" s="5"/>
      <c r="H10" s="5"/>
    </row>
    <row r="11" spans="2:10" ht="28.5" x14ac:dyDescent="0.45">
      <c r="B11" s="67" t="s">
        <v>46</v>
      </c>
      <c r="C11" s="67"/>
      <c r="D11" s="67"/>
      <c r="E11" s="67"/>
      <c r="F11" s="67"/>
      <c r="G11" s="67"/>
      <c r="H11" s="67"/>
    </row>
    <row r="12" spans="2:10" x14ac:dyDescent="0.25">
      <c r="B12" s="2" t="s">
        <v>51</v>
      </c>
      <c r="C12" s="6">
        <v>79914999</v>
      </c>
      <c r="D12" s="5">
        <f>+D79</f>
        <v>55641834.234244145</v>
      </c>
      <c r="E12" s="5">
        <f>+E79</f>
        <v>67786795.128650814</v>
      </c>
      <c r="F12" s="5">
        <f>+F79</f>
        <v>93054596.384075105</v>
      </c>
      <c r="G12" s="5">
        <f>+G79</f>
        <v>146744951.52247694</v>
      </c>
      <c r="H12" s="5">
        <f>+H79</f>
        <v>262019478.49082926</v>
      </c>
      <c r="I12" s="5"/>
      <c r="J12" s="5"/>
    </row>
    <row r="13" spans="2:10" x14ac:dyDescent="0.25">
      <c r="B13" s="2" t="s">
        <v>52</v>
      </c>
      <c r="C13" s="5">
        <v>14630040</v>
      </c>
      <c r="D13" s="5">
        <f>D49</f>
        <v>11773418.569395339</v>
      </c>
      <c r="E13" s="5">
        <f>E49</f>
        <v>8882517.6816234216</v>
      </c>
      <c r="F13" s="5">
        <f>F49</f>
        <v>5956925.9831982413</v>
      </c>
      <c r="G13" s="5">
        <f>G49</f>
        <v>2996227.1843919586</v>
      </c>
      <c r="H13" s="5">
        <v>0</v>
      </c>
    </row>
    <row r="14" spans="2:10" x14ac:dyDescent="0.25">
      <c r="B14" s="2" t="s">
        <v>53</v>
      </c>
      <c r="C14" s="5">
        <v>1223000</v>
      </c>
      <c r="D14" s="5">
        <f>'Gastos de personal'!O45</f>
        <v>1383805.339171927</v>
      </c>
      <c r="E14" s="5">
        <f>D14*(1+0.046)</f>
        <v>1447460.3847738355</v>
      </c>
      <c r="F14" s="5">
        <f>E14*(1+0.046)</f>
        <v>1514043.5624734319</v>
      </c>
      <c r="G14" s="5">
        <f>F14*(1+0.046)</f>
        <v>1583689.56634721</v>
      </c>
      <c r="H14" s="5">
        <f>G14*(1+0.046)</f>
        <v>1656539.2863991817</v>
      </c>
    </row>
    <row r="15" spans="2:10" x14ac:dyDescent="0.25">
      <c r="B15" s="2" t="s">
        <v>54</v>
      </c>
      <c r="C15" s="61">
        <v>2630000</v>
      </c>
      <c r="D15" s="5">
        <f>+D41</f>
        <v>12712283.117594071</v>
      </c>
      <c r="E15" s="5">
        <f>+E41</f>
        <v>12850060.28130695</v>
      </c>
      <c r="F15" s="5">
        <f>+F41</f>
        <v>12984825.114055131</v>
      </c>
      <c r="G15" s="5">
        <f>+G41</f>
        <v>13116263.436054034</v>
      </c>
      <c r="H15" s="5">
        <f>+H41</f>
        <v>13244043.387606315</v>
      </c>
    </row>
    <row r="16" spans="2:10" x14ac:dyDescent="0.25">
      <c r="B16" s="58" t="s">
        <v>45</v>
      </c>
      <c r="C16" s="57">
        <f t="shared" ref="C16:H16" si="2">SUM(C12:C15)</f>
        <v>98398039</v>
      </c>
      <c r="D16" s="57">
        <f t="shared" si="2"/>
        <v>81511341.260405481</v>
      </c>
      <c r="E16" s="57">
        <f t="shared" si="2"/>
        <v>90966833.476355031</v>
      </c>
      <c r="F16" s="57">
        <f t="shared" si="2"/>
        <v>113510391.0438019</v>
      </c>
      <c r="G16" s="57">
        <f t="shared" si="2"/>
        <v>164441131.70927012</v>
      </c>
      <c r="H16" s="57">
        <f t="shared" si="2"/>
        <v>276920061.16483474</v>
      </c>
    </row>
    <row r="17" spans="1:13" x14ac:dyDescent="0.25">
      <c r="C17" s="6"/>
      <c r="D17" s="5"/>
      <c r="E17" s="5"/>
      <c r="F17" s="5"/>
      <c r="G17" s="5"/>
      <c r="H17" s="5"/>
    </row>
    <row r="18" spans="1:13" ht="28.5" x14ac:dyDescent="0.45">
      <c r="B18" s="67" t="s">
        <v>47</v>
      </c>
      <c r="C18" s="67"/>
      <c r="D18" s="67"/>
      <c r="E18" s="67"/>
      <c r="F18" s="67"/>
      <c r="G18" s="67"/>
      <c r="H18" s="67"/>
    </row>
    <row r="19" spans="1:13" x14ac:dyDescent="0.25">
      <c r="B19" s="2" t="s">
        <v>55</v>
      </c>
      <c r="C19" s="6">
        <v>50657700</v>
      </c>
      <c r="D19" s="5">
        <f>+C19</f>
        <v>50657700</v>
      </c>
      <c r="E19" s="5">
        <f t="shared" ref="E19:H19" si="3">+D19</f>
        <v>50657700</v>
      </c>
      <c r="F19" s="5">
        <f t="shared" si="3"/>
        <v>50657700</v>
      </c>
      <c r="G19" s="5">
        <f t="shared" si="3"/>
        <v>50657700</v>
      </c>
      <c r="H19" s="5">
        <f t="shared" si="3"/>
        <v>50657700</v>
      </c>
    </row>
    <row r="20" spans="1:13" x14ac:dyDescent="0.25">
      <c r="B20" s="2" t="s">
        <v>0</v>
      </c>
      <c r="C20" s="6">
        <f>C43</f>
        <v>27983887.799999997</v>
      </c>
      <c r="D20" s="5">
        <f>+D43</f>
        <v>24676784.875329666</v>
      </c>
      <c r="E20" s="5">
        <f>+E43</f>
        <v>24944234.663713485</v>
      </c>
      <c r="F20" s="5">
        <f>+F43</f>
        <v>25205836.986107018</v>
      </c>
      <c r="G20" s="5">
        <f>+G43</f>
        <v>25460981.964104883</v>
      </c>
      <c r="H20" s="5">
        <f>+H43</f>
        <v>25709025.399471082</v>
      </c>
    </row>
    <row r="21" spans="1:13" x14ac:dyDescent="0.25">
      <c r="B21" s="2" t="s">
        <v>56</v>
      </c>
      <c r="C21" s="6"/>
      <c r="D21" s="5">
        <f>+C20</f>
        <v>27983887.799999997</v>
      </c>
      <c r="E21" s="5">
        <f>D21+D20</f>
        <v>52660672.675329663</v>
      </c>
      <c r="F21" s="5">
        <f>SUM(E20+E21)</f>
        <v>77604907.33904314</v>
      </c>
      <c r="G21" s="5">
        <f>SUM(F20+F21)</f>
        <v>102810744.32515016</v>
      </c>
      <c r="H21" s="5">
        <f>SUM(G20+G21)</f>
        <v>128271726.28925505</v>
      </c>
    </row>
    <row r="22" spans="1:13" x14ac:dyDescent="0.25">
      <c r="B22" s="58" t="s">
        <v>45</v>
      </c>
      <c r="C22" s="57">
        <f t="shared" ref="C22:H22" si="4">SUM(C19:C21)</f>
        <v>78641587.799999997</v>
      </c>
      <c r="D22" s="57">
        <f t="shared" si="4"/>
        <v>103318372.67532967</v>
      </c>
      <c r="E22" s="57">
        <f t="shared" si="4"/>
        <v>128262607.33904314</v>
      </c>
      <c r="F22" s="57">
        <f t="shared" si="4"/>
        <v>153468444.32515016</v>
      </c>
      <c r="G22" s="57">
        <f t="shared" si="4"/>
        <v>178929426.28925505</v>
      </c>
      <c r="H22" s="57">
        <f t="shared" si="4"/>
        <v>204638451.68872613</v>
      </c>
    </row>
    <row r="23" spans="1:13" x14ac:dyDescent="0.25">
      <c r="C23" s="6"/>
      <c r="D23" s="5"/>
      <c r="E23" s="5"/>
      <c r="F23" s="5"/>
      <c r="G23" s="5"/>
      <c r="H23" s="5"/>
    </row>
    <row r="24" spans="1:13" ht="21" x14ac:dyDescent="0.35">
      <c r="B24" s="63" t="s">
        <v>92</v>
      </c>
      <c r="C24" s="55">
        <f>+C16+C22</f>
        <v>177039626.80000001</v>
      </c>
      <c r="D24" s="55">
        <f t="shared" ref="D24:H24" si="5">+D16+D22</f>
        <v>184829713.93573517</v>
      </c>
      <c r="E24" s="55">
        <f t="shared" si="5"/>
        <v>219229440.81539816</v>
      </c>
      <c r="F24" s="55">
        <f t="shared" si="5"/>
        <v>266978835.36895207</v>
      </c>
      <c r="G24" s="55">
        <f t="shared" si="5"/>
        <v>343370557.99852514</v>
      </c>
      <c r="H24" s="55">
        <f t="shared" si="5"/>
        <v>481558512.85356086</v>
      </c>
    </row>
    <row r="26" spans="1:13" ht="21" x14ac:dyDescent="0.35">
      <c r="B26" s="63" t="s">
        <v>48</v>
      </c>
      <c r="C26" s="55">
        <f>+C9-C24</f>
        <v>0</v>
      </c>
      <c r="D26" s="55">
        <f>+D9-D24</f>
        <v>4.3055117130279541E-3</v>
      </c>
      <c r="E26" s="55">
        <f>+E9-E24</f>
        <v>4.3189525604248047E-4</v>
      </c>
      <c r="F26" s="55">
        <f>+F9-F24</f>
        <v>-1.8555223941802979E-3</v>
      </c>
      <c r="G26" s="55">
        <f>+G9-G24</f>
        <v>-3.748774528503418E-3</v>
      </c>
      <c r="H26" s="55">
        <f>H9-H24</f>
        <v>1.4447569847106934E-3</v>
      </c>
    </row>
    <row r="28" spans="1:13" x14ac:dyDescent="0.25">
      <c r="C28" s="6"/>
      <c r="D28" s="5">
        <v>1.02</v>
      </c>
      <c r="E28" s="5"/>
      <c r="F28" s="5"/>
      <c r="G28" s="5"/>
      <c r="H28" s="5"/>
    </row>
    <row r="29" spans="1:13" ht="28.5" x14ac:dyDescent="0.45">
      <c r="B29" s="68" t="s">
        <v>50</v>
      </c>
      <c r="C29" s="68"/>
      <c r="D29" s="68"/>
      <c r="E29" s="68"/>
      <c r="F29" s="68"/>
      <c r="G29" s="68"/>
      <c r="H29" s="68"/>
    </row>
    <row r="30" spans="1:13" x14ac:dyDescent="0.25">
      <c r="C30" s="6"/>
      <c r="D30" s="5"/>
      <c r="E30" s="5"/>
      <c r="F30" s="5"/>
      <c r="G30" s="5"/>
      <c r="H30" s="5"/>
    </row>
    <row r="31" spans="1:13" x14ac:dyDescent="0.25">
      <c r="B31" s="2" t="s">
        <v>57</v>
      </c>
      <c r="C31" s="6">
        <v>98560450</v>
      </c>
      <c r="D31" s="5">
        <f>C31*$D$28</f>
        <v>100531659</v>
      </c>
      <c r="E31" s="5">
        <f>D31*$D$28</f>
        <v>102542292.18000001</v>
      </c>
      <c r="F31" s="5">
        <f>E31*$D$28</f>
        <v>104593138.02360001</v>
      </c>
      <c r="G31" s="5">
        <f>F31*$D$28</f>
        <v>106685000.78407201</v>
      </c>
      <c r="H31" s="5">
        <f>G31*$D$28</f>
        <v>108818700.79975346</v>
      </c>
      <c r="I31" s="3"/>
      <c r="J31" s="3"/>
      <c r="K31" s="3"/>
      <c r="L31" s="3"/>
      <c r="M31" s="3"/>
    </row>
    <row r="32" spans="1:13" x14ac:dyDescent="0.25">
      <c r="A32" s="89">
        <f>4500/10000</f>
        <v>0.45</v>
      </c>
      <c r="B32" s="2" t="s">
        <v>58</v>
      </c>
      <c r="C32" s="6">
        <v>39456300</v>
      </c>
      <c r="D32" s="5">
        <f>D31*$A$32</f>
        <v>45239246.550000004</v>
      </c>
      <c r="E32" s="5">
        <f>E31*$A$32</f>
        <v>46144031.481000006</v>
      </c>
      <c r="F32" s="5">
        <f>F31*$A$32</f>
        <v>47066912.110620007</v>
      </c>
      <c r="G32" s="5">
        <f>G31*$A$32</f>
        <v>48008250.352832407</v>
      </c>
      <c r="H32" s="5">
        <f>H31*$A$32</f>
        <v>48968415.35988906</v>
      </c>
      <c r="I32" s="3"/>
      <c r="J32" s="3"/>
      <c r="K32" s="3"/>
      <c r="L32" s="3"/>
      <c r="M32" s="3"/>
    </row>
    <row r="33" spans="1:10" x14ac:dyDescent="0.25">
      <c r="B33" s="2" t="s">
        <v>59</v>
      </c>
      <c r="C33" s="6">
        <f>C31-C32</f>
        <v>59104150</v>
      </c>
      <c r="D33" s="6">
        <f t="shared" ref="D33:H33" si="6">D31-D32</f>
        <v>55292412.449999996</v>
      </c>
      <c r="E33" s="6">
        <f t="shared" si="6"/>
        <v>56398260.699000001</v>
      </c>
      <c r="F33" s="6">
        <f t="shared" si="6"/>
        <v>57526225.912980005</v>
      </c>
      <c r="G33" s="6">
        <f t="shared" si="6"/>
        <v>58676750.431239605</v>
      </c>
      <c r="H33" s="6">
        <f t="shared" si="6"/>
        <v>59850285.439864397</v>
      </c>
      <c r="I33" s="1"/>
    </row>
    <row r="34" spans="1:10" x14ac:dyDescent="0.25">
      <c r="J34" t="e">
        <f>+'[3]TABLA AMORTIZACION'!I4</f>
        <v>#REF!</v>
      </c>
    </row>
    <row r="35" spans="1:10" x14ac:dyDescent="0.25">
      <c r="A35" s="89">
        <v>4.5999999999999996</v>
      </c>
      <c r="B35" s="2" t="s">
        <v>60</v>
      </c>
      <c r="C35" s="88">
        <v>8752000</v>
      </c>
      <c r="D35" s="6">
        <f>'Gastos de personal'!P48</f>
        <v>9589977.4523919262</v>
      </c>
      <c r="E35" s="5">
        <f>D35*(1+0.046)</f>
        <v>10031116.415201955</v>
      </c>
      <c r="F35" s="5">
        <f>E35*(1+0.046)</f>
        <v>10492547.770301245</v>
      </c>
      <c r="G35" s="5">
        <f>F35*(1+0.046)</f>
        <v>10975204.967735102</v>
      </c>
      <c r="H35" s="5">
        <f>G35*(1+0.046)</f>
        <v>11480064.396250917</v>
      </c>
    </row>
    <row r="36" spans="1:10" x14ac:dyDescent="0.25">
      <c r="A36" s="89">
        <v>3</v>
      </c>
      <c r="B36" s="2" t="s">
        <v>61</v>
      </c>
      <c r="C36" s="6">
        <v>4987000</v>
      </c>
      <c r="D36" s="6">
        <f>+'Gastos de personal'!L20</f>
        <v>5036081.8046843335</v>
      </c>
      <c r="E36" s="5">
        <f t="shared" ref="E36:H36" si="7">D36*(1+0.03)</f>
        <v>5187164.2588248635</v>
      </c>
      <c r="F36" s="5">
        <f t="shared" si="7"/>
        <v>5342779.1865896098</v>
      </c>
      <c r="G36" s="5">
        <f t="shared" si="7"/>
        <v>5503062.5621872982</v>
      </c>
      <c r="H36" s="5">
        <f t="shared" si="7"/>
        <v>5668154.4390529171</v>
      </c>
    </row>
    <row r="37" spans="1:10" x14ac:dyDescent="0.25">
      <c r="B37" s="2" t="s">
        <v>62</v>
      </c>
      <c r="C37" s="6">
        <v>0</v>
      </c>
      <c r="D37" s="5">
        <f>IPMT(0.012,1,5,-$C$45)</f>
        <v>175560.48</v>
      </c>
      <c r="E37" s="5">
        <f>IPMT(0.012,2,5,-$C$45)</f>
        <v>141281.02283274406</v>
      </c>
      <c r="F37" s="5">
        <f>IPMT(0.012,3,5,-$C$45)</f>
        <v>106590.21217948104</v>
      </c>
      <c r="G37" s="5">
        <f>IPMT(0.012,4,5,-$C$45)</f>
        <v>71483.111798378886</v>
      </c>
      <c r="H37" s="5">
        <f>IPMT(0.012,5,5,-$C$45)</f>
        <v>35954.726212703492</v>
      </c>
    </row>
    <row r="38" spans="1:10" x14ac:dyDescent="0.25">
      <c r="B38" s="2" t="s">
        <v>63</v>
      </c>
      <c r="C38" s="6">
        <v>2965320</v>
      </c>
      <c r="D38" s="5">
        <f>C38*(1+0.046)</f>
        <v>3101724.72</v>
      </c>
      <c r="E38" s="5">
        <f>D38*(1+0.046)</f>
        <v>3244404.0571200005</v>
      </c>
      <c r="F38" s="5">
        <f>E38*(1+0.046)</f>
        <v>3393646.6437475206</v>
      </c>
      <c r="G38" s="5">
        <f>F38*(1+0.046)</f>
        <v>3549754.3893599068</v>
      </c>
      <c r="H38" s="5">
        <f>G38*(1+0.046)</f>
        <v>3713043.0912704626</v>
      </c>
    </row>
    <row r="39" spans="1:10" x14ac:dyDescent="0.25">
      <c r="B39" s="2" t="s">
        <v>64</v>
      </c>
      <c r="C39" s="6">
        <f>C33-SUM(C35:C38)</f>
        <v>42399830</v>
      </c>
      <c r="D39" s="6">
        <f t="shared" ref="D39:H39" si="8">D33-SUM(D35:D38)</f>
        <v>37389067.992923737</v>
      </c>
      <c r="E39" s="6">
        <f t="shared" si="8"/>
        <v>37794294.945020437</v>
      </c>
      <c r="F39" s="6">
        <f t="shared" si="8"/>
        <v>38190662.100162148</v>
      </c>
      <c r="G39" s="6">
        <f t="shared" si="8"/>
        <v>38577245.400158919</v>
      </c>
      <c r="H39" s="6">
        <f t="shared" si="8"/>
        <v>38953068.787077397</v>
      </c>
    </row>
    <row r="40" spans="1:10" x14ac:dyDescent="0.25">
      <c r="I40" s="4"/>
    </row>
    <row r="41" spans="1:10" ht="21" x14ac:dyDescent="0.35">
      <c r="B41" s="63" t="s">
        <v>65</v>
      </c>
      <c r="C41" s="6">
        <f>C39*0.34</f>
        <v>14415942.200000001</v>
      </c>
      <c r="D41" s="6">
        <f>D39*0.34</f>
        <v>12712283.117594071</v>
      </c>
      <c r="E41" s="6">
        <f t="shared" ref="E41:H41" si="9">E39*0.34</f>
        <v>12850060.28130695</v>
      </c>
      <c r="F41" s="6">
        <f t="shared" si="9"/>
        <v>12984825.114055131</v>
      </c>
      <c r="G41" s="6">
        <f t="shared" si="9"/>
        <v>13116263.436054034</v>
      </c>
      <c r="H41" s="6">
        <f t="shared" si="9"/>
        <v>13244043.387606315</v>
      </c>
    </row>
    <row r="43" spans="1:10" ht="21" x14ac:dyDescent="0.35">
      <c r="B43" s="63" t="s">
        <v>0</v>
      </c>
      <c r="C43" s="59">
        <f>C39-C41</f>
        <v>27983887.799999997</v>
      </c>
      <c r="D43" s="59">
        <f t="shared" ref="D43:H43" si="10">D39-D41</f>
        <v>24676784.875329666</v>
      </c>
      <c r="E43" s="59">
        <f t="shared" si="10"/>
        <v>24944234.663713485</v>
      </c>
      <c r="F43" s="59">
        <f t="shared" si="10"/>
        <v>25205836.986107018</v>
      </c>
      <c r="G43" s="59">
        <f t="shared" si="10"/>
        <v>25460981.964104883</v>
      </c>
      <c r="H43" s="59">
        <f t="shared" si="10"/>
        <v>25709025.399471082</v>
      </c>
    </row>
    <row r="44" spans="1:10" x14ac:dyDescent="0.25">
      <c r="C44" s="5"/>
      <c r="D44" s="5"/>
      <c r="E44" s="5"/>
      <c r="F44" s="5"/>
      <c r="G44" s="5"/>
      <c r="H44" s="5"/>
    </row>
    <row r="45" spans="1:10" ht="21" x14ac:dyDescent="0.35">
      <c r="A45" s="90" t="s">
        <v>1</v>
      </c>
      <c r="B45" s="63" t="s">
        <v>91</v>
      </c>
      <c r="C45" s="5">
        <f>+C13</f>
        <v>14630040</v>
      </c>
      <c r="D45" s="5">
        <v>1</v>
      </c>
      <c r="E45" s="5">
        <v>2</v>
      </c>
      <c r="F45" s="5">
        <v>3</v>
      </c>
      <c r="G45" s="5">
        <v>4</v>
      </c>
      <c r="H45" s="5">
        <v>5</v>
      </c>
    </row>
    <row r="46" spans="1:10" x14ac:dyDescent="0.25">
      <c r="C46" s="5"/>
      <c r="D46" s="5">
        <f>PMT(0.012,5,-$C$45)</f>
        <v>3032181.9106046613</v>
      </c>
      <c r="E46" s="5">
        <f>PMT(0.012,5,-$C$45)</f>
        <v>3032181.9106046613</v>
      </c>
      <c r="F46" s="5">
        <f>PMT(0.012,5,-$C$45)</f>
        <v>3032181.9106046613</v>
      </c>
      <c r="G46" s="5">
        <f>PMT(0.012,5,-$C$45)</f>
        <v>3032181.9106046613</v>
      </c>
      <c r="H46" s="5">
        <f>PMT(0.012,5,-$C$45)</f>
        <v>3032181.9106046613</v>
      </c>
    </row>
    <row r="47" spans="1:10" x14ac:dyDescent="0.25">
      <c r="C47" s="5"/>
      <c r="D47" s="5">
        <f>IPMT(0.012,1,5,-$C$45)</f>
        <v>175560.48</v>
      </c>
      <c r="E47" s="5">
        <f>IPMT(0.012,2,5,-$C$45)</f>
        <v>141281.02283274406</v>
      </c>
      <c r="F47" s="5">
        <f>IPMT(0.012,3,5,-$C$45)</f>
        <v>106590.21217948104</v>
      </c>
      <c r="G47" s="5">
        <f>IPMT(0.012,4,5,-$C$45)</f>
        <v>71483.111798378886</v>
      </c>
      <c r="H47" s="5">
        <f>IPMT(0.012,5,5,-$C$45)</f>
        <v>35954.726212703492</v>
      </c>
    </row>
    <row r="48" spans="1:10" x14ac:dyDescent="0.25">
      <c r="C48" s="5"/>
      <c r="D48" s="5">
        <f>PPMT(0.012,1,5,-$C$45)</f>
        <v>2856621.4306046613</v>
      </c>
      <c r="E48" s="5">
        <f>PPMT(0.012,2,5,-$C$45)</f>
        <v>2890900.8877719175</v>
      </c>
      <c r="F48" s="5">
        <f>PPMT(0.012,3,5,-$C$45)</f>
        <v>2925591.6984251803</v>
      </c>
      <c r="G48" s="5">
        <f>PPMT(0.012,4,5,-$C$45)</f>
        <v>2960698.7988062827</v>
      </c>
      <c r="H48" s="5">
        <f>PPMT(0.012,5,5,-$C$45)</f>
        <v>2996227.1843919577</v>
      </c>
      <c r="I48" s="4"/>
    </row>
    <row r="49" spans="1:8" x14ac:dyDescent="0.25">
      <c r="C49" s="5">
        <v>32630040</v>
      </c>
      <c r="D49" s="5">
        <f>C45-D48</f>
        <v>11773418.569395339</v>
      </c>
      <c r="E49" s="5">
        <f>D49-E48</f>
        <v>8882517.6816234216</v>
      </c>
      <c r="F49" s="5">
        <f t="shared" ref="F49:G49" si="11">E49-F48</f>
        <v>5956925.9831982413</v>
      </c>
      <c r="G49" s="5">
        <f t="shared" si="11"/>
        <v>2996227.1843919586</v>
      </c>
      <c r="H49" s="5">
        <f>G49-H48</f>
        <v>0</v>
      </c>
    </row>
    <row r="52" spans="1:8" ht="28.5" x14ac:dyDescent="0.45">
      <c r="B52" s="66" t="s">
        <v>66</v>
      </c>
      <c r="C52" s="66"/>
      <c r="D52" s="66"/>
      <c r="E52" s="66"/>
      <c r="F52" s="66"/>
      <c r="G52" s="66"/>
      <c r="H52" s="66"/>
    </row>
    <row r="53" spans="1:8" ht="21" x14ac:dyDescent="0.35">
      <c r="B53" s="63" t="s">
        <v>67</v>
      </c>
      <c r="D53" s="5">
        <f>+C4</f>
        <v>96352000</v>
      </c>
      <c r="E53" s="5">
        <f>+D73</f>
        <v>63611921.895796537</v>
      </c>
      <c r="F53" s="5">
        <f>+E73</f>
        <v>39059130.813055113</v>
      </c>
      <c r="G53" s="5">
        <f>+F73</f>
        <v>35959878.988453999</v>
      </c>
      <c r="H53" s="5">
        <f>+G73</f>
        <v>-25388605.32043393</v>
      </c>
    </row>
    <row r="55" spans="1:8" ht="28.5" x14ac:dyDescent="0.45">
      <c r="B55" s="66" t="s">
        <v>57</v>
      </c>
      <c r="C55" s="66"/>
      <c r="D55" s="66"/>
      <c r="E55" s="66"/>
      <c r="F55" s="66"/>
      <c r="G55" s="66"/>
      <c r="H55" s="66"/>
    </row>
    <row r="56" spans="1:8" x14ac:dyDescent="0.25">
      <c r="A56" s="89">
        <v>0.4</v>
      </c>
      <c r="B56" s="2" t="s">
        <v>68</v>
      </c>
      <c r="D56" s="5">
        <f>+D31*$A$56</f>
        <v>40212663.600000001</v>
      </c>
      <c r="E56" s="5">
        <f t="shared" ref="E56:E57" si="12">E31*A56</f>
        <v>41016916.872000009</v>
      </c>
      <c r="F56" s="5">
        <f>+F31*$A$56</f>
        <v>41837255.209440008</v>
      </c>
      <c r="G56" s="5">
        <f t="shared" ref="G56:G57" si="13">G31*A56</f>
        <v>42674000.313628808</v>
      </c>
      <c r="H56" s="5">
        <f>+H31*$A$56</f>
        <v>43527480.319901384</v>
      </c>
    </row>
    <row r="57" spans="1:8" x14ac:dyDescent="0.25">
      <c r="A57" s="89">
        <v>0.6</v>
      </c>
      <c r="B57" s="2" t="s">
        <v>69</v>
      </c>
      <c r="D57" s="5">
        <f>+D32*$A$56</f>
        <v>18095698.620000001</v>
      </c>
      <c r="E57" s="5">
        <f t="shared" si="12"/>
        <v>27686418.888600003</v>
      </c>
      <c r="F57" s="5">
        <f>+E31*$A$57</f>
        <v>61525375.307999998</v>
      </c>
      <c r="G57" s="5">
        <f t="shared" si="13"/>
        <v>28804950.211699445</v>
      </c>
      <c r="H57" s="5">
        <f>+G31*$A$57</f>
        <v>64011000.470443204</v>
      </c>
    </row>
    <row r="60" spans="1:8" x14ac:dyDescent="0.25">
      <c r="D60" s="5"/>
      <c r="E60" s="5"/>
      <c r="F60" s="5"/>
      <c r="G60" s="5"/>
      <c r="H60" s="5"/>
    </row>
    <row r="61" spans="1:8" x14ac:dyDescent="0.25">
      <c r="D61" s="5"/>
      <c r="E61" s="5"/>
      <c r="F61" s="5"/>
      <c r="G61" s="5"/>
      <c r="H61" s="5"/>
    </row>
    <row r="62" spans="1:8" ht="21" x14ac:dyDescent="0.35">
      <c r="B62" s="63" t="s">
        <v>70</v>
      </c>
      <c r="D62" s="5">
        <f>+SUM(D56:D61)</f>
        <v>58308362.219999999</v>
      </c>
      <c r="E62" s="5">
        <f>SUM(E56:E61)</f>
        <v>68703335.760600016</v>
      </c>
      <c r="F62" s="5">
        <f>SUM(F56:F61)</f>
        <v>103362630.51744001</v>
      </c>
      <c r="G62" s="5">
        <f>+SUM(G56:G61)</f>
        <v>71478950.525328249</v>
      </c>
      <c r="H62" s="5">
        <f>SUM(H56:H61)</f>
        <v>107538480.7903446</v>
      </c>
    </row>
    <row r="64" spans="1:8" ht="28.5" x14ac:dyDescent="0.45">
      <c r="B64" s="66" t="s">
        <v>71</v>
      </c>
      <c r="C64" s="66"/>
      <c r="D64" s="66"/>
      <c r="E64" s="66"/>
      <c r="F64" s="66"/>
      <c r="G64" s="66"/>
      <c r="H64" s="66"/>
    </row>
    <row r="65" spans="1:8" x14ac:dyDescent="0.25">
      <c r="A65" s="89">
        <v>4.5999999999999996</v>
      </c>
      <c r="B65" s="2" t="s">
        <v>72</v>
      </c>
      <c r="D65" s="5">
        <f>+'Gastos de personal'!I35+'Gastos de personal'!I7</f>
        <v>9831501</v>
      </c>
      <c r="E65" s="5">
        <f>D65*(1+0.046)</f>
        <v>10283750.046</v>
      </c>
      <c r="F65" s="5">
        <f>E65*(1+0.046)</f>
        <v>10756802.548116</v>
      </c>
      <c r="G65" s="5">
        <f>F65*(1+0.046)</f>
        <v>11251615.465329336</v>
      </c>
      <c r="H65" s="5">
        <f>G65*(1+0.046)</f>
        <v>11769189.776734486</v>
      </c>
    </row>
    <row r="66" spans="1:8" x14ac:dyDescent="0.25">
      <c r="B66" s="2" t="s">
        <v>73</v>
      </c>
      <c r="D66" s="5">
        <f>+'Gastos de personal'!P19+'Gastos de personal'!P47</f>
        <v>4794558.2570762606</v>
      </c>
      <c r="E66" s="5">
        <f>+D14+(D66*(1+0.046))</f>
        <v>6398913.2760736961</v>
      </c>
      <c r="F66" s="5">
        <f>E66*(1+0.046)</f>
        <v>6693263.2867730865</v>
      </c>
      <c r="G66" s="5">
        <f>F66*(1+0.046)</f>
        <v>7001153.3979646489</v>
      </c>
      <c r="H66" s="5">
        <f>G66*(1+0.046)</f>
        <v>7323206.4542710232</v>
      </c>
    </row>
    <row r="67" spans="1:8" x14ac:dyDescent="0.25">
      <c r="B67" s="2" t="s">
        <v>74</v>
      </c>
      <c r="D67" s="5">
        <f>+D41</f>
        <v>12712283.117594071</v>
      </c>
      <c r="E67" s="5">
        <f>D41</f>
        <v>12712283.117594071</v>
      </c>
      <c r="F67" s="5">
        <f>+E41</f>
        <v>12850060.28130695</v>
      </c>
      <c r="G67" s="5">
        <f>+F41</f>
        <v>12984825.114055131</v>
      </c>
      <c r="H67" s="5">
        <f>+G41</f>
        <v>13116263.436054034</v>
      </c>
    </row>
    <row r="68" spans="1:8" x14ac:dyDescent="0.25">
      <c r="B68" s="2" t="s">
        <v>51</v>
      </c>
      <c r="D68" s="5">
        <f>+D12</f>
        <v>55641834.234244145</v>
      </c>
      <c r="E68" s="5">
        <f>D12</f>
        <v>55641834.234244145</v>
      </c>
      <c r="F68" s="5">
        <f>+E12</f>
        <v>67786795.128650814</v>
      </c>
      <c r="G68" s="5">
        <f>+F12</f>
        <v>93054596.384075105</v>
      </c>
      <c r="H68" s="5">
        <f>+G12</f>
        <v>146744951.52247694</v>
      </c>
    </row>
    <row r="69" spans="1:8" x14ac:dyDescent="0.25">
      <c r="B69" s="2" t="s">
        <v>75</v>
      </c>
      <c r="D69" s="5">
        <f>+D46</f>
        <v>3032181.9106046613</v>
      </c>
      <c r="E69" s="5">
        <f>+E46</f>
        <v>3032181.9106046613</v>
      </c>
      <c r="F69" s="5">
        <f>+F46</f>
        <v>3032181.9106046613</v>
      </c>
      <c r="G69" s="5">
        <f>+G46</f>
        <v>3032181.9106046613</v>
      </c>
      <c r="H69" s="5">
        <f>+H46</f>
        <v>3032181.9106046613</v>
      </c>
    </row>
    <row r="70" spans="1:8" x14ac:dyDescent="0.25">
      <c r="B70" s="2" t="s">
        <v>76</v>
      </c>
      <c r="D70" s="5">
        <f>+D36</f>
        <v>5036081.8046843335</v>
      </c>
      <c r="E70" s="5">
        <f>+E36</f>
        <v>5187164.2588248635</v>
      </c>
      <c r="F70" s="5">
        <f>+F36</f>
        <v>5342779.1865896098</v>
      </c>
      <c r="G70" s="5">
        <f>+G36</f>
        <v>5503062.5621872982</v>
      </c>
      <c r="H70" s="5">
        <f>+H36</f>
        <v>5668154.4390529171</v>
      </c>
    </row>
    <row r="71" spans="1:8" x14ac:dyDescent="0.25">
      <c r="B71" s="58" t="s">
        <v>77</v>
      </c>
      <c r="C71" s="58"/>
      <c r="D71" s="60">
        <f>+SUM(D65:D70)</f>
        <v>91048440.324203461</v>
      </c>
      <c r="E71" s="60">
        <f>+SUM(E65:E70)</f>
        <v>93256126.84334144</v>
      </c>
      <c r="F71" s="60">
        <f>+SUM(F65:F70)</f>
        <v>106461882.34204112</v>
      </c>
      <c r="G71" s="60">
        <f>+SUM(G65:G70)</f>
        <v>132827434.83421618</v>
      </c>
      <c r="H71" s="60">
        <f>+SUM(H65:H70)</f>
        <v>187653947.53919405</v>
      </c>
    </row>
    <row r="73" spans="1:8" ht="21" x14ac:dyDescent="0.35">
      <c r="B73" s="63" t="s">
        <v>78</v>
      </c>
      <c r="D73" s="5">
        <f>+D53+D62-D71</f>
        <v>63611921.895796537</v>
      </c>
      <c r="E73" s="5">
        <f>+E53+E62-E71</f>
        <v>39059130.813055113</v>
      </c>
      <c r="F73" s="5">
        <f>+F53+F62-F71</f>
        <v>35959878.988453999</v>
      </c>
      <c r="G73" s="5">
        <f>+G53+G62-G71</f>
        <v>-25388605.32043393</v>
      </c>
      <c r="H73" s="5">
        <f>+H53+H62-H71</f>
        <v>-105504072.06928338</v>
      </c>
    </row>
    <row r="77" spans="1:8" x14ac:dyDescent="0.25">
      <c r="B77" s="2" t="s">
        <v>41</v>
      </c>
      <c r="D77" s="64">
        <v>1.1674942103878201</v>
      </c>
      <c r="E77" s="64"/>
      <c r="F77" s="64"/>
      <c r="G77" s="64"/>
      <c r="H77" s="64"/>
    </row>
    <row r="78" spans="1:8" x14ac:dyDescent="0.25">
      <c r="B78" s="2" t="s">
        <v>79</v>
      </c>
      <c r="D78" s="64">
        <f>+C5</f>
        <v>47659195</v>
      </c>
      <c r="E78" s="64">
        <f>+D5</f>
        <v>58061782.684244134</v>
      </c>
      <c r="F78" s="64">
        <f>E81</f>
        <v>79704546.331894934</v>
      </c>
      <c r="G78" s="64">
        <f>+F5</f>
        <v>125692230.60535003</v>
      </c>
      <c r="H78" s="64">
        <f>+G5</f>
        <v>224428931.77499458</v>
      </c>
    </row>
    <row r="79" spans="1:8" x14ac:dyDescent="0.25">
      <c r="B79" s="2" t="s">
        <v>80</v>
      </c>
      <c r="D79" s="64">
        <f>+C5*$D$77</f>
        <v>55641834.234244145</v>
      </c>
      <c r="E79" s="64">
        <f>D5*D77</f>
        <v>67786795.128650814</v>
      </c>
      <c r="F79" s="64">
        <f>+E5*$D$77</f>
        <v>93054596.384075105</v>
      </c>
      <c r="G79" s="64">
        <f>+F5*$D$77</f>
        <v>146744951.52247694</v>
      </c>
      <c r="H79" s="64">
        <f>+G5*$D$77</f>
        <v>262019478.49082926</v>
      </c>
    </row>
    <row r="80" spans="1:8" x14ac:dyDescent="0.25">
      <c r="B80" s="2" t="s">
        <v>81</v>
      </c>
      <c r="D80" s="64">
        <f>+D32</f>
        <v>45239246.550000004</v>
      </c>
      <c r="E80" s="64">
        <f>+E32</f>
        <v>46144031.481000006</v>
      </c>
      <c r="F80" s="64">
        <f>+F32</f>
        <v>47066912.110620007</v>
      </c>
      <c r="G80" s="64">
        <f>+G32</f>
        <v>48008250.352832407</v>
      </c>
      <c r="H80" s="64">
        <f>+H32</f>
        <v>48968415.35988906</v>
      </c>
    </row>
    <row r="81" spans="2:8" x14ac:dyDescent="0.25">
      <c r="B81" s="2" t="s">
        <v>82</v>
      </c>
      <c r="D81" s="64">
        <f>+D78+D79-D80</f>
        <v>58061782.684244134</v>
      </c>
      <c r="E81" s="64">
        <f t="shared" ref="E81:H81" si="14">+E78+E79-E80</f>
        <v>79704546.331894934</v>
      </c>
      <c r="F81" s="64">
        <f t="shared" si="14"/>
        <v>125692230.60535003</v>
      </c>
      <c r="G81" s="64">
        <f t="shared" si="14"/>
        <v>224428931.77499458</v>
      </c>
      <c r="H81" s="64">
        <f t="shared" si="14"/>
        <v>437479994.90593481</v>
      </c>
    </row>
    <row r="83" spans="2:8" x14ac:dyDescent="0.25">
      <c r="D83" s="52">
        <f>+D81/D31</f>
        <v>0.57754724493548981</v>
      </c>
      <c r="E83" s="52">
        <f>+E81/E31</f>
        <v>0.77728461727755893</v>
      </c>
      <c r="F83" s="52">
        <f>+F81/F31</f>
        <v>1.20172539977708</v>
      </c>
      <c r="G83" s="52">
        <f>+G81/G31</f>
        <v>2.103659653424323</v>
      </c>
      <c r="H83" s="52">
        <f>+H81/H31</f>
        <v>4.0202648229643811</v>
      </c>
    </row>
  </sheetData>
  <mergeCells count="8">
    <mergeCell ref="B2:H2"/>
    <mergeCell ref="B29:H29"/>
    <mergeCell ref="B52:H52"/>
    <mergeCell ref="B55:H55"/>
    <mergeCell ref="B64:H64"/>
    <mergeCell ref="B3:H3"/>
    <mergeCell ref="B11:H11"/>
    <mergeCell ref="B18:H18"/>
  </mergeCells>
  <pageMargins left="0.7" right="0.7" top="0.75" bottom="0.75" header="0.3" footer="0.3"/>
  <pageSetup orientation="portrait" horizontalDpi="4294967292" verticalDpi="4294967292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S48"/>
  <sheetViews>
    <sheetView topLeftCell="A25" zoomScale="70" zoomScaleNormal="70" zoomScalePageLayoutView="150" workbookViewId="0">
      <selection activeCell="E27" sqref="E27"/>
    </sheetView>
  </sheetViews>
  <sheetFormatPr baseColWidth="10" defaultColWidth="0" defaultRowHeight="0" customHeight="1" zeroHeight="1" x14ac:dyDescent="0.25"/>
  <cols>
    <col min="1" max="1" width="26.85546875" style="9" customWidth="1"/>
    <col min="2" max="7" width="12.7109375" style="9" customWidth="1"/>
    <col min="8" max="8" width="16.85546875" style="9" customWidth="1"/>
    <col min="9" max="11" width="12.7109375" style="9" customWidth="1"/>
    <col min="12" max="12" width="17.42578125" style="9" customWidth="1"/>
    <col min="13" max="14" width="12.7109375" style="9" customWidth="1"/>
    <col min="15" max="15" width="16.140625" style="9" customWidth="1"/>
    <col min="16" max="16" width="17.28515625" style="9" bestFit="1" customWidth="1"/>
    <col min="17" max="17" width="10.7109375" style="9" customWidth="1"/>
    <col min="18" max="18" width="20.85546875" style="9" customWidth="1"/>
    <col min="19" max="19" width="0" style="9" hidden="1" customWidth="1"/>
    <col min="20" max="16384" width="1.7109375" style="9" hidden="1"/>
  </cols>
  <sheetData>
    <row r="1" spans="1:18" ht="39" customHeight="1" thickBot="1" x14ac:dyDescent="0.3">
      <c r="A1" s="7" t="s">
        <v>2</v>
      </c>
      <c r="B1" s="8"/>
      <c r="C1" s="8"/>
      <c r="D1" s="8"/>
      <c r="E1" s="8"/>
      <c r="F1" s="8">
        <f>ROW(L11)</f>
        <v>11</v>
      </c>
      <c r="G1" s="8">
        <f>ROW(L16)</f>
        <v>16</v>
      </c>
      <c r="H1" s="8">
        <f>ROW(B10)</f>
        <v>10</v>
      </c>
      <c r="I1" s="8">
        <f>ROW(B12)</f>
        <v>12</v>
      </c>
      <c r="J1" s="8">
        <f>ROW(A14)</f>
        <v>14</v>
      </c>
      <c r="K1" s="8">
        <f>+J1+3</f>
        <v>17</v>
      </c>
      <c r="L1" s="8" t="e">
        <f>ROW(#REF!)</f>
        <v>#REF!</v>
      </c>
      <c r="M1" s="8" t="e">
        <f>L1+1</f>
        <v>#REF!</v>
      </c>
      <c r="N1" s="7"/>
      <c r="O1" s="7"/>
      <c r="P1" s="7"/>
    </row>
    <row r="2" spans="1:18" ht="15" customHeight="1" x14ac:dyDescent="0.25">
      <c r="A2" s="10"/>
      <c r="B2" s="69" t="s">
        <v>3</v>
      </c>
      <c r="C2" s="69" t="s">
        <v>4</v>
      </c>
      <c r="D2" s="11"/>
      <c r="E2" s="71" t="s">
        <v>5</v>
      </c>
      <c r="F2" s="72"/>
      <c r="G2" s="72"/>
      <c r="H2" s="73"/>
      <c r="I2" s="69" t="s">
        <v>6</v>
      </c>
      <c r="J2" s="71" t="s">
        <v>7</v>
      </c>
      <c r="K2" s="72"/>
      <c r="L2" s="72"/>
      <c r="M2" s="72"/>
      <c r="N2" s="73"/>
      <c r="O2" s="69" t="s">
        <v>8</v>
      </c>
      <c r="P2" s="69" t="s">
        <v>9</v>
      </c>
    </row>
    <row r="3" spans="1:18" s="15" customFormat="1" ht="63" x14ac:dyDescent="0.25">
      <c r="A3" s="12" t="s">
        <v>10</v>
      </c>
      <c r="B3" s="70"/>
      <c r="C3" s="70"/>
      <c r="D3" s="13" t="s">
        <v>11</v>
      </c>
      <c r="E3" s="14" t="s">
        <v>12</v>
      </c>
      <c r="F3" s="13" t="s">
        <v>13</v>
      </c>
      <c r="G3" s="13" t="s">
        <v>14</v>
      </c>
      <c r="H3" s="13" t="s">
        <v>15</v>
      </c>
      <c r="I3" s="70"/>
      <c r="J3" s="14" t="s">
        <v>16</v>
      </c>
      <c r="K3" s="13" t="s">
        <v>17</v>
      </c>
      <c r="L3" s="13" t="s">
        <v>18</v>
      </c>
      <c r="M3" s="13" t="s">
        <v>19</v>
      </c>
      <c r="N3" s="13" t="s">
        <v>20</v>
      </c>
      <c r="O3" s="70"/>
      <c r="P3" s="70"/>
    </row>
    <row r="4" spans="1:18" s="21" customFormat="1" ht="15" x14ac:dyDescent="0.25">
      <c r="A4" s="16" t="s">
        <v>90</v>
      </c>
      <c r="B4" s="17">
        <v>1500000</v>
      </c>
      <c r="C4" s="18">
        <v>30</v>
      </c>
      <c r="D4" s="18">
        <v>1</v>
      </c>
      <c r="E4" s="19">
        <f>(B4*C4/30)*D4</f>
        <v>1500000</v>
      </c>
      <c r="F4" s="19">
        <f>74000*D4</f>
        <v>74000</v>
      </c>
      <c r="G4" s="20"/>
      <c r="H4" s="20"/>
      <c r="I4" s="19">
        <f>+E4+F4+G4+H4</f>
        <v>1574000</v>
      </c>
      <c r="J4" s="19">
        <f>+(I4-F4)*4%</f>
        <v>60000</v>
      </c>
      <c r="K4" s="19">
        <f>+(I4-F4)*4%</f>
        <v>60000</v>
      </c>
      <c r="L4" s="19"/>
      <c r="M4" s="20"/>
      <c r="N4" s="20">
        <v>124500</v>
      </c>
      <c r="O4" s="19">
        <f>+J4+K4+L4+M4+N4</f>
        <v>244500</v>
      </c>
      <c r="P4" s="19">
        <f>+I4-O4</f>
        <v>1329500</v>
      </c>
    </row>
    <row r="5" spans="1:18" ht="15.75" customHeight="1" x14ac:dyDescent="0.25">
      <c r="A5" s="47" t="s">
        <v>89</v>
      </c>
      <c r="B5" s="17">
        <v>1000000</v>
      </c>
      <c r="C5" s="18">
        <v>30</v>
      </c>
      <c r="D5" s="18">
        <v>1</v>
      </c>
      <c r="E5" s="19">
        <f>(B5*C5/30)*D5</f>
        <v>1000000</v>
      </c>
      <c r="F5" s="19">
        <v>74000</v>
      </c>
      <c r="G5" s="20">
        <v>0</v>
      </c>
      <c r="H5" s="20"/>
      <c r="I5" s="19">
        <f>+E5+F5+G5+H5</f>
        <v>1074000</v>
      </c>
      <c r="J5" s="19">
        <f>+(I5-F5)*4%</f>
        <v>40000</v>
      </c>
      <c r="K5" s="19">
        <f>+(I5-F5)*4%</f>
        <v>40000</v>
      </c>
      <c r="L5" s="19"/>
      <c r="M5" s="20"/>
      <c r="N5" s="20"/>
      <c r="O5" s="19">
        <f>+J5+K5+L5+M5+N5</f>
        <v>80000</v>
      </c>
      <c r="P5" s="19">
        <f>+I5-O5</f>
        <v>994000</v>
      </c>
      <c r="Q5" s="43"/>
      <c r="R5" s="43"/>
    </row>
    <row r="6" spans="1:18" ht="15.75" customHeight="1" x14ac:dyDescent="0.25">
      <c r="A6" s="47" t="s">
        <v>88</v>
      </c>
      <c r="B6" s="17">
        <v>644350</v>
      </c>
      <c r="C6" s="18">
        <v>30</v>
      </c>
      <c r="D6" s="18">
        <v>1</v>
      </c>
      <c r="E6" s="19">
        <f>(B6*C6/30)*D6</f>
        <v>644350</v>
      </c>
      <c r="F6" s="19">
        <v>74000</v>
      </c>
      <c r="G6" s="20">
        <v>0</v>
      </c>
      <c r="H6" s="20"/>
      <c r="I6" s="19">
        <f>+E6+F6+G6+H6</f>
        <v>718350</v>
      </c>
      <c r="J6" s="19">
        <f>+(I6-F6)*4%</f>
        <v>25774</v>
      </c>
      <c r="K6" s="19">
        <f>+(I6-F6)*4%</f>
        <v>25774</v>
      </c>
      <c r="L6" s="19"/>
      <c r="M6" s="20"/>
      <c r="N6" s="20"/>
      <c r="O6" s="19">
        <f>+J6+K6+L6+M6+N6</f>
        <v>51548</v>
      </c>
      <c r="P6" s="19">
        <f>+I6-O6</f>
        <v>666802</v>
      </c>
      <c r="Q6" s="43"/>
      <c r="R6" s="43"/>
    </row>
    <row r="7" spans="1:18" ht="16.5" thickBot="1" x14ac:dyDescent="0.3">
      <c r="A7" s="22" t="s">
        <v>21</v>
      </c>
      <c r="B7" s="23">
        <f>SUM(B4:B4)</f>
        <v>1500000</v>
      </c>
      <c r="C7" s="24"/>
      <c r="D7" s="23">
        <f>SUM(D4:D4)</f>
        <v>1</v>
      </c>
      <c r="E7" s="23">
        <f>SUM(E4:E6)</f>
        <v>3144350</v>
      </c>
      <c r="F7" s="23">
        <f t="shared" ref="F7:P7" si="0">SUM(F4:F6)</f>
        <v>222000</v>
      </c>
      <c r="G7" s="23">
        <f t="shared" si="0"/>
        <v>0</v>
      </c>
      <c r="H7" s="23">
        <f t="shared" si="0"/>
        <v>0</v>
      </c>
      <c r="I7" s="23">
        <f>SUM(I4:I6)</f>
        <v>3366350</v>
      </c>
      <c r="J7" s="23">
        <f t="shared" si="0"/>
        <v>125774</v>
      </c>
      <c r="K7" s="23">
        <f t="shared" si="0"/>
        <v>125774</v>
      </c>
      <c r="L7" s="23">
        <f t="shared" si="0"/>
        <v>0</v>
      </c>
      <c r="M7" s="23">
        <f t="shared" si="0"/>
        <v>0</v>
      </c>
      <c r="N7" s="23">
        <f t="shared" si="0"/>
        <v>124500</v>
      </c>
      <c r="O7" s="23">
        <f t="shared" si="0"/>
        <v>376048</v>
      </c>
      <c r="P7" s="23">
        <f t="shared" si="0"/>
        <v>2990302</v>
      </c>
    </row>
    <row r="8" spans="1:18" ht="15.75" x14ac:dyDescent="0.25">
      <c r="A8" s="25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8" ht="15.75" x14ac:dyDescent="0.25">
      <c r="A9" s="26"/>
      <c r="B9" s="26"/>
      <c r="C9" s="26"/>
      <c r="D9" s="26"/>
      <c r="E9" s="26"/>
      <c r="F9" s="26"/>
      <c r="G9" s="26"/>
      <c r="H9" s="26"/>
      <c r="I9" s="26"/>
      <c r="J9" s="7"/>
      <c r="K9" s="7"/>
      <c r="L9" s="7"/>
      <c r="M9" s="7"/>
      <c r="N9" s="7"/>
      <c r="O9" s="7"/>
      <c r="P9" s="7"/>
    </row>
    <row r="10" spans="1:18" ht="15.75" x14ac:dyDescent="0.25">
      <c r="A10" s="27"/>
      <c r="B10" s="28"/>
      <c r="C10" s="28"/>
      <c r="D10" s="28"/>
      <c r="E10" s="28"/>
      <c r="F10" s="28"/>
      <c r="G10" s="28"/>
      <c r="H10" s="28"/>
      <c r="I10" s="26"/>
      <c r="J10" s="77" t="s">
        <v>22</v>
      </c>
      <c r="K10" s="78"/>
      <c r="L10" s="29" t="s">
        <v>23</v>
      </c>
      <c r="M10" s="77" t="s">
        <v>24</v>
      </c>
      <c r="N10" s="78"/>
      <c r="O10" s="29" t="s">
        <v>23</v>
      </c>
      <c r="P10" s="7"/>
    </row>
    <row r="11" spans="1:18" ht="15.75" x14ac:dyDescent="0.25">
      <c r="A11" s="26"/>
      <c r="B11" s="26"/>
      <c r="C11" s="26"/>
      <c r="D11" s="26"/>
      <c r="E11" s="26"/>
      <c r="F11" s="26"/>
      <c r="G11" s="26"/>
      <c r="H11" s="26"/>
      <c r="I11" s="26"/>
      <c r="J11" s="75" t="s">
        <v>25</v>
      </c>
      <c r="K11" s="76"/>
      <c r="L11" s="30">
        <f>+($I$7-$F$7)*8.5%</f>
        <v>267269.75</v>
      </c>
      <c r="M11" s="31" t="s">
        <v>26</v>
      </c>
      <c r="N11" s="32"/>
      <c r="O11" s="33">
        <f>+($I$7)*8.3333%</f>
        <v>280528.04454999999</v>
      </c>
      <c r="P11" s="7"/>
    </row>
    <row r="12" spans="1:18" ht="15.75" x14ac:dyDescent="0.25">
      <c r="A12" s="27"/>
      <c r="B12" s="28"/>
      <c r="C12" s="28"/>
      <c r="D12" s="28"/>
      <c r="E12" s="28"/>
      <c r="F12" s="28"/>
      <c r="G12" s="28"/>
      <c r="H12" s="28"/>
      <c r="I12" s="26"/>
      <c r="J12" s="75" t="s">
        <v>27</v>
      </c>
      <c r="K12" s="76"/>
      <c r="L12" s="30">
        <f>+($I$7-$F$7)*0.522%</f>
        <v>16413.506999999998</v>
      </c>
      <c r="M12" s="31" t="s">
        <v>28</v>
      </c>
      <c r="N12" s="32"/>
      <c r="O12" s="33">
        <f>+O11*1%*12</f>
        <v>33663.365345999999</v>
      </c>
      <c r="P12" s="7"/>
    </row>
    <row r="13" spans="1:18" ht="15.75" x14ac:dyDescent="0.25">
      <c r="A13" s="26"/>
      <c r="B13" s="26"/>
      <c r="C13" s="26"/>
      <c r="D13" s="26"/>
      <c r="E13" s="26"/>
      <c r="F13" s="26"/>
      <c r="G13" s="26"/>
      <c r="H13" s="26"/>
      <c r="I13" s="26"/>
      <c r="J13" s="75" t="s">
        <v>29</v>
      </c>
      <c r="K13" s="76"/>
      <c r="L13" s="30">
        <f>+($I$7-$F$7)*12%</f>
        <v>377322</v>
      </c>
      <c r="M13" s="31" t="s">
        <v>30</v>
      </c>
      <c r="N13" s="32"/>
      <c r="O13" s="33">
        <f>+I7*8.33333%</f>
        <v>280529.05445499998</v>
      </c>
      <c r="P13" s="7"/>
    </row>
    <row r="14" spans="1:18" ht="15.75" x14ac:dyDescent="0.25">
      <c r="A14" s="34"/>
      <c r="B14" s="34"/>
      <c r="C14" s="34"/>
      <c r="D14" s="34"/>
      <c r="E14" s="34"/>
      <c r="F14" s="34"/>
      <c r="G14" s="34"/>
      <c r="H14" s="34"/>
      <c r="I14" s="26"/>
      <c r="J14" s="75" t="s">
        <v>31</v>
      </c>
      <c r="K14" s="76"/>
      <c r="L14" s="30">
        <f>+($I$7-$F$7)*3%</f>
        <v>94330.5</v>
      </c>
      <c r="M14" s="31" t="s">
        <v>32</v>
      </c>
      <c r="N14" s="32"/>
      <c r="O14" s="33">
        <f>+($I$7-$F$7)*4.16666666666667%</f>
        <v>131014.58333333343</v>
      </c>
      <c r="P14" s="7"/>
    </row>
    <row r="15" spans="1:18" ht="15.75" x14ac:dyDescent="0.25">
      <c r="A15" s="34"/>
      <c r="B15" s="34"/>
      <c r="C15" s="34"/>
      <c r="D15" s="34"/>
      <c r="E15" s="34"/>
      <c r="F15" s="34"/>
      <c r="G15" s="34"/>
      <c r="H15" s="34"/>
      <c r="I15" s="26"/>
      <c r="J15" s="75" t="s">
        <v>33</v>
      </c>
      <c r="K15" s="76"/>
      <c r="L15" s="30">
        <f>+($I$7-$F$7)*2%</f>
        <v>62887</v>
      </c>
      <c r="M15" s="31"/>
      <c r="N15" s="32"/>
      <c r="O15" s="33"/>
      <c r="P15" s="7"/>
    </row>
    <row r="16" spans="1:18" ht="15.75" x14ac:dyDescent="0.25">
      <c r="A16" s="34"/>
      <c r="B16" s="34"/>
      <c r="C16" s="34"/>
      <c r="D16" s="34"/>
      <c r="E16" s="34"/>
      <c r="F16" s="34"/>
      <c r="G16" s="34"/>
      <c r="H16" s="34"/>
      <c r="I16" s="26"/>
      <c r="J16" s="75" t="s">
        <v>34</v>
      </c>
      <c r="K16" s="76"/>
      <c r="L16" s="30">
        <f>+($I$7-$F$7)*4%</f>
        <v>125774</v>
      </c>
      <c r="M16" s="31"/>
      <c r="N16" s="32"/>
      <c r="O16" s="33"/>
      <c r="P16" s="7"/>
      <c r="R16" s="35"/>
    </row>
    <row r="17" spans="1:18" ht="15.75" x14ac:dyDescent="0.25">
      <c r="A17" s="34"/>
      <c r="B17" s="34"/>
      <c r="C17" s="34"/>
      <c r="D17" s="34"/>
      <c r="E17" s="34"/>
      <c r="F17" s="34"/>
      <c r="G17" s="34"/>
      <c r="H17" s="34"/>
      <c r="I17" s="26"/>
      <c r="J17" s="77" t="s">
        <v>35</v>
      </c>
      <c r="K17" s="78"/>
      <c r="L17" s="36">
        <f>SUM(L11:L16)</f>
        <v>943996.75699999998</v>
      </c>
      <c r="M17" s="37" t="s">
        <v>35</v>
      </c>
      <c r="N17" s="38"/>
      <c r="O17" s="39">
        <f>SUM(O11:O16)</f>
        <v>725735.04768433352</v>
      </c>
      <c r="P17" s="7"/>
    </row>
    <row r="18" spans="1:18" ht="16.5" thickBot="1" x14ac:dyDescent="0.3">
      <c r="A18" s="26"/>
      <c r="B18" s="26"/>
      <c r="C18" s="26"/>
      <c r="D18" s="26"/>
      <c r="E18" s="26"/>
      <c r="F18" s="26"/>
      <c r="G18" s="26"/>
      <c r="H18" s="26"/>
      <c r="I18" s="26"/>
      <c r="J18" s="7"/>
      <c r="K18" s="7"/>
      <c r="L18" s="40"/>
      <c r="M18" s="7"/>
      <c r="N18" s="7"/>
      <c r="O18" s="7"/>
      <c r="P18" s="7"/>
    </row>
    <row r="19" spans="1:18" ht="16.5" thickBot="1" x14ac:dyDescent="0.3">
      <c r="A19" s="27"/>
      <c r="B19" s="27"/>
      <c r="C19" s="27"/>
      <c r="D19" s="27"/>
      <c r="E19" s="27"/>
      <c r="F19" s="27"/>
      <c r="G19" s="27"/>
      <c r="H19" s="27"/>
      <c r="I19" s="26"/>
      <c r="J19" s="79">
        <f>IF(L17+O17=0," ",$L$17+$O$17)</f>
        <v>1669731.8046843335</v>
      </c>
      <c r="K19" s="80"/>
      <c r="L19" s="80"/>
      <c r="M19" s="80"/>
      <c r="N19" s="80"/>
      <c r="O19" s="81"/>
      <c r="P19" s="40">
        <f>+O17+L17</f>
        <v>1669731.8046843335</v>
      </c>
    </row>
    <row r="20" spans="1:18" ht="15.75" customHeight="1" x14ac:dyDescent="0.25">
      <c r="A20" s="27"/>
      <c r="B20" s="27"/>
      <c r="C20" s="27"/>
      <c r="D20" s="27"/>
      <c r="E20" s="27"/>
      <c r="F20" s="27"/>
      <c r="G20" s="27"/>
      <c r="H20" s="27"/>
      <c r="I20" s="26"/>
      <c r="J20" s="41"/>
      <c r="K20" s="41"/>
      <c r="L20" s="42">
        <f>+J19+I7</f>
        <v>5036081.8046843335</v>
      </c>
      <c r="M20" s="41"/>
      <c r="N20" s="41"/>
      <c r="O20" s="41"/>
      <c r="P20" s="7"/>
      <c r="Q20" s="43"/>
      <c r="R20" s="43"/>
    </row>
    <row r="21" spans="1:18" ht="15.75" customHeight="1" x14ac:dyDescent="0.25">
      <c r="A21" s="86"/>
      <c r="B21" s="86"/>
      <c r="C21" s="87"/>
      <c r="D21" s="87"/>
      <c r="E21" s="87"/>
      <c r="F21" s="87"/>
      <c r="G21" s="87"/>
      <c r="H21" s="87"/>
      <c r="I21" s="87"/>
      <c r="J21" s="87"/>
      <c r="K21" s="87"/>
      <c r="L21" s="44"/>
      <c r="M21" s="7"/>
      <c r="N21" s="7"/>
      <c r="O21" s="7"/>
      <c r="P21" s="7"/>
      <c r="Q21" s="43"/>
      <c r="R21" s="43"/>
    </row>
    <row r="22" spans="1:18" ht="7.5" customHeight="1" x14ac:dyDescent="0.25">
      <c r="A22" s="44"/>
      <c r="B22" s="45"/>
      <c r="C22" s="87"/>
      <c r="D22" s="87"/>
      <c r="E22" s="87"/>
      <c r="F22" s="87"/>
      <c r="G22" s="87"/>
      <c r="H22" s="87"/>
      <c r="I22" s="87"/>
      <c r="J22" s="87"/>
      <c r="K22" s="87"/>
      <c r="L22" s="44"/>
      <c r="M22" s="7"/>
      <c r="N22" s="7"/>
      <c r="O22" s="7"/>
      <c r="P22" s="7"/>
      <c r="Q22" s="43"/>
      <c r="R22" s="43"/>
    </row>
    <row r="23" spans="1:18" ht="23.25" customHeight="1" thickBot="1" x14ac:dyDescent="0.3">
      <c r="A23" s="7" t="s">
        <v>36</v>
      </c>
      <c r="E23" s="8"/>
      <c r="F23" s="8">
        <f>ROW(L39)</f>
        <v>39</v>
      </c>
      <c r="G23" s="8">
        <f>ROW(L44)</f>
        <v>44</v>
      </c>
      <c r="H23" s="8">
        <f>ROW(B38)</f>
        <v>38</v>
      </c>
      <c r="I23" s="8">
        <f>ROW(B40)</f>
        <v>40</v>
      </c>
      <c r="J23" s="8">
        <f>ROW(A42)</f>
        <v>42</v>
      </c>
      <c r="K23" s="8">
        <f>+J23+3</f>
        <v>45</v>
      </c>
      <c r="L23" s="8" t="e">
        <f>ROW(#REF!)</f>
        <v>#REF!</v>
      </c>
      <c r="M23" s="8" t="e">
        <f>L23+1</f>
        <v>#REF!</v>
      </c>
      <c r="N23" s="7"/>
      <c r="O23" s="7"/>
      <c r="P23" s="7"/>
      <c r="Q23" s="43"/>
      <c r="R23" s="43"/>
    </row>
    <row r="24" spans="1:18" ht="15.75" customHeight="1" x14ac:dyDescent="0.25">
      <c r="A24" s="10"/>
      <c r="B24" s="82" t="s">
        <v>3</v>
      </c>
      <c r="C24" s="84" t="s">
        <v>4</v>
      </c>
      <c r="D24" s="11"/>
      <c r="E24" s="71" t="s">
        <v>5</v>
      </c>
      <c r="F24" s="72"/>
      <c r="G24" s="72"/>
      <c r="H24" s="73"/>
      <c r="I24" s="69" t="s">
        <v>6</v>
      </c>
      <c r="J24" s="71" t="s">
        <v>7</v>
      </c>
      <c r="K24" s="72"/>
      <c r="L24" s="72"/>
      <c r="M24" s="72"/>
      <c r="N24" s="73"/>
      <c r="O24" s="69" t="s">
        <v>8</v>
      </c>
      <c r="P24" s="69" t="s">
        <v>9</v>
      </c>
      <c r="Q24" s="43"/>
      <c r="R24" s="43"/>
    </row>
    <row r="25" spans="1:18" s="15" customFormat="1" ht="63" x14ac:dyDescent="0.25">
      <c r="A25" s="12" t="s">
        <v>10</v>
      </c>
      <c r="B25" s="83"/>
      <c r="C25" s="85"/>
      <c r="D25" s="13" t="s">
        <v>37</v>
      </c>
      <c r="E25" s="14" t="s">
        <v>12</v>
      </c>
      <c r="F25" s="13" t="s">
        <v>13</v>
      </c>
      <c r="G25" s="13" t="s">
        <v>14</v>
      </c>
      <c r="H25" s="13" t="s">
        <v>15</v>
      </c>
      <c r="I25" s="70"/>
      <c r="J25" s="14" t="s">
        <v>16</v>
      </c>
      <c r="K25" s="13" t="s">
        <v>17</v>
      </c>
      <c r="L25" s="13" t="s">
        <v>18</v>
      </c>
      <c r="M25" s="13" t="s">
        <v>19</v>
      </c>
      <c r="N25" s="13" t="s">
        <v>20</v>
      </c>
      <c r="O25" s="70"/>
      <c r="P25" s="70"/>
      <c r="Q25" s="46"/>
      <c r="R25" s="46"/>
    </row>
    <row r="26" spans="1:18" s="15" customFormat="1" ht="15.75" x14ac:dyDescent="0.25">
      <c r="A26" s="16" t="s">
        <v>83</v>
      </c>
      <c r="B26" s="17">
        <v>644350</v>
      </c>
      <c r="C26" s="18">
        <v>30</v>
      </c>
      <c r="D26" s="18">
        <v>1</v>
      </c>
      <c r="E26" s="19">
        <f>+B26+D26</f>
        <v>644351</v>
      </c>
      <c r="F26" s="19">
        <v>74000</v>
      </c>
      <c r="G26" s="20">
        <v>0</v>
      </c>
      <c r="H26" s="62"/>
      <c r="I26" s="19">
        <f>+E26+F26+G26+H26</f>
        <v>718351</v>
      </c>
      <c r="J26" s="19">
        <f>+(I26-F26)*4%</f>
        <v>25774.04</v>
      </c>
      <c r="K26" s="19">
        <f>+(I26-F26)*4%</f>
        <v>25774.04</v>
      </c>
      <c r="L26" s="62"/>
      <c r="M26" s="62"/>
      <c r="N26" s="62"/>
      <c r="O26" s="19">
        <f>+J26+K26+L26+M26+N26</f>
        <v>51548.08</v>
      </c>
      <c r="P26" s="19">
        <f>+I26-O26</f>
        <v>666802.92000000004</v>
      </c>
      <c r="Q26" s="46"/>
      <c r="R26" s="46"/>
    </row>
    <row r="27" spans="1:18" s="15" customFormat="1" ht="15.75" x14ac:dyDescent="0.25">
      <c r="A27" s="16" t="s">
        <v>83</v>
      </c>
      <c r="B27" s="17">
        <v>644350</v>
      </c>
      <c r="C27" s="18">
        <v>30</v>
      </c>
      <c r="D27" s="18">
        <v>1</v>
      </c>
      <c r="E27" s="19">
        <f>(B27*C27/30)*D27</f>
        <v>644350</v>
      </c>
      <c r="F27" s="19">
        <v>74000</v>
      </c>
      <c r="G27" s="20">
        <v>0</v>
      </c>
      <c r="H27" s="62"/>
      <c r="I27" s="19">
        <f>+E27+F27+G27+H27</f>
        <v>718350</v>
      </c>
      <c r="J27" s="19">
        <f>+(I27-F27)*4%</f>
        <v>25774</v>
      </c>
      <c r="K27" s="19">
        <f>+(I27-F27)*4%</f>
        <v>25774</v>
      </c>
      <c r="L27" s="62"/>
      <c r="M27" s="62"/>
      <c r="N27" s="62"/>
      <c r="O27" s="19">
        <f>+J27+K27+L27+M27+N27</f>
        <v>51548</v>
      </c>
      <c r="P27" s="19">
        <f>+I27-O27</f>
        <v>666802</v>
      </c>
      <c r="Q27" s="46"/>
      <c r="R27" s="46"/>
    </row>
    <row r="28" spans="1:18" s="15" customFormat="1" ht="15.75" x14ac:dyDescent="0.25">
      <c r="A28" s="16" t="s">
        <v>83</v>
      </c>
      <c r="B28" s="17">
        <v>644350</v>
      </c>
      <c r="C28" s="18">
        <v>30</v>
      </c>
      <c r="D28" s="18">
        <v>1</v>
      </c>
      <c r="E28" s="19">
        <f>(B28*C28/30)*D28</f>
        <v>644350</v>
      </c>
      <c r="F28" s="19">
        <v>74000</v>
      </c>
      <c r="G28" s="20">
        <v>0</v>
      </c>
      <c r="H28" s="62"/>
      <c r="I28" s="19">
        <f>+E28+F28+G28+H28</f>
        <v>718350</v>
      </c>
      <c r="J28" s="19">
        <f>+(I28-F28)*4%</f>
        <v>25774</v>
      </c>
      <c r="K28" s="19">
        <f>+(I28-F28)*4%</f>
        <v>25774</v>
      </c>
      <c r="L28" s="62"/>
      <c r="M28" s="62"/>
      <c r="N28" s="62"/>
      <c r="O28" s="19">
        <f>+J28+K28+L28+M28+N28</f>
        <v>51548</v>
      </c>
      <c r="P28" s="19">
        <f>+I28-O28</f>
        <v>666802</v>
      </c>
      <c r="Q28" s="46"/>
      <c r="R28" s="46"/>
    </row>
    <row r="29" spans="1:18" s="15" customFormat="1" ht="15.75" x14ac:dyDescent="0.25">
      <c r="A29" s="16" t="s">
        <v>83</v>
      </c>
      <c r="B29" s="17">
        <v>644350</v>
      </c>
      <c r="C29" s="18">
        <v>30</v>
      </c>
      <c r="D29" s="18">
        <v>1</v>
      </c>
      <c r="E29" s="19">
        <f>(B29*C29/30)*D29</f>
        <v>644350</v>
      </c>
      <c r="F29" s="19">
        <v>74000</v>
      </c>
      <c r="G29" s="20">
        <v>0</v>
      </c>
      <c r="H29" s="62"/>
      <c r="I29" s="19">
        <f>+E29+F29+G29+H29</f>
        <v>718350</v>
      </c>
      <c r="J29" s="19">
        <f>+(I29-F29)*4%</f>
        <v>25774</v>
      </c>
      <c r="K29" s="19">
        <f>+(I29-F29)*4%</f>
        <v>25774</v>
      </c>
      <c r="L29" s="62"/>
      <c r="M29" s="62"/>
      <c r="N29" s="62"/>
      <c r="O29" s="19">
        <f>+J29+K29+L29+M29+N29</f>
        <v>51548</v>
      </c>
      <c r="P29" s="19">
        <f>+I29-O29</f>
        <v>666802</v>
      </c>
      <c r="Q29" s="46"/>
      <c r="R29" s="46"/>
    </row>
    <row r="30" spans="1:18" s="15" customFormat="1" ht="15.75" x14ac:dyDescent="0.25">
      <c r="A30" s="47" t="s">
        <v>84</v>
      </c>
      <c r="B30" s="17">
        <v>644350</v>
      </c>
      <c r="C30" s="18">
        <v>30</v>
      </c>
      <c r="D30" s="18">
        <v>1</v>
      </c>
      <c r="E30" s="19">
        <f t="shared" ref="E30:E34" si="1">(B30*C30/30)*D30</f>
        <v>644350</v>
      </c>
      <c r="F30" s="19">
        <v>74000</v>
      </c>
      <c r="G30" s="20">
        <v>0</v>
      </c>
      <c r="H30" s="62"/>
      <c r="I30" s="19">
        <f t="shared" ref="I30:I34" si="2">+E30+F30+G30+H30</f>
        <v>718350</v>
      </c>
      <c r="J30" s="19">
        <f t="shared" ref="J30:J34" si="3">+(I30-F30)*4%</f>
        <v>25774</v>
      </c>
      <c r="K30" s="19">
        <f t="shared" ref="K30:K34" si="4">+(I30-F30)*4%</f>
        <v>25774</v>
      </c>
      <c r="L30" s="62"/>
      <c r="M30" s="62"/>
      <c r="N30" s="62"/>
      <c r="O30" s="19">
        <f t="shared" ref="O30:O34" si="5">+J30+K30+L30+M30+N30</f>
        <v>51548</v>
      </c>
      <c r="P30" s="19">
        <f t="shared" ref="P30:P34" si="6">+I30-O30</f>
        <v>666802</v>
      </c>
      <c r="Q30" s="46"/>
      <c r="R30" s="46"/>
    </row>
    <row r="31" spans="1:18" s="15" customFormat="1" ht="15.75" x14ac:dyDescent="0.25">
      <c r="A31" s="47" t="s">
        <v>84</v>
      </c>
      <c r="B31" s="17">
        <v>644350</v>
      </c>
      <c r="C31" s="18">
        <v>30</v>
      </c>
      <c r="D31" s="18">
        <v>1</v>
      </c>
      <c r="E31" s="19">
        <f t="shared" si="1"/>
        <v>644350</v>
      </c>
      <c r="F31" s="19">
        <v>74000</v>
      </c>
      <c r="G31" s="20">
        <v>0</v>
      </c>
      <c r="H31" s="62"/>
      <c r="I31" s="19">
        <f t="shared" si="2"/>
        <v>718350</v>
      </c>
      <c r="J31" s="19">
        <f t="shared" si="3"/>
        <v>25774</v>
      </c>
      <c r="K31" s="19">
        <f t="shared" si="4"/>
        <v>25774</v>
      </c>
      <c r="L31" s="62"/>
      <c r="M31" s="62"/>
      <c r="N31" s="62"/>
      <c r="O31" s="19">
        <f t="shared" si="5"/>
        <v>51548</v>
      </c>
      <c r="P31" s="19">
        <f t="shared" si="6"/>
        <v>666802</v>
      </c>
      <c r="Q31" s="46"/>
      <c r="R31" s="46"/>
    </row>
    <row r="32" spans="1:18" ht="15.75" customHeight="1" x14ac:dyDescent="0.25">
      <c r="A32" s="47" t="s">
        <v>85</v>
      </c>
      <c r="B32" s="17">
        <v>644350</v>
      </c>
      <c r="C32" s="18">
        <v>30</v>
      </c>
      <c r="D32" s="18">
        <v>1</v>
      </c>
      <c r="E32" s="19">
        <f t="shared" si="1"/>
        <v>644350</v>
      </c>
      <c r="F32" s="19">
        <v>74000</v>
      </c>
      <c r="G32" s="20">
        <v>0</v>
      </c>
      <c r="H32" s="20"/>
      <c r="I32" s="19">
        <f t="shared" si="2"/>
        <v>718350</v>
      </c>
      <c r="J32" s="19">
        <f t="shared" si="3"/>
        <v>25774</v>
      </c>
      <c r="K32" s="19">
        <f t="shared" si="4"/>
        <v>25774</v>
      </c>
      <c r="L32" s="19"/>
      <c r="M32" s="20"/>
      <c r="N32" s="20"/>
      <c r="O32" s="19">
        <f t="shared" si="5"/>
        <v>51548</v>
      </c>
      <c r="P32" s="19">
        <f t="shared" si="6"/>
        <v>666802</v>
      </c>
      <c r="Q32" s="43"/>
      <c r="R32" s="43"/>
    </row>
    <row r="33" spans="1:18" ht="15.75" customHeight="1" x14ac:dyDescent="0.25">
      <c r="A33" s="47" t="s">
        <v>86</v>
      </c>
      <c r="B33" s="17">
        <v>644350</v>
      </c>
      <c r="C33" s="18">
        <v>30</v>
      </c>
      <c r="D33" s="18">
        <v>1</v>
      </c>
      <c r="E33" s="19">
        <f t="shared" si="1"/>
        <v>644350</v>
      </c>
      <c r="F33" s="19">
        <v>74000</v>
      </c>
      <c r="G33" s="20">
        <v>0</v>
      </c>
      <c r="H33" s="20"/>
      <c r="I33" s="19">
        <f t="shared" si="2"/>
        <v>718350</v>
      </c>
      <c r="J33" s="19">
        <f t="shared" si="3"/>
        <v>25774</v>
      </c>
      <c r="K33" s="19">
        <f t="shared" si="4"/>
        <v>25774</v>
      </c>
      <c r="L33" s="19"/>
      <c r="M33" s="20"/>
      <c r="N33" s="20"/>
      <c r="O33" s="19">
        <f t="shared" si="5"/>
        <v>51548</v>
      </c>
      <c r="P33" s="19">
        <f t="shared" si="6"/>
        <v>666802</v>
      </c>
      <c r="Q33" s="43"/>
      <c r="R33" s="43"/>
    </row>
    <row r="34" spans="1:18" ht="15.75" customHeight="1" x14ac:dyDescent="0.25">
      <c r="A34" s="47" t="s">
        <v>87</v>
      </c>
      <c r="B34" s="17">
        <v>644350</v>
      </c>
      <c r="C34" s="18">
        <v>30</v>
      </c>
      <c r="D34" s="18">
        <v>1</v>
      </c>
      <c r="E34" s="19">
        <f t="shared" si="1"/>
        <v>644350</v>
      </c>
      <c r="F34" s="19">
        <v>74000</v>
      </c>
      <c r="G34" s="20">
        <v>0</v>
      </c>
      <c r="H34" s="20"/>
      <c r="I34" s="19">
        <f t="shared" si="2"/>
        <v>718350</v>
      </c>
      <c r="J34" s="19">
        <f t="shared" si="3"/>
        <v>25774</v>
      </c>
      <c r="K34" s="19">
        <f t="shared" si="4"/>
        <v>25774</v>
      </c>
      <c r="L34" s="19"/>
      <c r="M34" s="20"/>
      <c r="N34" s="20"/>
      <c r="O34" s="19">
        <f t="shared" si="5"/>
        <v>51548</v>
      </c>
      <c r="P34" s="19">
        <f t="shared" si="6"/>
        <v>666802</v>
      </c>
      <c r="Q34" s="43"/>
      <c r="R34" s="43"/>
    </row>
    <row r="35" spans="1:18" ht="15.75" customHeight="1" thickBot="1" x14ac:dyDescent="0.3">
      <c r="A35" s="22" t="s">
        <v>21</v>
      </c>
      <c r="B35" s="23">
        <f>SUM(B26:B34)</f>
        <v>5799150</v>
      </c>
      <c r="C35" s="24"/>
      <c r="D35" s="24"/>
      <c r="E35" s="23">
        <f>SUM(E26:E34)</f>
        <v>5799151</v>
      </c>
      <c r="F35" s="23">
        <f>SUM(F26:F34)</f>
        <v>666000</v>
      </c>
      <c r="G35" s="23">
        <f>SUM(G32:G34)</f>
        <v>0</v>
      </c>
      <c r="H35" s="23">
        <f>SUM(H32:H34)</f>
        <v>0</v>
      </c>
      <c r="I35" s="23">
        <f>SUM(I26:I34)</f>
        <v>6465151</v>
      </c>
      <c r="J35" s="23">
        <f>SUM(J26:J34)</f>
        <v>231966.04</v>
      </c>
      <c r="K35" s="23">
        <f>SUM(K26:K34)</f>
        <v>231966.04</v>
      </c>
      <c r="L35" s="23">
        <f>SUM(L32:L34)</f>
        <v>0</v>
      </c>
      <c r="M35" s="23">
        <f>SUM(M32:M34)</f>
        <v>0</v>
      </c>
      <c r="N35" s="23">
        <f>SUM(N32:N34)</f>
        <v>0</v>
      </c>
      <c r="O35" s="23">
        <f>SUM(O26:O34)</f>
        <v>463932.08</v>
      </c>
      <c r="P35" s="23">
        <f>SUM(P26:P34)</f>
        <v>6001218.9199999999</v>
      </c>
      <c r="Q35" s="43"/>
      <c r="R35" s="43"/>
    </row>
    <row r="36" spans="1:18" ht="15.75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43"/>
      <c r="R36" s="43"/>
    </row>
    <row r="37" spans="1:18" ht="15.75" customHeigh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7"/>
      <c r="K37" s="7"/>
      <c r="L37" s="7"/>
      <c r="M37" s="7"/>
      <c r="N37" s="7"/>
      <c r="O37" s="7"/>
      <c r="P37" s="7"/>
      <c r="Q37" s="43"/>
      <c r="R37" s="43"/>
    </row>
    <row r="38" spans="1:18" ht="15.75" customHeight="1" x14ac:dyDescent="0.25">
      <c r="A38" s="27"/>
      <c r="B38" s="28"/>
      <c r="C38" s="28"/>
      <c r="D38" s="28"/>
      <c r="E38" s="28"/>
      <c r="F38" s="28"/>
      <c r="G38" s="28"/>
      <c r="H38" s="28"/>
      <c r="I38" s="26"/>
      <c r="J38" s="77" t="s">
        <v>22</v>
      </c>
      <c r="K38" s="78"/>
      <c r="L38" s="29" t="s">
        <v>23</v>
      </c>
      <c r="M38" s="77" t="s">
        <v>24</v>
      </c>
      <c r="N38" s="78"/>
      <c r="O38" s="29" t="s">
        <v>23</v>
      </c>
      <c r="P38" s="48"/>
      <c r="Q38" s="43"/>
      <c r="R38" s="43"/>
    </row>
    <row r="39" spans="1:18" ht="15.75" customHeight="1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75" t="s">
        <v>25</v>
      </c>
      <c r="K39" s="76"/>
      <c r="L39" s="30">
        <f>+($I$35-$F$35)*8.5%</f>
        <v>492927.83500000002</v>
      </c>
      <c r="M39" s="31" t="s">
        <v>26</v>
      </c>
      <c r="N39" s="32"/>
      <c r="O39" s="33">
        <f>+($I$35)*8.3333%</f>
        <v>538760.4282829999</v>
      </c>
      <c r="P39" s="49"/>
      <c r="Q39" s="43"/>
      <c r="R39" s="43"/>
    </row>
    <row r="40" spans="1:18" ht="15.75" customHeight="1" x14ac:dyDescent="0.25">
      <c r="A40" s="27"/>
      <c r="B40" s="28"/>
      <c r="C40" s="28"/>
      <c r="D40" s="28"/>
      <c r="E40" s="28"/>
      <c r="F40" s="28"/>
      <c r="G40" s="28"/>
      <c r="H40" s="28"/>
      <c r="I40" s="26"/>
      <c r="J40" s="75" t="s">
        <v>27</v>
      </c>
      <c r="K40" s="76"/>
      <c r="L40" s="30">
        <f>+($I$35-$F$35)*0.522%</f>
        <v>30271.568219999997</v>
      </c>
      <c r="M40" s="31" t="s">
        <v>28</v>
      </c>
      <c r="N40" s="32"/>
      <c r="O40" s="33">
        <f>+O39*1%*12</f>
        <v>64651.251393959988</v>
      </c>
      <c r="P40" s="49"/>
      <c r="Q40" s="43"/>
      <c r="R40" s="43"/>
    </row>
    <row r="41" spans="1:18" ht="15.75" customHeight="1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75" t="s">
        <v>29</v>
      </c>
      <c r="K41" s="76"/>
      <c r="L41" s="30">
        <f>+($I$35-$F$35)*12%</f>
        <v>695898.12</v>
      </c>
      <c r="M41" s="31" t="s">
        <v>30</v>
      </c>
      <c r="N41" s="32"/>
      <c r="O41" s="33">
        <f>+I35*8.33333%</f>
        <v>538762.36782829999</v>
      </c>
      <c r="P41" s="49"/>
      <c r="Q41" s="43"/>
      <c r="R41" s="43"/>
    </row>
    <row r="42" spans="1:18" ht="15.75" customHeight="1" x14ac:dyDescent="0.25">
      <c r="A42" s="34"/>
      <c r="B42" s="34"/>
      <c r="C42" s="34"/>
      <c r="D42" s="34"/>
      <c r="E42" s="34"/>
      <c r="F42" s="34"/>
      <c r="G42" s="34"/>
      <c r="H42" s="34"/>
      <c r="I42" s="26"/>
      <c r="J42" s="75" t="s">
        <v>31</v>
      </c>
      <c r="K42" s="76"/>
      <c r="L42" s="30">
        <f>+($I$35-$F$35)*3%</f>
        <v>173974.53</v>
      </c>
      <c r="M42" s="31" t="s">
        <v>32</v>
      </c>
      <c r="N42" s="32"/>
      <c r="O42" s="33">
        <f>+($I$35-$F$35)*4.16666666666667%</f>
        <v>241631.29166666686</v>
      </c>
      <c r="P42" s="49"/>
      <c r="Q42" s="43"/>
      <c r="R42" s="43"/>
    </row>
    <row r="43" spans="1:18" ht="15.75" customHeight="1" x14ac:dyDescent="0.25">
      <c r="A43" s="34"/>
      <c r="B43" s="34"/>
      <c r="C43" s="34"/>
      <c r="D43" s="34"/>
      <c r="E43" s="34"/>
      <c r="F43" s="34"/>
      <c r="G43" s="34"/>
      <c r="H43" s="34"/>
      <c r="I43" s="26"/>
      <c r="J43" s="75" t="s">
        <v>33</v>
      </c>
      <c r="K43" s="76"/>
      <c r="L43" s="30">
        <f>+($I$35-$F$35)*2%</f>
        <v>115983.02</v>
      </c>
      <c r="M43" s="31"/>
      <c r="N43" s="32"/>
      <c r="O43" s="33"/>
      <c r="P43" s="7"/>
      <c r="Q43" s="43"/>
      <c r="R43" s="43"/>
    </row>
    <row r="44" spans="1:18" ht="15.75" customHeight="1" x14ac:dyDescent="0.25">
      <c r="A44" s="34"/>
      <c r="B44" s="34"/>
      <c r="C44" s="34"/>
      <c r="D44" s="34"/>
      <c r="E44" s="34"/>
      <c r="F44" s="34"/>
      <c r="G44" s="34"/>
      <c r="H44" s="34"/>
      <c r="I44" s="26"/>
      <c r="J44" s="75" t="s">
        <v>34</v>
      </c>
      <c r="K44" s="76"/>
      <c r="L44" s="30">
        <f>+($I$35-$F$35)*4%</f>
        <v>231966.04</v>
      </c>
      <c r="M44" s="31"/>
      <c r="N44" s="32"/>
      <c r="O44" s="33"/>
      <c r="P44" s="7"/>
      <c r="Q44" s="43"/>
      <c r="R44" s="43"/>
    </row>
    <row r="45" spans="1:18" ht="15.75" customHeight="1" x14ac:dyDescent="0.25">
      <c r="A45" s="34"/>
      <c r="B45" s="34"/>
      <c r="C45" s="34"/>
      <c r="D45" s="34"/>
      <c r="E45" s="34"/>
      <c r="F45" s="34"/>
      <c r="G45" s="34"/>
      <c r="H45" s="34"/>
      <c r="I45" s="26"/>
      <c r="J45" s="77" t="s">
        <v>35</v>
      </c>
      <c r="K45" s="78"/>
      <c r="L45" s="36">
        <f>SUM(L39:L44)</f>
        <v>1741021.1132200002</v>
      </c>
      <c r="M45" s="37" t="s">
        <v>35</v>
      </c>
      <c r="N45" s="38"/>
      <c r="O45" s="39">
        <f>SUM(O39:O44)</f>
        <v>1383805.339171927</v>
      </c>
      <c r="P45" s="49"/>
      <c r="Q45" s="43"/>
      <c r="R45" s="43"/>
    </row>
    <row r="46" spans="1:18" ht="15.75" customHeight="1" thickBot="1" x14ac:dyDescent="0.3">
      <c r="A46" s="26"/>
      <c r="B46" s="26"/>
      <c r="C46" s="26"/>
      <c r="D46" s="26"/>
      <c r="E46" s="26"/>
      <c r="F46" s="26"/>
      <c r="G46" s="26"/>
      <c r="H46" s="26"/>
      <c r="I46" s="26"/>
      <c r="J46" s="7"/>
      <c r="K46" s="7"/>
      <c r="L46" s="40"/>
      <c r="M46" s="7"/>
      <c r="N46" s="7"/>
      <c r="O46" s="7"/>
      <c r="P46" s="91"/>
      <c r="Q46" s="43"/>
      <c r="R46" s="43"/>
    </row>
    <row r="47" spans="1:18" ht="15.75" customHeight="1" thickBot="1" x14ac:dyDescent="0.3">
      <c r="A47" s="27"/>
      <c r="B47" s="27"/>
      <c r="C47" s="27"/>
      <c r="D47" s="27"/>
      <c r="E47" s="27"/>
      <c r="F47" s="27"/>
      <c r="G47" s="27"/>
      <c r="H47" s="27"/>
      <c r="I47" s="26"/>
      <c r="J47" s="79">
        <f>IF(L45+O45=0," ",$L$45+$O$45)</f>
        <v>3124826.4523919271</v>
      </c>
      <c r="K47" s="80"/>
      <c r="L47" s="80"/>
      <c r="M47" s="80"/>
      <c r="N47" s="80"/>
      <c r="O47" s="81"/>
      <c r="P47" s="40">
        <f>+O45+L45</f>
        <v>3124826.4523919271</v>
      </c>
      <c r="Q47" s="43"/>
      <c r="R47" s="43"/>
    </row>
    <row r="48" spans="1:18" ht="15.75" customHeight="1" x14ac:dyDescent="0.25">
      <c r="A48" s="50"/>
      <c r="B48" s="51"/>
      <c r="C48" s="51"/>
      <c r="D48" s="51"/>
      <c r="E48" s="44"/>
      <c r="F48" s="44"/>
      <c r="G48" s="44"/>
      <c r="H48" s="44"/>
      <c r="I48" s="44"/>
      <c r="J48" s="74" t="s">
        <v>38</v>
      </c>
      <c r="K48" s="74"/>
      <c r="L48" s="74"/>
      <c r="M48" s="74"/>
      <c r="N48" s="74"/>
      <c r="O48" s="74"/>
      <c r="P48" s="65">
        <f>+I35+J47</f>
        <v>9589977.4523919262</v>
      </c>
      <c r="Q48" s="43"/>
      <c r="R48" s="43"/>
    </row>
  </sheetData>
  <mergeCells count="37">
    <mergeCell ref="J14:K14"/>
    <mergeCell ref="J15:K15"/>
    <mergeCell ref="J13:K13"/>
    <mergeCell ref="P2:P3"/>
    <mergeCell ref="J10:K10"/>
    <mergeCell ref="M10:N10"/>
    <mergeCell ref="J11:K11"/>
    <mergeCell ref="J12:K12"/>
    <mergeCell ref="O2:O3"/>
    <mergeCell ref="J2:N2"/>
    <mergeCell ref="E24:H24"/>
    <mergeCell ref="I24:I25"/>
    <mergeCell ref="J24:N24"/>
    <mergeCell ref="A21:B21"/>
    <mergeCell ref="C21:K22"/>
    <mergeCell ref="P24:P25"/>
    <mergeCell ref="J38:K38"/>
    <mergeCell ref="M38:N38"/>
    <mergeCell ref="J39:K39"/>
    <mergeCell ref="J40:K40"/>
    <mergeCell ref="O24:O25"/>
    <mergeCell ref="I2:I3"/>
    <mergeCell ref="E2:H2"/>
    <mergeCell ref="C2:C3"/>
    <mergeCell ref="B2:B3"/>
    <mergeCell ref="J48:O48"/>
    <mergeCell ref="J41:K41"/>
    <mergeCell ref="J42:K42"/>
    <mergeCell ref="J43:K43"/>
    <mergeCell ref="J44:K44"/>
    <mergeCell ref="J45:K45"/>
    <mergeCell ref="J47:O47"/>
    <mergeCell ref="J16:K16"/>
    <mergeCell ref="J17:K17"/>
    <mergeCell ref="J19:O19"/>
    <mergeCell ref="B24:B25"/>
    <mergeCell ref="C24:C25"/>
  </mergeCells>
  <pageMargins left="0.39370078740157483" right="0.23622047244094491" top="0.74803149606299213" bottom="0.74803149606299213" header="0.31496062992125984" footer="0.31496062992125984"/>
  <pageSetup paperSize="9" scale="63" fitToHeight="156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Presupuesto y Flujo de Caja</vt:lpstr>
      <vt:lpstr>Gastos de personal</vt:lpstr>
      <vt:lpstr>'Gastos de personal'!Área_de_impresión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USUARIO</cp:lastModifiedBy>
  <dcterms:created xsi:type="dcterms:W3CDTF">2015-04-30T23:39:05Z</dcterms:created>
  <dcterms:modified xsi:type="dcterms:W3CDTF">2015-05-21T03:27:12Z</dcterms:modified>
</cp:coreProperties>
</file>