
<file path=[Content_Types].xml><?xml version="1.0" encoding="utf-8"?>
<Types xmlns="http://schemas.openxmlformats.org/package/2006/content-types">
  <Default Extension="png" ContentType="image/png"/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da Obando\Documents\"/>
    </mc:Choice>
  </mc:AlternateContent>
  <bookViews>
    <workbookView xWindow="0" yWindow="0" windowWidth="18945" windowHeight="2700"/>
  </bookViews>
  <sheets>
    <sheet name="Data Entry" sheetId="4" r:id="rId1"/>
    <sheet name="Nitrogen" sheetId="6" r:id="rId2"/>
    <sheet name="Phosphorus" sheetId="7" r:id="rId3"/>
    <sheet name="Setup" sheetId="5" r:id="rId4"/>
    <sheet name="Hoja1" sheetId="1" state="hidden" r:id="rId5"/>
    <sheet name="Hoja3" sheetId="3" state="hidden" r:id="rId6"/>
  </sheets>
  <definedNames>
    <definedName name="Analyte">Setup!$G$2:$G$12</definedName>
    <definedName name="Laboratory">Setup!$E$2:$E$17</definedName>
    <definedName name="Methods">Setup!$A$2:$A$5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5" l="1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74" i="5"/>
  <c r="C12" i="7"/>
  <c r="C23" i="4"/>
  <c r="C24" i="4"/>
  <c r="C25" i="4"/>
  <c r="C26" i="4"/>
  <c r="C27" i="4"/>
  <c r="C28" i="4"/>
  <c r="C29" i="4"/>
  <c r="C30" i="4"/>
  <c r="C21" i="4"/>
  <c r="C11" i="7" s="1"/>
  <c r="C22" i="4"/>
  <c r="C20" i="4"/>
  <c r="C8" i="7"/>
  <c r="C9" i="7"/>
  <c r="C48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C94" i="5" l="1"/>
  <c r="G21" i="4" s="1"/>
  <c r="C93" i="5"/>
  <c r="C12" i="6"/>
  <c r="C8" i="6"/>
  <c r="E87" i="5" l="1"/>
  <c r="N87" i="5" s="1"/>
  <c r="C95" i="5"/>
  <c r="D95" i="5" s="1"/>
  <c r="M77" i="5"/>
  <c r="M85" i="5"/>
  <c r="C96" i="5"/>
  <c r="M81" i="5"/>
  <c r="M89" i="5"/>
  <c r="M75" i="5"/>
  <c r="E79" i="5"/>
  <c r="N79" i="5" s="1"/>
  <c r="M83" i="5"/>
  <c r="D96" i="5"/>
  <c r="F75" i="5"/>
  <c r="K75" i="5" s="1"/>
  <c r="F77" i="5"/>
  <c r="K77" i="5" s="1"/>
  <c r="F79" i="5"/>
  <c r="K79" i="5" s="1"/>
  <c r="F81" i="5"/>
  <c r="K81" i="5" s="1"/>
  <c r="F83" i="5"/>
  <c r="K83" i="5" s="1"/>
  <c r="F85" i="5"/>
  <c r="K85" i="5" s="1"/>
  <c r="F87" i="5"/>
  <c r="K87" i="5" s="1"/>
  <c r="F89" i="5"/>
  <c r="K89" i="5" s="1"/>
  <c r="F21" i="4"/>
  <c r="M76" i="5"/>
  <c r="M78" i="5"/>
  <c r="M80" i="5"/>
  <c r="M82" i="5"/>
  <c r="M84" i="5"/>
  <c r="M86" i="5"/>
  <c r="M88" i="5"/>
  <c r="M74" i="5"/>
  <c r="F76" i="5"/>
  <c r="K76" i="5" s="1"/>
  <c r="F80" i="5"/>
  <c r="K80" i="5" s="1"/>
  <c r="F84" i="5"/>
  <c r="K84" i="5" s="1"/>
  <c r="F88" i="5"/>
  <c r="K88" i="5" s="1"/>
  <c r="E76" i="5"/>
  <c r="N76" i="5" s="1"/>
  <c r="E80" i="5"/>
  <c r="N80" i="5" s="1"/>
  <c r="E84" i="5"/>
  <c r="N84" i="5" s="1"/>
  <c r="E88" i="5"/>
  <c r="N88" i="5" s="1"/>
  <c r="F78" i="5"/>
  <c r="K78" i="5" s="1"/>
  <c r="F82" i="5"/>
  <c r="K82" i="5" s="1"/>
  <c r="F86" i="5"/>
  <c r="K86" i="5" s="1"/>
  <c r="F74" i="5"/>
  <c r="K74" i="5" s="1"/>
  <c r="E78" i="5"/>
  <c r="N78" i="5" s="1"/>
  <c r="E82" i="5"/>
  <c r="N82" i="5" s="1"/>
  <c r="E86" i="5"/>
  <c r="N86" i="5" s="1"/>
  <c r="E74" i="5"/>
  <c r="N74" i="5" s="1"/>
  <c r="E75" i="5"/>
  <c r="N75" i="5" s="1"/>
  <c r="E77" i="5"/>
  <c r="N77" i="5" s="1"/>
  <c r="M79" i="5"/>
  <c r="E81" i="5"/>
  <c r="N81" i="5" s="1"/>
  <c r="E83" i="5"/>
  <c r="N83" i="5" s="1"/>
  <c r="E85" i="5"/>
  <c r="N85" i="5" s="1"/>
  <c r="M87" i="5"/>
  <c r="E89" i="5"/>
  <c r="N89" i="5" s="1"/>
  <c r="C9" i="6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24" i="5"/>
  <c r="C11" i="6"/>
  <c r="E30" i="4"/>
  <c r="E29" i="4"/>
  <c r="E28" i="4"/>
  <c r="E27" i="4"/>
  <c r="E26" i="4"/>
  <c r="E25" i="4"/>
  <c r="E24" i="4"/>
  <c r="E23" i="4"/>
  <c r="E22" i="4"/>
  <c r="E21" i="4"/>
  <c r="E20" i="4"/>
  <c r="I87" i="5" l="1"/>
  <c r="I79" i="5"/>
  <c r="I83" i="5"/>
  <c r="I75" i="5"/>
  <c r="I89" i="5"/>
  <c r="I85" i="5"/>
  <c r="I81" i="5"/>
  <c r="I77" i="5"/>
  <c r="I86" i="5"/>
  <c r="I84" i="5"/>
  <c r="J86" i="5"/>
  <c r="J76" i="5"/>
  <c r="I78" i="5"/>
  <c r="I76" i="5"/>
  <c r="J84" i="5"/>
  <c r="P75" i="5"/>
  <c r="R75" i="5" s="1"/>
  <c r="B102" i="5" s="1"/>
  <c r="P77" i="5"/>
  <c r="R77" i="5" s="1"/>
  <c r="B104" i="5" s="1"/>
  <c r="P79" i="5"/>
  <c r="R79" i="5" s="1"/>
  <c r="B106" i="5" s="1"/>
  <c r="P81" i="5"/>
  <c r="R81" i="5" s="1"/>
  <c r="B108" i="5" s="1"/>
  <c r="P83" i="5"/>
  <c r="R83" i="5" s="1"/>
  <c r="B110" i="5" s="1"/>
  <c r="P85" i="5"/>
  <c r="R85" i="5" s="1"/>
  <c r="B112" i="5" s="1"/>
  <c r="P87" i="5"/>
  <c r="R87" i="5" s="1"/>
  <c r="B114" i="5" s="1"/>
  <c r="P89" i="5"/>
  <c r="R89" i="5" s="1"/>
  <c r="B116" i="5" s="1"/>
  <c r="P76" i="5"/>
  <c r="R76" i="5" s="1"/>
  <c r="B103" i="5" s="1"/>
  <c r="P80" i="5"/>
  <c r="R80" i="5" s="1"/>
  <c r="B107" i="5" s="1"/>
  <c r="P84" i="5"/>
  <c r="R84" i="5" s="1"/>
  <c r="B111" i="5" s="1"/>
  <c r="P88" i="5"/>
  <c r="R88" i="5" s="1"/>
  <c r="B115" i="5" s="1"/>
  <c r="P78" i="5"/>
  <c r="R78" i="5" s="1"/>
  <c r="B105" i="5" s="1"/>
  <c r="P82" i="5"/>
  <c r="R82" i="5" s="1"/>
  <c r="B109" i="5" s="1"/>
  <c r="P86" i="5"/>
  <c r="R86" i="5" s="1"/>
  <c r="B113" i="5" s="1"/>
  <c r="P74" i="5"/>
  <c r="R74" i="5" s="1"/>
  <c r="B101" i="5" s="1"/>
  <c r="J80" i="5"/>
  <c r="J87" i="5"/>
  <c r="J83" i="5"/>
  <c r="J79" i="5"/>
  <c r="J75" i="5"/>
  <c r="I74" i="5"/>
  <c r="I82" i="5"/>
  <c r="I88" i="5"/>
  <c r="I80" i="5"/>
  <c r="H75" i="5"/>
  <c r="H77" i="5"/>
  <c r="H79" i="5"/>
  <c r="H81" i="5"/>
  <c r="H83" i="5"/>
  <c r="H85" i="5"/>
  <c r="H87" i="5"/>
  <c r="H89" i="5"/>
  <c r="H76" i="5"/>
  <c r="H80" i="5"/>
  <c r="H84" i="5"/>
  <c r="H88" i="5"/>
  <c r="H78" i="5"/>
  <c r="H82" i="5"/>
  <c r="H86" i="5"/>
  <c r="H74" i="5"/>
  <c r="J74" i="5"/>
  <c r="J88" i="5"/>
  <c r="J82" i="5"/>
  <c r="J78" i="5"/>
  <c r="J89" i="5"/>
  <c r="J85" i="5"/>
  <c r="J81" i="5"/>
  <c r="J77" i="5"/>
  <c r="G75" i="5"/>
  <c r="G77" i="5"/>
  <c r="G79" i="5"/>
  <c r="G81" i="5"/>
  <c r="G83" i="5"/>
  <c r="G85" i="5"/>
  <c r="G87" i="5"/>
  <c r="G89" i="5"/>
  <c r="G76" i="5"/>
  <c r="G80" i="5"/>
  <c r="G84" i="5"/>
  <c r="G88" i="5"/>
  <c r="G78" i="5"/>
  <c r="G82" i="5"/>
  <c r="G86" i="5"/>
  <c r="G74" i="5"/>
  <c r="C43" i="5"/>
  <c r="C44" i="5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6" i="1"/>
  <c r="G2" i="3"/>
  <c r="G1" i="3"/>
  <c r="C97" i="5" l="1"/>
  <c r="C14" i="7" s="1"/>
  <c r="H113" i="5"/>
  <c r="M113" i="5"/>
  <c r="L113" i="5"/>
  <c r="J113" i="5"/>
  <c r="I113" i="5"/>
  <c r="G113" i="5"/>
  <c r="F113" i="5"/>
  <c r="E113" i="5"/>
  <c r="D113" i="5"/>
  <c r="C113" i="5"/>
  <c r="K113" i="5"/>
  <c r="H105" i="5"/>
  <c r="M105" i="5"/>
  <c r="L105" i="5"/>
  <c r="J105" i="5"/>
  <c r="I105" i="5"/>
  <c r="G105" i="5"/>
  <c r="F105" i="5"/>
  <c r="E105" i="5"/>
  <c r="D105" i="5"/>
  <c r="C105" i="5"/>
  <c r="K105" i="5"/>
  <c r="H111" i="5"/>
  <c r="M111" i="5"/>
  <c r="L111" i="5"/>
  <c r="J111" i="5"/>
  <c r="I111" i="5"/>
  <c r="G111" i="5"/>
  <c r="F111" i="5"/>
  <c r="E111" i="5"/>
  <c r="D111" i="5"/>
  <c r="C111" i="5"/>
  <c r="K111" i="5"/>
  <c r="H103" i="5"/>
  <c r="M103" i="5"/>
  <c r="L103" i="5"/>
  <c r="J103" i="5"/>
  <c r="I103" i="5"/>
  <c r="G103" i="5"/>
  <c r="F103" i="5"/>
  <c r="E103" i="5"/>
  <c r="D103" i="5"/>
  <c r="C103" i="5"/>
  <c r="K103" i="5"/>
  <c r="M114" i="5"/>
  <c r="L114" i="5"/>
  <c r="J114" i="5"/>
  <c r="I114" i="5"/>
  <c r="G114" i="5"/>
  <c r="F114" i="5"/>
  <c r="E114" i="5"/>
  <c r="D114" i="5"/>
  <c r="C114" i="5"/>
  <c r="H114" i="5"/>
  <c r="K114" i="5"/>
  <c r="M110" i="5"/>
  <c r="L110" i="5"/>
  <c r="J110" i="5"/>
  <c r="I110" i="5"/>
  <c r="G110" i="5"/>
  <c r="F110" i="5"/>
  <c r="E110" i="5"/>
  <c r="D110" i="5"/>
  <c r="C110" i="5"/>
  <c r="H110" i="5"/>
  <c r="K110" i="5"/>
  <c r="M106" i="5"/>
  <c r="L106" i="5"/>
  <c r="J106" i="5"/>
  <c r="I106" i="5"/>
  <c r="G106" i="5"/>
  <c r="F106" i="5"/>
  <c r="E106" i="5"/>
  <c r="D106" i="5"/>
  <c r="C106" i="5"/>
  <c r="H106" i="5"/>
  <c r="K106" i="5"/>
  <c r="M102" i="5"/>
  <c r="L102" i="5"/>
  <c r="J102" i="5"/>
  <c r="I102" i="5"/>
  <c r="G102" i="5"/>
  <c r="F102" i="5"/>
  <c r="E102" i="5"/>
  <c r="D102" i="5"/>
  <c r="C102" i="5"/>
  <c r="K102" i="5"/>
  <c r="H102" i="5"/>
  <c r="H101" i="5"/>
  <c r="M101" i="5"/>
  <c r="L101" i="5"/>
  <c r="J101" i="5"/>
  <c r="I101" i="5"/>
  <c r="G101" i="5"/>
  <c r="F101" i="5"/>
  <c r="E101" i="5"/>
  <c r="D101" i="5"/>
  <c r="C101" i="5"/>
  <c r="K101" i="5"/>
  <c r="H109" i="5"/>
  <c r="M109" i="5"/>
  <c r="L109" i="5"/>
  <c r="J109" i="5"/>
  <c r="I109" i="5"/>
  <c r="G109" i="5"/>
  <c r="F109" i="5"/>
  <c r="E109" i="5"/>
  <c r="D109" i="5"/>
  <c r="C109" i="5"/>
  <c r="K109" i="5"/>
  <c r="H115" i="5"/>
  <c r="M115" i="5"/>
  <c r="L115" i="5"/>
  <c r="J115" i="5"/>
  <c r="I115" i="5"/>
  <c r="G115" i="5"/>
  <c r="F115" i="5"/>
  <c r="E115" i="5"/>
  <c r="D115" i="5"/>
  <c r="C115" i="5"/>
  <c r="K115" i="5"/>
  <c r="H107" i="5"/>
  <c r="M107" i="5"/>
  <c r="L107" i="5"/>
  <c r="J107" i="5"/>
  <c r="I107" i="5"/>
  <c r="G107" i="5"/>
  <c r="F107" i="5"/>
  <c r="E107" i="5"/>
  <c r="D107" i="5"/>
  <c r="C107" i="5"/>
  <c r="K107" i="5"/>
  <c r="M116" i="5"/>
  <c r="L116" i="5"/>
  <c r="J116" i="5"/>
  <c r="I116" i="5"/>
  <c r="G116" i="5"/>
  <c r="F116" i="5"/>
  <c r="E116" i="5"/>
  <c r="H116" i="5"/>
  <c r="D116" i="5"/>
  <c r="C116" i="5"/>
  <c r="K116" i="5"/>
  <c r="M112" i="5"/>
  <c r="L112" i="5"/>
  <c r="J112" i="5"/>
  <c r="I112" i="5"/>
  <c r="G112" i="5"/>
  <c r="F112" i="5"/>
  <c r="E112" i="5"/>
  <c r="H112" i="5"/>
  <c r="D112" i="5"/>
  <c r="C112" i="5"/>
  <c r="K112" i="5"/>
  <c r="M108" i="5"/>
  <c r="L108" i="5"/>
  <c r="J108" i="5"/>
  <c r="I108" i="5"/>
  <c r="G108" i="5"/>
  <c r="F108" i="5"/>
  <c r="E108" i="5"/>
  <c r="D108" i="5"/>
  <c r="H108" i="5"/>
  <c r="C108" i="5"/>
  <c r="K108" i="5"/>
  <c r="M104" i="5"/>
  <c r="L104" i="5"/>
  <c r="J104" i="5"/>
  <c r="I104" i="5"/>
  <c r="G104" i="5"/>
  <c r="F104" i="5"/>
  <c r="E104" i="5"/>
  <c r="D104" i="5"/>
  <c r="H104" i="5"/>
  <c r="C104" i="5"/>
  <c r="K104" i="5"/>
  <c r="C45" i="5"/>
  <c r="D45" i="5" s="1"/>
  <c r="C46" i="5"/>
  <c r="D46" i="5" s="1"/>
  <c r="C65" i="1"/>
  <c r="C66" i="1"/>
  <c r="F56" i="1"/>
  <c r="K56" i="1" s="1"/>
  <c r="C68" i="1"/>
  <c r="D68" i="1" s="1"/>
  <c r="C13" i="3"/>
  <c r="C7" i="3"/>
  <c r="C16" i="3"/>
  <c r="C9" i="3"/>
  <c r="C12" i="3"/>
  <c r="C2" i="3"/>
  <c r="C6" i="3"/>
  <c r="C3" i="3"/>
  <c r="C15" i="3"/>
  <c r="C17" i="3"/>
  <c r="C10" i="3"/>
  <c r="C8" i="3"/>
  <c r="C14" i="3"/>
  <c r="C5" i="3"/>
  <c r="C4" i="3"/>
  <c r="C11" i="3"/>
  <c r="H21" i="4" l="1"/>
  <c r="C13" i="7" s="1"/>
  <c r="D13" i="7" s="1"/>
  <c r="N102" i="5"/>
  <c r="O102" i="5" s="1"/>
  <c r="N104" i="5"/>
  <c r="O104" i="5" s="1"/>
  <c r="N106" i="5"/>
  <c r="O106" i="5" s="1"/>
  <c r="N108" i="5"/>
  <c r="O108" i="5" s="1"/>
  <c r="N110" i="5"/>
  <c r="O110" i="5" s="1"/>
  <c r="N112" i="5"/>
  <c r="O112" i="5" s="1"/>
  <c r="N114" i="5"/>
  <c r="O114" i="5" s="1"/>
  <c r="N116" i="5"/>
  <c r="O116" i="5" s="1"/>
  <c r="N103" i="5"/>
  <c r="O103" i="5" s="1"/>
  <c r="N107" i="5"/>
  <c r="O107" i="5" s="1"/>
  <c r="N111" i="5"/>
  <c r="O111" i="5" s="1"/>
  <c r="N115" i="5"/>
  <c r="O115" i="5" s="1"/>
  <c r="N105" i="5"/>
  <c r="O105" i="5" s="1"/>
  <c r="N113" i="5"/>
  <c r="O113" i="5" s="1"/>
  <c r="N109" i="5"/>
  <c r="O109" i="5" s="1"/>
  <c r="N101" i="5"/>
  <c r="O101" i="5" s="1"/>
  <c r="F53" i="1"/>
  <c r="K53" i="1" s="1"/>
  <c r="D20" i="1"/>
  <c r="E50" i="1"/>
  <c r="E20" i="1"/>
  <c r="F52" i="1"/>
  <c r="K52" i="1" s="1"/>
  <c r="F60" i="1"/>
  <c r="K60" i="1" s="1"/>
  <c r="F47" i="1"/>
  <c r="K47" i="1" s="1"/>
  <c r="E53" i="1"/>
  <c r="F58" i="1"/>
  <c r="K58" i="1" s="1"/>
  <c r="F48" i="1"/>
  <c r="K48" i="1" s="1"/>
  <c r="F46" i="1"/>
  <c r="F55" i="1"/>
  <c r="K55" i="1" s="1"/>
  <c r="F49" i="1"/>
  <c r="K49" i="1" s="1"/>
  <c r="F57" i="1"/>
  <c r="K57" i="1" s="1"/>
  <c r="E52" i="1"/>
  <c r="E49" i="1"/>
  <c r="E51" i="1"/>
  <c r="E57" i="1"/>
  <c r="F59" i="1"/>
  <c r="K59" i="1" s="1"/>
  <c r="F61" i="1"/>
  <c r="K61" i="1" s="1"/>
  <c r="F50" i="1"/>
  <c r="K50" i="1" s="1"/>
  <c r="F54" i="1"/>
  <c r="K54" i="1" s="1"/>
  <c r="E60" i="1"/>
  <c r="F51" i="1"/>
  <c r="E56" i="1"/>
  <c r="E61" i="1"/>
  <c r="F20" i="1" s="1"/>
  <c r="E54" i="1"/>
  <c r="E55" i="1"/>
  <c r="E46" i="1"/>
  <c r="E48" i="1"/>
  <c r="J52" i="1"/>
  <c r="E47" i="1"/>
  <c r="E58" i="1"/>
  <c r="E59" i="1"/>
  <c r="C67" i="1"/>
  <c r="I46" i="1" s="1"/>
  <c r="J56" i="1"/>
  <c r="J53" i="1" l="1"/>
  <c r="J47" i="1"/>
  <c r="J55" i="1"/>
  <c r="J50" i="1"/>
  <c r="J49" i="1"/>
  <c r="I53" i="1"/>
  <c r="J60" i="1"/>
  <c r="J54" i="1"/>
  <c r="J61" i="1"/>
  <c r="I54" i="1"/>
  <c r="J58" i="1"/>
  <c r="I55" i="1"/>
  <c r="I59" i="1"/>
  <c r="J57" i="1"/>
  <c r="J48" i="1"/>
  <c r="K46" i="1"/>
  <c r="J46" i="1"/>
  <c r="J59" i="1"/>
  <c r="I60" i="1"/>
  <c r="I48" i="1"/>
  <c r="I56" i="1"/>
  <c r="K51" i="1"/>
  <c r="J51" i="1"/>
  <c r="I50" i="1"/>
  <c r="I58" i="1"/>
  <c r="I47" i="1"/>
  <c r="I52" i="1"/>
  <c r="I49" i="1"/>
  <c r="I51" i="1"/>
  <c r="I57" i="1"/>
  <c r="D67" i="1"/>
  <c r="I61" i="1"/>
  <c r="G47" i="1"/>
  <c r="G57" i="1"/>
  <c r="G61" i="1"/>
  <c r="G60" i="1"/>
  <c r="G46" i="1"/>
  <c r="G52" i="1"/>
  <c r="G48" i="1"/>
  <c r="G55" i="1"/>
  <c r="G51" i="1"/>
  <c r="G59" i="1"/>
  <c r="G56" i="1"/>
  <c r="G58" i="1"/>
  <c r="G54" i="1"/>
  <c r="G50" i="1"/>
  <c r="G53" i="1"/>
  <c r="G49" i="1"/>
  <c r="H57" i="1" l="1"/>
  <c r="H56" i="1"/>
  <c r="H49" i="1"/>
  <c r="H61" i="1"/>
  <c r="H46" i="1"/>
  <c r="H59" i="1"/>
  <c r="H55" i="1"/>
  <c r="H54" i="1"/>
  <c r="H58" i="1"/>
  <c r="H60" i="1"/>
  <c r="H53" i="1"/>
  <c r="H52" i="1"/>
  <c r="H51" i="1"/>
  <c r="H48" i="1"/>
  <c r="H47" i="1"/>
  <c r="H50" i="1"/>
  <c r="F20" i="4" l="1"/>
  <c r="M37" i="5"/>
  <c r="M33" i="5"/>
  <c r="M29" i="5"/>
  <c r="M25" i="5"/>
  <c r="M38" i="5"/>
  <c r="M34" i="5"/>
  <c r="M30" i="5"/>
  <c r="M26" i="5"/>
  <c r="M39" i="5"/>
  <c r="M35" i="5"/>
  <c r="M31" i="5"/>
  <c r="M27" i="5"/>
  <c r="M24" i="5"/>
  <c r="M36" i="5"/>
  <c r="M32" i="5"/>
  <c r="M28" i="5"/>
  <c r="F38" i="5"/>
  <c r="F36" i="5"/>
  <c r="F29" i="5"/>
  <c r="F37" i="5"/>
  <c r="E28" i="5"/>
  <c r="N28" i="5" s="1"/>
  <c r="E39" i="5"/>
  <c r="N39" i="5" s="1"/>
  <c r="E32" i="5"/>
  <c r="N32" i="5" s="1"/>
  <c r="E31" i="5"/>
  <c r="N31" i="5" s="1"/>
  <c r="E34" i="5"/>
  <c r="N34" i="5" s="1"/>
  <c r="E35" i="5"/>
  <c r="N35" i="5" s="1"/>
  <c r="E30" i="5"/>
  <c r="N30" i="5" s="1"/>
  <c r="E25" i="5"/>
  <c r="N25" i="5" s="1"/>
  <c r="E24" i="5"/>
  <c r="N24" i="5" s="1"/>
  <c r="G20" i="4"/>
  <c r="E26" i="5"/>
  <c r="N26" i="5" s="1"/>
  <c r="F30" i="5"/>
  <c r="F32" i="5"/>
  <c r="F39" i="5"/>
  <c r="F35" i="5"/>
  <c r="F31" i="5"/>
  <c r="F27" i="5"/>
  <c r="F34" i="5"/>
  <c r="F26" i="5"/>
  <c r="E37" i="5"/>
  <c r="N37" i="5" s="1"/>
  <c r="F24" i="5"/>
  <c r="E33" i="5"/>
  <c r="N33" i="5" s="1"/>
  <c r="E36" i="5"/>
  <c r="N36" i="5" s="1"/>
  <c r="F28" i="5"/>
  <c r="F33" i="5"/>
  <c r="F25" i="5"/>
  <c r="E27" i="5"/>
  <c r="N27" i="5" s="1"/>
  <c r="E38" i="5"/>
  <c r="N38" i="5" s="1"/>
  <c r="E29" i="5"/>
  <c r="N29" i="5" s="1"/>
  <c r="K33" i="5" l="1"/>
  <c r="K24" i="5"/>
  <c r="K26" i="5"/>
  <c r="K27" i="5"/>
  <c r="K35" i="5"/>
  <c r="K32" i="5"/>
  <c r="K29" i="5"/>
  <c r="K38" i="5"/>
  <c r="K25" i="5"/>
  <c r="K28" i="5"/>
  <c r="K34" i="5"/>
  <c r="K31" i="5"/>
  <c r="K39" i="5"/>
  <c r="K30" i="5"/>
  <c r="K37" i="5"/>
  <c r="K36" i="5"/>
  <c r="P25" i="5"/>
  <c r="R25" i="5" s="1"/>
  <c r="B52" i="5" s="1"/>
  <c r="E52" i="5" s="1"/>
  <c r="I27" i="5"/>
  <c r="I28" i="5"/>
  <c r="I25" i="5"/>
  <c r="I26" i="5"/>
  <c r="I39" i="5"/>
  <c r="I37" i="5"/>
  <c r="I31" i="5"/>
  <c r="I29" i="5"/>
  <c r="I35" i="5"/>
  <c r="I36" i="5"/>
  <c r="I33" i="5"/>
  <c r="I34" i="5"/>
  <c r="I24" i="5"/>
  <c r="I38" i="5"/>
  <c r="I32" i="5"/>
  <c r="I30" i="5"/>
  <c r="J25" i="5"/>
  <c r="J26" i="5"/>
  <c r="J27" i="5"/>
  <c r="J28" i="5"/>
  <c r="J37" i="5"/>
  <c r="J39" i="5"/>
  <c r="J29" i="5"/>
  <c r="J31" i="5"/>
  <c r="J33" i="5"/>
  <c r="J35" i="5"/>
  <c r="J38" i="5"/>
  <c r="J30" i="5"/>
  <c r="J34" i="5"/>
  <c r="J36" i="5"/>
  <c r="J24" i="5"/>
  <c r="J32" i="5"/>
  <c r="I52" i="5" l="1"/>
  <c r="H52" i="5"/>
  <c r="D52" i="5"/>
  <c r="K52" i="5"/>
  <c r="C52" i="5"/>
  <c r="M52" i="5"/>
  <c r="J52" i="5"/>
  <c r="L52" i="5"/>
  <c r="P28" i="5"/>
  <c r="R28" i="5" s="1"/>
  <c r="B55" i="5" s="1"/>
  <c r="H55" i="5" s="1"/>
  <c r="P36" i="5"/>
  <c r="R36" i="5" s="1"/>
  <c r="B63" i="5" s="1"/>
  <c r="H63" i="5" s="1"/>
  <c r="P35" i="5"/>
  <c r="R35" i="5" s="1"/>
  <c r="B62" i="5" s="1"/>
  <c r="P24" i="5"/>
  <c r="P32" i="5"/>
  <c r="R32" i="5" s="1"/>
  <c r="B59" i="5" s="1"/>
  <c r="P39" i="5"/>
  <c r="R39" i="5" s="1"/>
  <c r="B66" i="5" s="1"/>
  <c r="I66" i="5" s="1"/>
  <c r="P31" i="5"/>
  <c r="R31" i="5" s="1"/>
  <c r="B58" i="5" s="1"/>
  <c r="P38" i="5"/>
  <c r="R38" i="5" s="1"/>
  <c r="B65" i="5" s="1"/>
  <c r="J65" i="5" s="1"/>
  <c r="P34" i="5"/>
  <c r="R34" i="5" s="1"/>
  <c r="B61" i="5" s="1"/>
  <c r="P30" i="5"/>
  <c r="R30" i="5" s="1"/>
  <c r="B57" i="5" s="1"/>
  <c r="J57" i="5" s="1"/>
  <c r="P26" i="5"/>
  <c r="R26" i="5" s="1"/>
  <c r="B53" i="5" s="1"/>
  <c r="P37" i="5"/>
  <c r="R37" i="5" s="1"/>
  <c r="B64" i="5" s="1"/>
  <c r="I64" i="5" s="1"/>
  <c r="P33" i="5"/>
  <c r="R33" i="5" s="1"/>
  <c r="B60" i="5" s="1"/>
  <c r="P29" i="5"/>
  <c r="R29" i="5" s="1"/>
  <c r="B56" i="5" s="1"/>
  <c r="P27" i="5"/>
  <c r="R27" i="5" s="1"/>
  <c r="B54" i="5" s="1"/>
  <c r="G25" i="5"/>
  <c r="G26" i="5"/>
  <c r="G27" i="5"/>
  <c r="G28" i="5"/>
  <c r="G37" i="5"/>
  <c r="G39" i="5"/>
  <c r="G30" i="5"/>
  <c r="G32" i="5"/>
  <c r="G38" i="5"/>
  <c r="G33" i="5"/>
  <c r="G35" i="5"/>
  <c r="G34" i="5"/>
  <c r="G31" i="5"/>
  <c r="G36" i="5"/>
  <c r="G24" i="5"/>
  <c r="G29" i="5"/>
  <c r="H33" i="5"/>
  <c r="H34" i="5"/>
  <c r="H35" i="5"/>
  <c r="H36" i="5"/>
  <c r="H30" i="5"/>
  <c r="H32" i="5"/>
  <c r="H38" i="5"/>
  <c r="H25" i="5"/>
  <c r="H27" i="5"/>
  <c r="H29" i="5"/>
  <c r="H37" i="5"/>
  <c r="H24" i="5"/>
  <c r="H26" i="5"/>
  <c r="H28" i="5"/>
  <c r="H31" i="5"/>
  <c r="H39" i="5"/>
  <c r="G55" i="5" l="1"/>
  <c r="G64" i="5"/>
  <c r="G65" i="5"/>
  <c r="F65" i="5"/>
  <c r="C47" i="5"/>
  <c r="F57" i="5"/>
  <c r="F64" i="5"/>
  <c r="F52" i="5"/>
  <c r="G59" i="5"/>
  <c r="G52" i="5"/>
  <c r="F55" i="5"/>
  <c r="G57" i="5"/>
  <c r="R24" i="5"/>
  <c r="B51" i="5" s="1"/>
  <c r="F51" i="5" s="1"/>
  <c r="H65" i="5"/>
  <c r="G66" i="5"/>
  <c r="G56" i="5"/>
  <c r="G63" i="5"/>
  <c r="G61" i="5"/>
  <c r="F56" i="5"/>
  <c r="F63" i="5"/>
  <c r="F61" i="5"/>
  <c r="F60" i="5"/>
  <c r="F59" i="5"/>
  <c r="F66" i="5"/>
  <c r="F53" i="5"/>
  <c r="J64" i="5"/>
  <c r="H64" i="5"/>
  <c r="I63" i="5"/>
  <c r="J55" i="5"/>
  <c r="K54" i="5"/>
  <c r="C54" i="5"/>
  <c r="L54" i="5"/>
  <c r="M54" i="5"/>
  <c r="D54" i="5"/>
  <c r="E54" i="5"/>
  <c r="K60" i="5"/>
  <c r="C60" i="5"/>
  <c r="M60" i="5"/>
  <c r="L60" i="5"/>
  <c r="E60" i="5"/>
  <c r="D60" i="5"/>
  <c r="K53" i="5"/>
  <c r="C53" i="5"/>
  <c r="L53" i="5"/>
  <c r="M53" i="5"/>
  <c r="E53" i="5"/>
  <c r="D53" i="5"/>
  <c r="K61" i="5"/>
  <c r="C61" i="5"/>
  <c r="M61" i="5"/>
  <c r="L61" i="5"/>
  <c r="D61" i="5"/>
  <c r="E61" i="5"/>
  <c r="K58" i="5"/>
  <c r="C58" i="5"/>
  <c r="L58" i="5"/>
  <c r="M58" i="5"/>
  <c r="E58" i="5"/>
  <c r="D58" i="5"/>
  <c r="K59" i="5"/>
  <c r="C59" i="5"/>
  <c r="L59" i="5"/>
  <c r="M59" i="5"/>
  <c r="E59" i="5"/>
  <c r="D59" i="5"/>
  <c r="K62" i="5"/>
  <c r="C62" i="5"/>
  <c r="M62" i="5"/>
  <c r="L62" i="5"/>
  <c r="E62" i="5"/>
  <c r="D62" i="5"/>
  <c r="J54" i="5"/>
  <c r="J59" i="5"/>
  <c r="J58" i="5"/>
  <c r="I53" i="5"/>
  <c r="I62" i="5"/>
  <c r="H54" i="5"/>
  <c r="H58" i="5"/>
  <c r="H60" i="5"/>
  <c r="H59" i="5"/>
  <c r="I60" i="5"/>
  <c r="I61" i="5"/>
  <c r="G58" i="5"/>
  <c r="G53" i="5"/>
  <c r="G54" i="5"/>
  <c r="G62" i="5"/>
  <c r="G60" i="5"/>
  <c r="F58" i="5"/>
  <c r="F62" i="5"/>
  <c r="F54" i="5"/>
  <c r="K56" i="5"/>
  <c r="C56" i="5"/>
  <c r="L56" i="5"/>
  <c r="M56" i="5"/>
  <c r="D56" i="5"/>
  <c r="E56" i="5"/>
  <c r="K64" i="5"/>
  <c r="C64" i="5"/>
  <c r="M64" i="5"/>
  <c r="L64" i="5"/>
  <c r="D64" i="5"/>
  <c r="E64" i="5"/>
  <c r="K57" i="5"/>
  <c r="C57" i="5"/>
  <c r="L57" i="5"/>
  <c r="M57" i="5"/>
  <c r="D57" i="5"/>
  <c r="E57" i="5"/>
  <c r="K65" i="5"/>
  <c r="C65" i="5"/>
  <c r="M65" i="5"/>
  <c r="L65" i="5"/>
  <c r="E65" i="5"/>
  <c r="D65" i="5"/>
  <c r="K66" i="5"/>
  <c r="C66" i="5"/>
  <c r="M66" i="5"/>
  <c r="L66" i="5"/>
  <c r="E66" i="5"/>
  <c r="D66" i="5"/>
  <c r="M51" i="5"/>
  <c r="K63" i="5"/>
  <c r="C63" i="5"/>
  <c r="M63" i="5"/>
  <c r="L63" i="5"/>
  <c r="D63" i="5"/>
  <c r="E63" i="5"/>
  <c r="K55" i="5"/>
  <c r="C55" i="5"/>
  <c r="L55" i="5"/>
  <c r="M55" i="5"/>
  <c r="D55" i="5"/>
  <c r="E55" i="5"/>
  <c r="J60" i="5"/>
  <c r="J53" i="5"/>
  <c r="J62" i="5"/>
  <c r="J56" i="5"/>
  <c r="J61" i="5"/>
  <c r="J66" i="5"/>
  <c r="J63" i="5"/>
  <c r="H53" i="5"/>
  <c r="H56" i="5"/>
  <c r="H61" i="5"/>
  <c r="H57" i="5"/>
  <c r="I55" i="5"/>
  <c r="I58" i="5"/>
  <c r="I57" i="5"/>
  <c r="I59" i="5"/>
  <c r="H66" i="5"/>
  <c r="H62" i="5"/>
  <c r="I54" i="5"/>
  <c r="I56" i="5"/>
  <c r="I65" i="5"/>
  <c r="C14" i="6" l="1"/>
  <c r="E51" i="5"/>
  <c r="K51" i="5"/>
  <c r="G51" i="5"/>
  <c r="I51" i="5"/>
  <c r="H51" i="5"/>
  <c r="D51" i="5"/>
  <c r="L51" i="5"/>
  <c r="C51" i="5"/>
  <c r="J51" i="5"/>
  <c r="H20" i="4"/>
  <c r="C13" i="6" l="1"/>
  <c r="D13" i="6" s="1"/>
  <c r="N53" i="5"/>
  <c r="O53" i="5" s="1"/>
  <c r="N55" i="5"/>
  <c r="O55" i="5" s="1"/>
  <c r="N57" i="5"/>
  <c r="O57" i="5" s="1"/>
  <c r="N59" i="5"/>
  <c r="O59" i="5" s="1"/>
  <c r="N61" i="5"/>
  <c r="O61" i="5" s="1"/>
  <c r="N63" i="5"/>
  <c r="O63" i="5" s="1"/>
  <c r="N65" i="5"/>
  <c r="O65" i="5" s="1"/>
  <c r="N51" i="5"/>
  <c r="O51" i="5" s="1"/>
  <c r="N52" i="5"/>
  <c r="O52" i="5" s="1"/>
  <c r="N54" i="5"/>
  <c r="O54" i="5" s="1"/>
  <c r="N56" i="5"/>
  <c r="O56" i="5" s="1"/>
  <c r="N58" i="5"/>
  <c r="O58" i="5" s="1"/>
  <c r="N60" i="5"/>
  <c r="O60" i="5" s="1"/>
  <c r="N62" i="5"/>
  <c r="O62" i="5" s="1"/>
  <c r="N64" i="5"/>
  <c r="O64" i="5" s="1"/>
  <c r="N66" i="5"/>
  <c r="O66" i="5" s="1"/>
</calcChain>
</file>

<file path=xl/comments1.xml><?xml version="1.0" encoding="utf-8"?>
<comments xmlns="http://schemas.openxmlformats.org/spreadsheetml/2006/main">
  <authors>
    <author>Veda Obando</author>
  </authors>
  <commentList>
    <comment ref="L73" authorId="0" shapeId="0">
      <text>
        <r>
          <rPr>
            <b/>
            <sz val="9"/>
            <color indexed="81"/>
            <rFont val="Tahoma"/>
            <family val="2"/>
          </rPr>
          <t>Veda Obando:</t>
        </r>
        <r>
          <rPr>
            <sz val="9"/>
            <color indexed="81"/>
            <rFont val="Tahoma"/>
            <family val="2"/>
          </rPr>
          <t xml:space="preserve">
=REDONDEAR(DISTR.NORM.INV(ALEATORIO();$C$70;$C$71);2)</t>
        </r>
      </text>
    </comment>
  </commentList>
</comments>
</file>

<file path=xl/sharedStrings.xml><?xml version="1.0" encoding="utf-8"?>
<sst xmlns="http://schemas.openxmlformats.org/spreadsheetml/2006/main" count="335" uniqueCount="92">
  <si>
    <t>Note: You have not entered any data for this sample yet. The following rows were loaded from your list of default analytes/methods.</t>
  </si>
  <si>
    <t>Analyte, Method Description</t>
  </si>
  <si>
    <t>Method Code</t>
  </si>
  <si>
    <t>Units</t>
  </si>
  <si>
    <t>Total Nitrogen, Combustion</t>
  </si>
  <si>
    <t>%</t>
  </si>
  <si>
    <t>Total Phosphorus as P2O5, ICP</t>
  </si>
  <si>
    <t>Soluble Potassium as K2O, Other</t>
  </si>
  <si>
    <t>Acid Soluble Calcium, ICP, test portion 2006.03A-C, w/dual acid</t>
  </si>
  <si>
    <t>Acid Soluble Magnesium, ICP, test portion 2006.03A-C, w/dual acid</t>
  </si>
  <si>
    <t>Total Sulfur, ICP, test portion as in 2006.03 modified w/9:3 HNO3:HCl</t>
  </si>
  <si>
    <t>Acid Soluble Boron , Other</t>
  </si>
  <si>
    <t>Acid Soluble Copper , ICP, test portion 2006.03A-C, w/dual acid</t>
  </si>
  <si>
    <t>Acid Soluble Iron , ICP, test portion 2006.03A-C, w/dual acid</t>
  </si>
  <si>
    <t>Acid Soluble Manganese , ICP, test portion 2006.03A-C, w/dual acid</t>
  </si>
  <si>
    <t>Acid Soluble Zinc , ICP, test portion 2006.03A-C, w/dual acid</t>
  </si>
  <si>
    <t>Analito</t>
  </si>
  <si>
    <t>Metodo</t>
  </si>
  <si>
    <t>Promedio</t>
  </si>
  <si>
    <t>Laboratorio</t>
  </si>
  <si>
    <t>Nitrogeno</t>
  </si>
  <si>
    <t>kjendahl</t>
  </si>
  <si>
    <t>L1</t>
  </si>
  <si>
    <t>L2</t>
  </si>
  <si>
    <t>L3</t>
  </si>
  <si>
    <t>L4</t>
  </si>
  <si>
    <t>media</t>
  </si>
  <si>
    <t>desviacion estandar</t>
  </si>
  <si>
    <t>d2</t>
  </si>
  <si>
    <t>d3</t>
  </si>
  <si>
    <t>z-score</t>
  </si>
  <si>
    <t>-d3</t>
  </si>
  <si>
    <t>-d2</t>
  </si>
  <si>
    <t>error</t>
  </si>
  <si>
    <t>desviacion</t>
  </si>
  <si>
    <t>valor</t>
  </si>
  <si>
    <t>distr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</si>
  <si>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</si>
  <si>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</si>
  <si>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</si>
  <si>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</si>
  <si>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</si>
  <si>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</si>
  <si>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</si>
  <si>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</si>
  <si>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</si>
  <si>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</si>
  <si>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</si>
  <si>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</si>
  <si>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Media</t>
  </si>
  <si>
    <t>Desviaio</t>
  </si>
  <si>
    <t>Z score</t>
  </si>
  <si>
    <t>Result</t>
  </si>
  <si>
    <t>Method</t>
  </si>
  <si>
    <t>010.60</t>
  </si>
  <si>
    <t>020.50</t>
  </si>
  <si>
    <t>050.99</t>
  </si>
  <si>
    <t>101.33</t>
  </si>
  <si>
    <t>Standard Desviation</t>
  </si>
  <si>
    <t>Z Score</t>
  </si>
  <si>
    <t>Average</t>
  </si>
  <si>
    <t>Laboratory</t>
  </si>
  <si>
    <t>Lab #:</t>
  </si>
  <si>
    <t>Analyte</t>
  </si>
  <si>
    <t>Name</t>
  </si>
  <si>
    <t>Method Name</t>
  </si>
  <si>
    <t>St. Desv.</t>
  </si>
  <si>
    <t>Kjendahl</t>
  </si>
  <si>
    <t>Results of Analysis</t>
  </si>
  <si>
    <t>Laboratory:</t>
  </si>
  <si>
    <t>Due Date:</t>
  </si>
  <si>
    <t>7/15/2017</t>
  </si>
  <si>
    <t>Z-Score:</t>
  </si>
  <si>
    <t>Position</t>
  </si>
  <si>
    <t>KESIMO MENOR</t>
  </si>
  <si>
    <t>Method Used:</t>
  </si>
  <si>
    <t>Analyte:</t>
  </si>
  <si>
    <t>ABS Z SCORE</t>
  </si>
  <si>
    <t>Normal Distr</t>
  </si>
  <si>
    <t>Result Reported:</t>
  </si>
  <si>
    <t>Ranking Position:</t>
  </si>
  <si>
    <t>Columna1</t>
  </si>
  <si>
    <t>Current Position</t>
  </si>
  <si>
    <t>Total values</t>
  </si>
  <si>
    <t>Orden</t>
  </si>
  <si>
    <t>Lab</t>
  </si>
  <si>
    <t>Average Ordered</t>
  </si>
  <si>
    <t>ND Ordered</t>
  </si>
  <si>
    <t>Norma</t>
  </si>
  <si>
    <t>DEV</t>
  </si>
  <si>
    <t>PPLOWCBL</t>
  </si>
  <si>
    <t xml:space="preserve">Kjeldahl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</si>
</sst>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FFFF"/>
      <name val="Arial"/>
      <family val="2"/>
    </font>
    <font>
      <sz val="9"/>
      <color rgb="FF000000"/>
      <name val="Arial"/>
      <family val="2"/>
    </font>
    <font>
      <b/>
      <sz val="9"/>
      <color theme="9" tint="-0.499984740745262"/>
      <name val="Arial"/>
      <family val="2"/>
    </font>
    <font>
      <b/>
      <sz val="10"/>
      <color theme="9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AACCA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/>
      </patternFill>
    </fill>
    <fill>
      <patternFill patternType="solid">
        <fgColor rgb="FF12461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AAD1AA"/>
        <bgColor indexed="64"/>
      </patternFill>
    </fill>
  </fills>
  <borders count="11">
    <border>
      <left/>
      <right/>
      <top/>
      <bottom/>
      <diagonal/>
    </border>
    <border>
      <left style="dotted">
        <color rgb="FF666666"/>
      </left>
      <right/>
      <top/>
      <bottom/>
      <diagonal/>
    </border>
    <border>
      <left style="dotted">
        <color rgb="FF666666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50">
    <xf numFmtId="0" fontId="0" fillId="0" borderId="0" xfId="0"/>
    <xf numFmtId="0" fontId="0" fillId="0" borderId="0" xfId="0" quotePrefix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 wrapText="1" indent="1"/>
    </xf>
    <xf numFmtId="0" fontId="4" fillId="6" borderId="4" xfId="0" applyFont="1" applyFill="1" applyBorder="1" applyAlignment="1">
      <alignment horizontal="left" wrapText="1" indent="1"/>
    </xf>
    <xf numFmtId="0" fontId="5" fillId="0" borderId="0" xfId="0" applyFont="1" applyBorder="1" applyAlignment="1">
      <alignment horizontal="center"/>
    </xf>
    <xf numFmtId="43" fontId="4" fillId="6" borderId="3" xfId="1" applyFont="1" applyFill="1" applyBorder="1" applyAlignment="1">
      <alignment horizontal="left" wrapText="1" indent="1"/>
    </xf>
    <xf numFmtId="43" fontId="4" fillId="6" borderId="4" xfId="1" applyFont="1" applyFill="1" applyBorder="1" applyAlignment="1">
      <alignment horizontal="left" wrapText="1" indent="1"/>
    </xf>
    <xf numFmtId="164" fontId="3" fillId="5" borderId="0" xfId="1" applyNumberFormat="1" applyFont="1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4" borderId="0" xfId="2"/>
    <xf numFmtId="2" fontId="0" fillId="0" borderId="0" xfId="0" applyNumberFormat="1"/>
    <xf numFmtId="0" fontId="7" fillId="7" borderId="6" xfId="0" applyFont="1" applyFill="1" applyBorder="1"/>
    <xf numFmtId="0" fontId="7" fillId="7" borderId="7" xfId="0" applyFont="1" applyFill="1" applyBorder="1"/>
    <xf numFmtId="0" fontId="7" fillId="7" borderId="8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2" fontId="0" fillId="0" borderId="7" xfId="0" applyNumberFormat="1" applyFont="1" applyBorder="1"/>
    <xf numFmtId="0" fontId="7" fillId="7" borderId="7" xfId="0" quotePrefix="1" applyFont="1" applyFill="1" applyBorder="1"/>
    <xf numFmtId="0" fontId="7" fillId="7" borderId="0" xfId="0" applyFont="1" applyFill="1" applyBorder="1"/>
    <xf numFmtId="164" fontId="3" fillId="5" borderId="0" xfId="0" applyNumberFormat="1" applyFont="1" applyFill="1" applyAlignment="1">
      <alignment horizontal="right" indent="1"/>
    </xf>
    <xf numFmtId="0" fontId="10" fillId="5" borderId="0" xfId="0" applyFont="1" applyFill="1" applyAlignment="1">
      <alignment horizontal="right"/>
    </xf>
    <xf numFmtId="0" fontId="10" fillId="5" borderId="0" xfId="0" applyFont="1" applyFill="1" applyAlignment="1"/>
    <xf numFmtId="0" fontId="10" fillId="5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wrapText="1" indent="1"/>
    </xf>
    <xf numFmtId="43" fontId="12" fillId="6" borderId="3" xfId="1" applyFont="1" applyFill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left"/>
    </xf>
    <xf numFmtId="2" fontId="10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center"/>
    </xf>
    <xf numFmtId="164" fontId="3" fillId="5" borderId="0" xfId="1" applyNumberFormat="1" applyFont="1" applyFill="1" applyAlignment="1">
      <alignment horizontal="right" indent="1"/>
    </xf>
    <xf numFmtId="0" fontId="13" fillId="8" borderId="0" xfId="0" applyFont="1" applyFill="1" applyAlignment="1">
      <alignment horizontal="right"/>
    </xf>
    <xf numFmtId="164" fontId="13" fillId="8" borderId="0" xfId="0" applyNumberFormat="1" applyFont="1" applyFill="1" applyAlignment="1">
      <alignment horizontal="left"/>
    </xf>
    <xf numFmtId="0" fontId="13" fillId="8" borderId="0" xfId="0" applyFont="1" applyFill="1"/>
    <xf numFmtId="0" fontId="13" fillId="8" borderId="0" xfId="0" applyFont="1" applyFill="1" applyAlignment="1">
      <alignment horizontal="left"/>
    </xf>
  </cellXfs>
  <cellStyles count="3">
    <cellStyle name="Énfasis6" xfId="2" builtinId="49"/>
    <cellStyle name="Millares" xfId="1" builtinId="3"/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theme="9" tint="0.59996337778862885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theme="9" tint="0.59996337778862885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2" formatCode="0.00"/>
    </dxf>
    <dxf>
      <font>
        <color rgb="FFFF0000"/>
      </font>
    </dxf>
    <dxf>
      <font>
        <color rgb="FFFFC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colors>
    <mruColors>
      <color rgb="FF663300"/>
      <color rgb="FFAAD1AA"/>
      <color rgb="FF124618"/>
      <color rgb="FF1A64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Statistical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6247622803018168E-2"/>
          <c:y val="0.12488215488215489"/>
          <c:w val="0.93079984720219833"/>
          <c:h val="0.779036154512099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Setup!$D$50</c:f>
              <c:strCache>
                <c:ptCount val="1"/>
                <c:pt idx="0">
                  <c:v>z-score</c:v>
                </c:pt>
              </c:strCache>
            </c:strRef>
          </c:tx>
          <c:spPr>
            <a:solidFill>
              <a:schemeClr val="tx1">
                <a:lumMod val="65000"/>
                <a:lumOff val="35000"/>
                <a:alpha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Setup!$B$51:$B$66</c:f>
              <c:strCache>
                <c:ptCount val="16"/>
                <c:pt idx="0">
                  <c:v>L9</c:v>
                </c:pt>
                <c:pt idx="1">
                  <c:v>L10</c:v>
                </c:pt>
                <c:pt idx="2">
                  <c:v>L8</c:v>
                </c:pt>
                <c:pt idx="3">
                  <c:v>L11</c:v>
                </c:pt>
                <c:pt idx="4">
                  <c:v>L13</c:v>
                </c:pt>
                <c:pt idx="5">
                  <c:v>L7</c:v>
                </c:pt>
                <c:pt idx="6">
                  <c:v>L6</c:v>
                </c:pt>
                <c:pt idx="7">
                  <c:v>L5</c:v>
                </c:pt>
                <c:pt idx="8">
                  <c:v>L4</c:v>
                </c:pt>
                <c:pt idx="9">
                  <c:v>L14</c:v>
                </c:pt>
                <c:pt idx="10">
                  <c:v>L15</c:v>
                </c:pt>
                <c:pt idx="11">
                  <c:v>L3</c:v>
                </c:pt>
                <c:pt idx="12">
                  <c:v>L16</c:v>
                </c:pt>
                <c:pt idx="13">
                  <c:v>L2</c:v>
                </c:pt>
                <c:pt idx="14">
                  <c:v>L1</c:v>
                </c:pt>
                <c:pt idx="15">
                  <c:v>L12</c:v>
                </c:pt>
              </c:strCache>
            </c:strRef>
          </c:cat>
          <c:val>
            <c:numRef>
              <c:f>Setup!$D$51:$D$66</c:f>
              <c:numCache>
                <c:formatCode>General</c:formatCode>
                <c:ptCount val="16"/>
                <c:pt idx="0">
                  <c:v>-5.3916783067452387E-2</c:v>
                </c:pt>
                <c:pt idx="1">
                  <c:v>0.10241524032417174</c:v>
                </c:pt>
                <c:pt idx="2">
                  <c:v>-0.27420281602837682</c:v>
                </c:pt>
                <c:pt idx="3">
                  <c:v>0.2800652669055626</c:v>
                </c:pt>
                <c:pt idx="4">
                  <c:v>0.34401927647486324</c:v>
                </c:pt>
                <c:pt idx="5">
                  <c:v>-0.42342883835674544</c:v>
                </c:pt>
                <c:pt idx="6">
                  <c:v>-0.42769243899469866</c:v>
                </c:pt>
                <c:pt idx="7">
                  <c:v>-0.43053483942000093</c:v>
                </c:pt>
                <c:pt idx="8">
                  <c:v>-0.60818486600139177</c:v>
                </c:pt>
                <c:pt idx="9">
                  <c:v>0.92671136366182549</c:v>
                </c:pt>
                <c:pt idx="10">
                  <c:v>1.0475133817371713</c:v>
                </c:pt>
                <c:pt idx="11">
                  <c:v>-1.0629689340497523</c:v>
                </c:pt>
                <c:pt idx="12">
                  <c:v>1.2251634083185621</c:v>
                </c:pt>
                <c:pt idx="13">
                  <c:v>-1.2477249616943988</c:v>
                </c:pt>
                <c:pt idx="14">
                  <c:v>-1.6314490191102033</c:v>
                </c:pt>
                <c:pt idx="15">
                  <c:v>2.2342155593008624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9-489E-A36C-08BFEAD4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3"/>
        <c:overlap val="100"/>
        <c:axId val="1679813087"/>
        <c:axId val="1679815167"/>
      </c:barChart>
      <c:lineChart>
        <c:grouping val="standard"/>
        <c:varyColors val="0"/>
        <c:ser>
          <c:idx val="2"/>
          <c:order val="1"/>
          <c:tx>
            <c:strRef>
              <c:f>Setup!$E$50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flat" cmpd="sng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Setup!$B$51:$B$66</c:f>
              <c:strCache>
                <c:ptCount val="16"/>
                <c:pt idx="0">
                  <c:v>L9</c:v>
                </c:pt>
                <c:pt idx="1">
                  <c:v>L10</c:v>
                </c:pt>
                <c:pt idx="2">
                  <c:v>L8</c:v>
                </c:pt>
                <c:pt idx="3">
                  <c:v>L11</c:v>
                </c:pt>
                <c:pt idx="4">
                  <c:v>L13</c:v>
                </c:pt>
                <c:pt idx="5">
                  <c:v>L7</c:v>
                </c:pt>
                <c:pt idx="6">
                  <c:v>L6</c:v>
                </c:pt>
                <c:pt idx="7">
                  <c:v>L5</c:v>
                </c:pt>
                <c:pt idx="8">
                  <c:v>L4</c:v>
                </c:pt>
                <c:pt idx="9">
                  <c:v>L14</c:v>
                </c:pt>
                <c:pt idx="10">
                  <c:v>L15</c:v>
                </c:pt>
                <c:pt idx="11">
                  <c:v>L3</c:v>
                </c:pt>
                <c:pt idx="12">
                  <c:v>L16</c:v>
                </c:pt>
                <c:pt idx="13">
                  <c:v>L2</c:v>
                </c:pt>
                <c:pt idx="14">
                  <c:v>L1</c:v>
                </c:pt>
                <c:pt idx="15">
                  <c:v>L12</c:v>
                </c:pt>
              </c:strCache>
            </c:strRef>
          </c:cat>
          <c:val>
            <c:numRef>
              <c:f>Setup!$E$51:$E$66</c:f>
              <c:numCache>
                <c:formatCode>General</c:formatCode>
                <c:ptCount val="16"/>
                <c:pt idx="0">
                  <c:v>2.8558750000000002</c:v>
                </c:pt>
                <c:pt idx="1">
                  <c:v>2.8558750000000002</c:v>
                </c:pt>
                <c:pt idx="2">
                  <c:v>2.8558750000000002</c:v>
                </c:pt>
                <c:pt idx="3">
                  <c:v>2.8558750000000002</c:v>
                </c:pt>
                <c:pt idx="4">
                  <c:v>2.8558750000000002</c:v>
                </c:pt>
                <c:pt idx="5">
                  <c:v>2.8558750000000002</c:v>
                </c:pt>
                <c:pt idx="6">
                  <c:v>2.8558750000000002</c:v>
                </c:pt>
                <c:pt idx="7">
                  <c:v>2.8558750000000002</c:v>
                </c:pt>
                <c:pt idx="8">
                  <c:v>2.8558750000000002</c:v>
                </c:pt>
                <c:pt idx="9">
                  <c:v>2.8558750000000002</c:v>
                </c:pt>
                <c:pt idx="10">
                  <c:v>2.8558750000000002</c:v>
                </c:pt>
                <c:pt idx="11">
                  <c:v>2.8558750000000002</c:v>
                </c:pt>
                <c:pt idx="12">
                  <c:v>2.8558750000000002</c:v>
                </c:pt>
                <c:pt idx="13">
                  <c:v>2.8558750000000002</c:v>
                </c:pt>
                <c:pt idx="14">
                  <c:v>2.8558750000000002</c:v>
                </c:pt>
                <c:pt idx="15">
                  <c:v>2.8558750000000002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9-489E-A36C-08BFEAD4A50B}"/>
            </c:ext>
          </c:extLst>
        </c:ser>
        <c:ser>
          <c:idx val="3"/>
          <c:order val="2"/>
          <c:tx>
            <c:strRef>
              <c:f>Setup!$F$50</c:f>
              <c:strCache>
                <c:ptCount val="1"/>
                <c:pt idx="0">
                  <c:v>-d3</c:v>
                </c:pt>
              </c:strCache>
            </c:strRef>
          </c:tx>
          <c:spPr>
            <a:ln w="28575" cap="flat">
              <a:solidFill>
                <a:srgbClr val="FF0000"/>
              </a:solidFill>
              <a:miter lim="800000"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Setup!$B$51:$B$66</c:f>
              <c:strCache>
                <c:ptCount val="16"/>
                <c:pt idx="0">
                  <c:v>L9</c:v>
                </c:pt>
                <c:pt idx="1">
                  <c:v>L10</c:v>
                </c:pt>
                <c:pt idx="2">
                  <c:v>L8</c:v>
                </c:pt>
                <c:pt idx="3">
                  <c:v>L11</c:v>
                </c:pt>
                <c:pt idx="4">
                  <c:v>L13</c:v>
                </c:pt>
                <c:pt idx="5">
                  <c:v>L7</c:v>
                </c:pt>
                <c:pt idx="6">
                  <c:v>L6</c:v>
                </c:pt>
                <c:pt idx="7">
                  <c:v>L5</c:v>
                </c:pt>
                <c:pt idx="8">
                  <c:v>L4</c:v>
                </c:pt>
                <c:pt idx="9">
                  <c:v>L14</c:v>
                </c:pt>
                <c:pt idx="10">
                  <c:v>L15</c:v>
                </c:pt>
                <c:pt idx="11">
                  <c:v>L3</c:v>
                </c:pt>
                <c:pt idx="12">
                  <c:v>L16</c:v>
                </c:pt>
                <c:pt idx="13">
                  <c:v>L2</c:v>
                </c:pt>
                <c:pt idx="14">
                  <c:v>L1</c:v>
                </c:pt>
                <c:pt idx="15">
                  <c:v>L12</c:v>
                </c:pt>
              </c:strCache>
            </c:strRef>
          </c:cat>
          <c:val>
            <c:numRef>
              <c:f>Setup!$F$51:$F$66</c:f>
              <c:numCache>
                <c:formatCode>General</c:formatCode>
                <c:ptCount val="16"/>
                <c:pt idx="0">
                  <c:v>-1.365908775846413</c:v>
                </c:pt>
                <c:pt idx="1">
                  <c:v>-1.365908775846413</c:v>
                </c:pt>
                <c:pt idx="2">
                  <c:v>-1.365908775846413</c:v>
                </c:pt>
                <c:pt idx="3">
                  <c:v>-1.365908775846413</c:v>
                </c:pt>
                <c:pt idx="4">
                  <c:v>-1.365908775846413</c:v>
                </c:pt>
                <c:pt idx="5">
                  <c:v>-1.365908775846413</c:v>
                </c:pt>
                <c:pt idx="6">
                  <c:v>-1.365908775846413</c:v>
                </c:pt>
                <c:pt idx="7">
                  <c:v>-1.365908775846413</c:v>
                </c:pt>
                <c:pt idx="8">
                  <c:v>-1.365908775846413</c:v>
                </c:pt>
                <c:pt idx="9">
                  <c:v>-1.365908775846413</c:v>
                </c:pt>
                <c:pt idx="10">
                  <c:v>-1.365908775846413</c:v>
                </c:pt>
                <c:pt idx="11">
                  <c:v>-1.365908775846413</c:v>
                </c:pt>
                <c:pt idx="12">
                  <c:v>-1.365908775846413</c:v>
                </c:pt>
                <c:pt idx="13">
                  <c:v>-1.365908775846413</c:v>
                </c:pt>
                <c:pt idx="14">
                  <c:v>-1.365908775846413</c:v>
                </c:pt>
                <c:pt idx="15">
                  <c:v>-1.365908775846413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9-489E-A36C-08BFEAD4A50B}"/>
            </c:ext>
          </c:extLst>
        </c:ser>
        <c:ser>
          <c:idx val="4"/>
          <c:order val="3"/>
          <c:tx>
            <c:strRef>
              <c:f>Setup!$G$50</c:f>
              <c:strCache>
                <c:ptCount val="1"/>
                <c:pt idx="0">
                  <c:v>-d2</c:v>
                </c:pt>
              </c:strCache>
            </c:strRef>
          </c:tx>
          <c:spPr>
            <a:ln w="28575" cap="flat">
              <a:solidFill>
                <a:srgbClr val="FFC000"/>
              </a:solidFill>
              <a:miter lim="800000"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Setup!$B$51:$B$66</c:f>
              <c:strCache>
                <c:ptCount val="16"/>
                <c:pt idx="0">
                  <c:v>L9</c:v>
                </c:pt>
                <c:pt idx="1">
                  <c:v>L10</c:v>
                </c:pt>
                <c:pt idx="2">
                  <c:v>L8</c:v>
                </c:pt>
                <c:pt idx="3">
                  <c:v>L11</c:v>
                </c:pt>
                <c:pt idx="4">
                  <c:v>L13</c:v>
                </c:pt>
                <c:pt idx="5">
                  <c:v>L7</c:v>
                </c:pt>
                <c:pt idx="6">
                  <c:v>L6</c:v>
                </c:pt>
                <c:pt idx="7">
                  <c:v>L5</c:v>
                </c:pt>
                <c:pt idx="8">
                  <c:v>L4</c:v>
                </c:pt>
                <c:pt idx="9">
                  <c:v>L14</c:v>
                </c:pt>
                <c:pt idx="10">
                  <c:v>L15</c:v>
                </c:pt>
                <c:pt idx="11">
                  <c:v>L3</c:v>
                </c:pt>
                <c:pt idx="12">
                  <c:v>L16</c:v>
                </c:pt>
                <c:pt idx="13">
                  <c:v>L2</c:v>
                </c:pt>
                <c:pt idx="14">
                  <c:v>L1</c:v>
                </c:pt>
                <c:pt idx="15">
                  <c:v>L12</c:v>
                </c:pt>
              </c:strCache>
            </c:strRef>
          </c:cat>
          <c:val>
            <c:numRef>
              <c:f>Setup!$G$51:$G$66</c:f>
              <c:numCache>
                <c:formatCode>General</c:formatCode>
                <c:ptCount val="16"/>
                <c:pt idx="0">
                  <c:v>4.1352482769058341E-2</c:v>
                </c:pt>
                <c:pt idx="1">
                  <c:v>4.1352482769058341E-2</c:v>
                </c:pt>
                <c:pt idx="2">
                  <c:v>4.1352482769058341E-2</c:v>
                </c:pt>
                <c:pt idx="3">
                  <c:v>4.1352482769058341E-2</c:v>
                </c:pt>
                <c:pt idx="4">
                  <c:v>4.1352482769058341E-2</c:v>
                </c:pt>
                <c:pt idx="5">
                  <c:v>4.1352482769058341E-2</c:v>
                </c:pt>
                <c:pt idx="6">
                  <c:v>4.1352482769058341E-2</c:v>
                </c:pt>
                <c:pt idx="7">
                  <c:v>4.1352482769058341E-2</c:v>
                </c:pt>
                <c:pt idx="8">
                  <c:v>4.1352482769058341E-2</c:v>
                </c:pt>
                <c:pt idx="9">
                  <c:v>4.1352482769058341E-2</c:v>
                </c:pt>
                <c:pt idx="10">
                  <c:v>4.1352482769058341E-2</c:v>
                </c:pt>
                <c:pt idx="11">
                  <c:v>4.1352482769058341E-2</c:v>
                </c:pt>
                <c:pt idx="12">
                  <c:v>4.1352482769058341E-2</c:v>
                </c:pt>
                <c:pt idx="13">
                  <c:v>4.1352482769058341E-2</c:v>
                </c:pt>
                <c:pt idx="14">
                  <c:v>4.1352482769058341E-2</c:v>
                </c:pt>
                <c:pt idx="15">
                  <c:v>4.1352482769058341E-2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9-489E-A36C-08BFEAD4A50B}"/>
            </c:ext>
          </c:extLst>
        </c:ser>
        <c:ser>
          <c:idx val="5"/>
          <c:order val="4"/>
          <c:tx>
            <c:strRef>
              <c:f>Setup!$H$50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flat">
              <a:solidFill>
                <a:srgbClr val="FFC000"/>
              </a:solidFill>
              <a:miter lim="800000"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Setup!$B$51:$B$66</c:f>
              <c:strCache>
                <c:ptCount val="16"/>
                <c:pt idx="0">
                  <c:v>L9</c:v>
                </c:pt>
                <c:pt idx="1">
                  <c:v>L10</c:v>
                </c:pt>
                <c:pt idx="2">
                  <c:v>L8</c:v>
                </c:pt>
                <c:pt idx="3">
                  <c:v>L11</c:v>
                </c:pt>
                <c:pt idx="4">
                  <c:v>L13</c:v>
                </c:pt>
                <c:pt idx="5">
                  <c:v>L7</c:v>
                </c:pt>
                <c:pt idx="6">
                  <c:v>L6</c:v>
                </c:pt>
                <c:pt idx="7">
                  <c:v>L5</c:v>
                </c:pt>
                <c:pt idx="8">
                  <c:v>L4</c:v>
                </c:pt>
                <c:pt idx="9">
                  <c:v>L14</c:v>
                </c:pt>
                <c:pt idx="10">
                  <c:v>L15</c:v>
                </c:pt>
                <c:pt idx="11">
                  <c:v>L3</c:v>
                </c:pt>
                <c:pt idx="12">
                  <c:v>L16</c:v>
                </c:pt>
                <c:pt idx="13">
                  <c:v>L2</c:v>
                </c:pt>
                <c:pt idx="14">
                  <c:v>L1</c:v>
                </c:pt>
                <c:pt idx="15">
                  <c:v>L12</c:v>
                </c:pt>
              </c:strCache>
            </c:strRef>
          </c:cat>
          <c:val>
            <c:numRef>
              <c:f>Setup!$H$51:$H$66</c:f>
              <c:numCache>
                <c:formatCode>General</c:formatCode>
                <c:ptCount val="16"/>
                <c:pt idx="0">
                  <c:v>5.670397517230942</c:v>
                </c:pt>
                <c:pt idx="1">
                  <c:v>5.670397517230942</c:v>
                </c:pt>
                <c:pt idx="2">
                  <c:v>5.670397517230942</c:v>
                </c:pt>
                <c:pt idx="3">
                  <c:v>5.670397517230942</c:v>
                </c:pt>
                <c:pt idx="4">
                  <c:v>5.670397517230942</c:v>
                </c:pt>
                <c:pt idx="5">
                  <c:v>5.670397517230942</c:v>
                </c:pt>
                <c:pt idx="6">
                  <c:v>5.670397517230942</c:v>
                </c:pt>
                <c:pt idx="7">
                  <c:v>5.670397517230942</c:v>
                </c:pt>
                <c:pt idx="8">
                  <c:v>5.670397517230942</c:v>
                </c:pt>
                <c:pt idx="9">
                  <c:v>5.670397517230942</c:v>
                </c:pt>
                <c:pt idx="10">
                  <c:v>5.670397517230942</c:v>
                </c:pt>
                <c:pt idx="11">
                  <c:v>5.670397517230942</c:v>
                </c:pt>
                <c:pt idx="12">
                  <c:v>5.670397517230942</c:v>
                </c:pt>
                <c:pt idx="13">
                  <c:v>5.670397517230942</c:v>
                </c:pt>
                <c:pt idx="14">
                  <c:v>5.670397517230942</c:v>
                </c:pt>
                <c:pt idx="15">
                  <c:v>5.670397517230942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A9-489E-A36C-08BFEAD4A50B}"/>
            </c:ext>
          </c:extLst>
        </c:ser>
        <c:ser>
          <c:idx val="6"/>
          <c:order val="5"/>
          <c:tx>
            <c:strRef>
              <c:f>Setup!$I$50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flat">
              <a:solidFill>
                <a:srgbClr val="FF0000"/>
              </a:solidFill>
              <a:miter lim="800000"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Setup!$I$51:$I$66</c:f>
              <c:numCache>
                <c:formatCode>General</c:formatCode>
                <c:ptCount val="16"/>
                <c:pt idx="0">
                  <c:v>7.0776587758464133</c:v>
                </c:pt>
                <c:pt idx="1">
                  <c:v>7.0776587758464133</c:v>
                </c:pt>
                <c:pt idx="2">
                  <c:v>7.0776587758464133</c:v>
                </c:pt>
                <c:pt idx="3">
                  <c:v>7.0776587758464133</c:v>
                </c:pt>
                <c:pt idx="4">
                  <c:v>7.0776587758464133</c:v>
                </c:pt>
                <c:pt idx="5">
                  <c:v>7.0776587758464133</c:v>
                </c:pt>
                <c:pt idx="6">
                  <c:v>7.0776587758464133</c:v>
                </c:pt>
                <c:pt idx="7">
                  <c:v>7.0776587758464133</c:v>
                </c:pt>
                <c:pt idx="8">
                  <c:v>7.0776587758464133</c:v>
                </c:pt>
                <c:pt idx="9">
                  <c:v>7.0776587758464133</c:v>
                </c:pt>
                <c:pt idx="10">
                  <c:v>7.0776587758464133</c:v>
                </c:pt>
                <c:pt idx="11">
                  <c:v>7.0776587758464133</c:v>
                </c:pt>
                <c:pt idx="12">
                  <c:v>7.0776587758464133</c:v>
                </c:pt>
                <c:pt idx="13">
                  <c:v>7.0776587758464133</c:v>
                </c:pt>
                <c:pt idx="14">
                  <c:v>7.0776587758464133</c:v>
                </c:pt>
                <c:pt idx="15">
                  <c:v>7.0776587758464133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5-48DB-B50A-2D735387A738}"/>
            </c:ext>
          </c:extLst>
        </c:ser>
        <c:ser>
          <c:idx val="1"/>
          <c:order val="6"/>
          <c:tx>
            <c:strRef>
              <c:f>Setup!$C$50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663300">
                  <a:alpha val="88627"/>
                </a:srgbClr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Setup!$C$51:$C$66</c:f>
              <c:numCache>
                <c:formatCode>General</c:formatCode>
                <c:ptCount val="16"/>
                <c:pt idx="0">
                  <c:v>2.78</c:v>
                </c:pt>
                <c:pt idx="1">
                  <c:v>3</c:v>
                </c:pt>
                <c:pt idx="2">
                  <c:v>2.4700000000000002</c:v>
                </c:pt>
                <c:pt idx="3">
                  <c:v>3.25</c:v>
                </c:pt>
                <c:pt idx="4">
                  <c:v>3.34</c:v>
                </c:pt>
                <c:pt idx="5">
                  <c:v>2.2599999999999998</c:v>
                </c:pt>
                <c:pt idx="6">
                  <c:v>2.254</c:v>
                </c:pt>
                <c:pt idx="7">
                  <c:v>2.25</c:v>
                </c:pt>
                <c:pt idx="8">
                  <c:v>2</c:v>
                </c:pt>
                <c:pt idx="9">
                  <c:v>4.16</c:v>
                </c:pt>
                <c:pt idx="10">
                  <c:v>4.33</c:v>
                </c:pt>
                <c:pt idx="11">
                  <c:v>1.36</c:v>
                </c:pt>
                <c:pt idx="12">
                  <c:v>4.58</c:v>
                </c:pt>
                <c:pt idx="13">
                  <c:v>1.1000000000000001</c:v>
                </c:pt>
                <c:pt idx="14">
                  <c:v>0.56000000000000005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5-48DB-B50A-2D735387A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807679"/>
        <c:axId val="1679812255"/>
      </c:lineChart>
      <c:valAx>
        <c:axId val="1679812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07679"/>
        <c:crosses val="max"/>
        <c:crossBetween val="between"/>
      </c:valAx>
      <c:catAx>
        <c:axId val="1679807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12255"/>
        <c:crossesAt val="-2"/>
        <c:auto val="1"/>
        <c:lblAlgn val="ctr"/>
        <c:lblOffset val="100"/>
        <c:noMultiLvlLbl val="0"/>
      </c:catAx>
      <c:valAx>
        <c:axId val="1679815167"/>
        <c:scaling>
          <c:orientation val="minMax"/>
          <c:max val="3"/>
          <c:min val="-3"/>
        </c:scaling>
        <c:delete val="0"/>
        <c:axPos val="l"/>
        <c:majorGridlines>
          <c:spPr>
            <a:ln w="3175" cap="flat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13087"/>
        <c:crosses val="autoZero"/>
        <c:crossBetween val="between"/>
      </c:valAx>
      <c:catAx>
        <c:axId val="1679813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815167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rgbClr val="12461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Normal Distribution of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166846955632144"/>
          <c:y val="0.25609878310665712"/>
          <c:w val="0.80991504760129818"/>
          <c:h val="0.60603555237413509"/>
        </c:manualLayout>
      </c:layout>
      <c:lineChart>
        <c:grouping val="standard"/>
        <c:varyColors val="0"/>
        <c:ser>
          <c:idx val="0"/>
          <c:order val="0"/>
          <c:tx>
            <c:strRef>
              <c:f>Setup!$O$50</c:f>
              <c:strCache>
                <c:ptCount val="1"/>
                <c:pt idx="0">
                  <c:v>ND Ordered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flat">
                <a:solidFill>
                  <a:srgbClr val="FF0000"/>
                </a:solidFill>
                <a:prstDash val="solid"/>
                <a:miter lim="800000"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trendlineType val="movingAvg"/>
            <c:period val="2"/>
            <c:dispRSqr val="0"/>
            <c:dispEq val="0"/>
          </c:trendline>
          <c:val>
            <c:numRef>
              <c:f>Setup!$O$51:$O$66</c:f>
              <c:numCache>
                <c:formatCode>General</c:formatCode>
                <c:ptCount val="16"/>
                <c:pt idx="0">
                  <c:v>7.4915315507972341E-2</c:v>
                </c:pt>
                <c:pt idx="1">
                  <c:v>0.13015974580840028</c:v>
                </c:pt>
                <c:pt idx="2">
                  <c:v>0.16113134222609582</c:v>
                </c:pt>
                <c:pt idx="3">
                  <c:v>0.23562154250918557</c:v>
                </c:pt>
                <c:pt idx="4">
                  <c:v>0.25839545326576296</c:v>
                </c:pt>
                <c:pt idx="5">
                  <c:v>0.25871081379067662</c:v>
                </c:pt>
                <c:pt idx="6">
                  <c:v>0.25918065013486608</c:v>
                </c:pt>
                <c:pt idx="7">
                  <c:v>0.27302891568911603</c:v>
                </c:pt>
                <c:pt idx="8">
                  <c:v>0.28307667299569828</c:v>
                </c:pt>
                <c:pt idx="9">
                  <c:v>0.28200558036897361</c:v>
                </c:pt>
                <c:pt idx="10">
                  <c:v>0.27258568993445781</c:v>
                </c:pt>
                <c:pt idx="11">
                  <c:v>0.267199793469036</c:v>
                </c:pt>
                <c:pt idx="12">
                  <c:v>0.18452303824839356</c:v>
                </c:pt>
                <c:pt idx="13">
                  <c:v>0.16378083424975967</c:v>
                </c:pt>
                <c:pt idx="14">
                  <c:v>0.13384181418541113</c:v>
                </c:pt>
                <c:pt idx="15">
                  <c:v>2.3366694985369748E-2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A-4C5E-BE59-21A006BD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750543"/>
        <c:axId val="1689740143"/>
      </c:lineChart>
      <c:valAx>
        <c:axId val="16897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9750543"/>
        <c:crosses val="autoZero"/>
        <c:crossBetween val="between"/>
      </c:valAx>
      <c:catAx>
        <c:axId val="1689750543"/>
        <c:scaling>
          <c:orientation val="minMax"/>
        </c:scaling>
        <c:delete val="1"/>
        <c:axPos val="b"/>
        <c:majorTickMark val="out"/>
        <c:minorTickMark val="none"/>
        <c:tickLblPos val="nextTo"/>
        <c:crossAx val="1689740143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12461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Statistical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6247622803018168E-2"/>
          <c:y val="0.12488215488215489"/>
          <c:w val="0.93079984720219833"/>
          <c:h val="0.779036154512099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Setup!$D$100</c:f>
              <c:strCache>
                <c:ptCount val="1"/>
                <c:pt idx="0">
                  <c:v>z-score</c:v>
                </c:pt>
              </c:strCache>
            </c:strRef>
          </c:tx>
          <c:spPr>
            <a:solidFill>
              <a:schemeClr val="bg2">
                <a:lumMod val="50000"/>
                <a:alpha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Setup!$B$101:$B$116</c:f>
              <c:strCache>
                <c:ptCount val="16"/>
                <c:pt idx="0">
                  <c:v>L1</c:v>
                </c:pt>
                <c:pt idx="1">
                  <c:v>L6</c:v>
                </c:pt>
                <c:pt idx="2">
                  <c:v>L2</c:v>
                </c:pt>
                <c:pt idx="3">
                  <c:v>L4</c:v>
                </c:pt>
                <c:pt idx="4">
                  <c:v>L3</c:v>
                </c:pt>
                <c:pt idx="5">
                  <c:v>L11</c:v>
                </c:pt>
                <c:pt idx="6">
                  <c:v>L13</c:v>
                </c:pt>
                <c:pt idx="7">
                  <c:v>L5</c:v>
                </c:pt>
                <c:pt idx="8">
                  <c:v>L15</c:v>
                </c:pt>
                <c:pt idx="9">
                  <c:v>L9</c:v>
                </c:pt>
                <c:pt idx="10">
                  <c:v>L10</c:v>
                </c:pt>
                <c:pt idx="11">
                  <c:v>L14</c:v>
                </c:pt>
                <c:pt idx="12">
                  <c:v>L7</c:v>
                </c:pt>
                <c:pt idx="13">
                  <c:v>L16</c:v>
                </c:pt>
                <c:pt idx="14">
                  <c:v>L8</c:v>
                </c:pt>
                <c:pt idx="15">
                  <c:v>L12</c:v>
                </c:pt>
              </c:strCache>
            </c:strRef>
          </c:cat>
          <c:val>
            <c:numRef>
              <c:f>Setup!$D$101:$D$116</c:f>
              <c:numCache>
                <c:formatCode>General</c:formatCode>
                <c:ptCount val="16"/>
                <c:pt idx="0">
                  <c:v>2.2983327604613701E-2</c:v>
                </c:pt>
                <c:pt idx="1">
                  <c:v>3.2789547382582218E-2</c:v>
                </c:pt>
                <c:pt idx="2">
                  <c:v>4.2595767160550739E-2</c:v>
                </c:pt>
                <c:pt idx="3">
                  <c:v>9.1626866050393121E-2</c:v>
                </c:pt>
                <c:pt idx="4">
                  <c:v>-0.10449752950897706</c:v>
                </c:pt>
                <c:pt idx="5">
                  <c:v>-0.13391618884288262</c:v>
                </c:pt>
                <c:pt idx="6">
                  <c:v>0.31716992094366886</c:v>
                </c:pt>
                <c:pt idx="7">
                  <c:v>-0.32513747451326858</c:v>
                </c:pt>
                <c:pt idx="8">
                  <c:v>0.48387565716913372</c:v>
                </c:pt>
                <c:pt idx="9">
                  <c:v>-0.50164943051670174</c:v>
                </c:pt>
                <c:pt idx="10">
                  <c:v>-0.63403339751927668</c:v>
                </c:pt>
                <c:pt idx="11">
                  <c:v>0.69961249228444078</c:v>
                </c:pt>
                <c:pt idx="12">
                  <c:v>-0.73209559529896184</c:v>
                </c:pt>
                <c:pt idx="13">
                  <c:v>-0.8301577930786469</c:v>
                </c:pt>
                <c:pt idx="14">
                  <c:v>-1.5509149467593324</c:v>
                </c:pt>
                <c:pt idx="15">
                  <c:v>3.1217487774426633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0-4656-84C7-9CA7EFC5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3"/>
        <c:overlap val="100"/>
        <c:axId val="1679813087"/>
        <c:axId val="1679815167"/>
      </c:barChart>
      <c:lineChart>
        <c:grouping val="standard"/>
        <c:varyColors val="0"/>
        <c:ser>
          <c:idx val="2"/>
          <c:order val="1"/>
          <c:tx>
            <c:strRef>
              <c:f>Setup!$E$100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flat">
              <a:solidFill>
                <a:schemeClr val="accent1">
                  <a:lumMod val="75000"/>
                </a:schemeClr>
              </a:solidFill>
              <a:miter lim="800000"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Setup!$B$101:$B$116</c:f>
              <c:strCache>
                <c:ptCount val="16"/>
                <c:pt idx="0">
                  <c:v>L1</c:v>
                </c:pt>
                <c:pt idx="1">
                  <c:v>L6</c:v>
                </c:pt>
                <c:pt idx="2">
                  <c:v>L2</c:v>
                </c:pt>
                <c:pt idx="3">
                  <c:v>L4</c:v>
                </c:pt>
                <c:pt idx="4">
                  <c:v>L3</c:v>
                </c:pt>
                <c:pt idx="5">
                  <c:v>L11</c:v>
                </c:pt>
                <c:pt idx="6">
                  <c:v>L13</c:v>
                </c:pt>
                <c:pt idx="7">
                  <c:v>L5</c:v>
                </c:pt>
                <c:pt idx="8">
                  <c:v>L15</c:v>
                </c:pt>
                <c:pt idx="9">
                  <c:v>L9</c:v>
                </c:pt>
                <c:pt idx="10">
                  <c:v>L10</c:v>
                </c:pt>
                <c:pt idx="11">
                  <c:v>L14</c:v>
                </c:pt>
                <c:pt idx="12">
                  <c:v>L7</c:v>
                </c:pt>
                <c:pt idx="13">
                  <c:v>L16</c:v>
                </c:pt>
                <c:pt idx="14">
                  <c:v>L8</c:v>
                </c:pt>
                <c:pt idx="15">
                  <c:v>L12</c:v>
                </c:pt>
              </c:strCache>
            </c:strRef>
          </c:cat>
          <c:val>
            <c:numRef>
              <c:f>Setup!$E$101:$E$116</c:f>
              <c:numCache>
                <c:formatCode>General</c:formatCode>
                <c:ptCount val="16"/>
                <c:pt idx="0">
                  <c:v>2.6331250000000002</c:v>
                </c:pt>
                <c:pt idx="1">
                  <c:v>2.6331250000000002</c:v>
                </c:pt>
                <c:pt idx="2">
                  <c:v>2.6331250000000002</c:v>
                </c:pt>
                <c:pt idx="3">
                  <c:v>2.6331250000000002</c:v>
                </c:pt>
                <c:pt idx="4">
                  <c:v>2.6331250000000002</c:v>
                </c:pt>
                <c:pt idx="5">
                  <c:v>2.6331250000000002</c:v>
                </c:pt>
                <c:pt idx="6">
                  <c:v>2.6331250000000002</c:v>
                </c:pt>
                <c:pt idx="7">
                  <c:v>2.6331250000000002</c:v>
                </c:pt>
                <c:pt idx="8">
                  <c:v>2.6331250000000002</c:v>
                </c:pt>
                <c:pt idx="9">
                  <c:v>2.6331250000000002</c:v>
                </c:pt>
                <c:pt idx="10">
                  <c:v>2.6331250000000002</c:v>
                </c:pt>
                <c:pt idx="11">
                  <c:v>2.6331250000000002</c:v>
                </c:pt>
                <c:pt idx="12">
                  <c:v>2.6331250000000002</c:v>
                </c:pt>
                <c:pt idx="13">
                  <c:v>2.6331250000000002</c:v>
                </c:pt>
                <c:pt idx="14">
                  <c:v>2.6331250000000002</c:v>
                </c:pt>
                <c:pt idx="15">
                  <c:v>2.6331250000000002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0-4656-84C7-9CA7EFC5F826}"/>
            </c:ext>
          </c:extLst>
        </c:ser>
        <c:ser>
          <c:idx val="3"/>
          <c:order val="2"/>
          <c:tx>
            <c:strRef>
              <c:f>Setup!$F$100</c:f>
              <c:strCache>
                <c:ptCount val="1"/>
                <c:pt idx="0">
                  <c:v>-d3</c:v>
                </c:pt>
              </c:strCache>
            </c:strRef>
          </c:tx>
          <c:spPr>
            <a:ln w="28575" cap="flat">
              <a:solidFill>
                <a:srgbClr val="FF0000"/>
              </a:solidFill>
              <a:miter lim="800000"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Setup!$B$101:$B$116</c:f>
              <c:strCache>
                <c:ptCount val="16"/>
                <c:pt idx="0">
                  <c:v>L1</c:v>
                </c:pt>
                <c:pt idx="1">
                  <c:v>L6</c:v>
                </c:pt>
                <c:pt idx="2">
                  <c:v>L2</c:v>
                </c:pt>
                <c:pt idx="3">
                  <c:v>L4</c:v>
                </c:pt>
                <c:pt idx="4">
                  <c:v>L3</c:v>
                </c:pt>
                <c:pt idx="5">
                  <c:v>L11</c:v>
                </c:pt>
                <c:pt idx="6">
                  <c:v>L13</c:v>
                </c:pt>
                <c:pt idx="7">
                  <c:v>L5</c:v>
                </c:pt>
                <c:pt idx="8">
                  <c:v>L15</c:v>
                </c:pt>
                <c:pt idx="9">
                  <c:v>L9</c:v>
                </c:pt>
                <c:pt idx="10">
                  <c:v>L10</c:v>
                </c:pt>
                <c:pt idx="11">
                  <c:v>L14</c:v>
                </c:pt>
                <c:pt idx="12">
                  <c:v>L7</c:v>
                </c:pt>
                <c:pt idx="13">
                  <c:v>L16</c:v>
                </c:pt>
                <c:pt idx="14">
                  <c:v>L8</c:v>
                </c:pt>
                <c:pt idx="15">
                  <c:v>L12</c:v>
                </c:pt>
              </c:strCache>
            </c:strRef>
          </c:cat>
          <c:val>
            <c:numRef>
              <c:f>Setup!$F$101:$F$116</c:f>
              <c:numCache>
                <c:formatCode>General</c:formatCode>
                <c:ptCount val="16"/>
                <c:pt idx="0">
                  <c:v>-3.48544070202527</c:v>
                </c:pt>
                <c:pt idx="1">
                  <c:v>-3.48544070202527</c:v>
                </c:pt>
                <c:pt idx="2">
                  <c:v>-3.48544070202527</c:v>
                </c:pt>
                <c:pt idx="3">
                  <c:v>-3.48544070202527</c:v>
                </c:pt>
                <c:pt idx="4">
                  <c:v>-3.48544070202527</c:v>
                </c:pt>
                <c:pt idx="5">
                  <c:v>-3.48544070202527</c:v>
                </c:pt>
                <c:pt idx="6">
                  <c:v>-3.48544070202527</c:v>
                </c:pt>
                <c:pt idx="7">
                  <c:v>-3.48544070202527</c:v>
                </c:pt>
                <c:pt idx="8">
                  <c:v>-3.48544070202527</c:v>
                </c:pt>
                <c:pt idx="9">
                  <c:v>-3.48544070202527</c:v>
                </c:pt>
                <c:pt idx="10">
                  <c:v>-3.48544070202527</c:v>
                </c:pt>
                <c:pt idx="11">
                  <c:v>-3.48544070202527</c:v>
                </c:pt>
                <c:pt idx="12">
                  <c:v>-3.48544070202527</c:v>
                </c:pt>
                <c:pt idx="13">
                  <c:v>-3.48544070202527</c:v>
                </c:pt>
                <c:pt idx="14">
                  <c:v>-3.48544070202527</c:v>
                </c:pt>
                <c:pt idx="15">
                  <c:v>-3.48544070202527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0-4656-84C7-9CA7EFC5F826}"/>
            </c:ext>
          </c:extLst>
        </c:ser>
        <c:ser>
          <c:idx val="4"/>
          <c:order val="3"/>
          <c:tx>
            <c:strRef>
              <c:f>Setup!$G$100</c:f>
              <c:strCache>
                <c:ptCount val="1"/>
                <c:pt idx="0">
                  <c:v>-d2</c:v>
                </c:pt>
              </c:strCache>
            </c:strRef>
          </c:tx>
          <c:spPr>
            <a:ln w="28575" cap="flat">
              <a:solidFill>
                <a:schemeClr val="accent4"/>
              </a:solidFill>
              <a:miter lim="800000"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Setup!$B$101:$B$116</c:f>
              <c:strCache>
                <c:ptCount val="16"/>
                <c:pt idx="0">
                  <c:v>L1</c:v>
                </c:pt>
                <c:pt idx="1">
                  <c:v>L6</c:v>
                </c:pt>
                <c:pt idx="2">
                  <c:v>L2</c:v>
                </c:pt>
                <c:pt idx="3">
                  <c:v>L4</c:v>
                </c:pt>
                <c:pt idx="4">
                  <c:v>L3</c:v>
                </c:pt>
                <c:pt idx="5">
                  <c:v>L11</c:v>
                </c:pt>
                <c:pt idx="6">
                  <c:v>L13</c:v>
                </c:pt>
                <c:pt idx="7">
                  <c:v>L5</c:v>
                </c:pt>
                <c:pt idx="8">
                  <c:v>L15</c:v>
                </c:pt>
                <c:pt idx="9">
                  <c:v>L9</c:v>
                </c:pt>
                <c:pt idx="10">
                  <c:v>L10</c:v>
                </c:pt>
                <c:pt idx="11">
                  <c:v>L14</c:v>
                </c:pt>
                <c:pt idx="12">
                  <c:v>L7</c:v>
                </c:pt>
                <c:pt idx="13">
                  <c:v>L16</c:v>
                </c:pt>
                <c:pt idx="14">
                  <c:v>L8</c:v>
                </c:pt>
                <c:pt idx="15">
                  <c:v>L12</c:v>
                </c:pt>
              </c:strCache>
            </c:strRef>
          </c:cat>
          <c:val>
            <c:numRef>
              <c:f>Setup!$G$101:$G$116</c:f>
              <c:numCache>
                <c:formatCode>General</c:formatCode>
                <c:ptCount val="16"/>
                <c:pt idx="0">
                  <c:v>-1.4459188013501802</c:v>
                </c:pt>
                <c:pt idx="1">
                  <c:v>-1.4459188013501802</c:v>
                </c:pt>
                <c:pt idx="2">
                  <c:v>-1.4459188013501802</c:v>
                </c:pt>
                <c:pt idx="3">
                  <c:v>-1.4459188013501802</c:v>
                </c:pt>
                <c:pt idx="4">
                  <c:v>-1.4459188013501802</c:v>
                </c:pt>
                <c:pt idx="5">
                  <c:v>-1.4459188013501802</c:v>
                </c:pt>
                <c:pt idx="6">
                  <c:v>-1.4459188013501802</c:v>
                </c:pt>
                <c:pt idx="7">
                  <c:v>-1.4459188013501802</c:v>
                </c:pt>
                <c:pt idx="8">
                  <c:v>-1.4459188013501802</c:v>
                </c:pt>
                <c:pt idx="9">
                  <c:v>-1.4459188013501802</c:v>
                </c:pt>
                <c:pt idx="10">
                  <c:v>-1.4459188013501802</c:v>
                </c:pt>
                <c:pt idx="11">
                  <c:v>-1.4459188013501802</c:v>
                </c:pt>
                <c:pt idx="12">
                  <c:v>-1.4459188013501802</c:v>
                </c:pt>
                <c:pt idx="13">
                  <c:v>-1.4459188013501802</c:v>
                </c:pt>
                <c:pt idx="14">
                  <c:v>-1.4459188013501802</c:v>
                </c:pt>
                <c:pt idx="15">
                  <c:v>-1.4459188013501802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0-4656-84C7-9CA7EFC5F826}"/>
            </c:ext>
          </c:extLst>
        </c:ser>
        <c:ser>
          <c:idx val="5"/>
          <c:order val="4"/>
          <c:tx>
            <c:strRef>
              <c:f>Setup!$H$100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flat">
              <a:solidFill>
                <a:schemeClr val="accent4"/>
              </a:solidFill>
              <a:miter lim="800000"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Setup!$B$101:$B$116</c:f>
              <c:strCache>
                <c:ptCount val="16"/>
                <c:pt idx="0">
                  <c:v>L1</c:v>
                </c:pt>
                <c:pt idx="1">
                  <c:v>L6</c:v>
                </c:pt>
                <c:pt idx="2">
                  <c:v>L2</c:v>
                </c:pt>
                <c:pt idx="3">
                  <c:v>L4</c:v>
                </c:pt>
                <c:pt idx="4">
                  <c:v>L3</c:v>
                </c:pt>
                <c:pt idx="5">
                  <c:v>L11</c:v>
                </c:pt>
                <c:pt idx="6">
                  <c:v>L13</c:v>
                </c:pt>
                <c:pt idx="7">
                  <c:v>L5</c:v>
                </c:pt>
                <c:pt idx="8">
                  <c:v>L15</c:v>
                </c:pt>
                <c:pt idx="9">
                  <c:v>L9</c:v>
                </c:pt>
                <c:pt idx="10">
                  <c:v>L10</c:v>
                </c:pt>
                <c:pt idx="11">
                  <c:v>L14</c:v>
                </c:pt>
                <c:pt idx="12">
                  <c:v>L7</c:v>
                </c:pt>
                <c:pt idx="13">
                  <c:v>L16</c:v>
                </c:pt>
                <c:pt idx="14">
                  <c:v>L8</c:v>
                </c:pt>
                <c:pt idx="15">
                  <c:v>L12</c:v>
                </c:pt>
              </c:strCache>
            </c:strRef>
          </c:cat>
          <c:val>
            <c:numRef>
              <c:f>Setup!$H$101:$H$116</c:f>
              <c:numCache>
                <c:formatCode>General</c:formatCode>
                <c:ptCount val="16"/>
                <c:pt idx="0">
                  <c:v>6.712168801350181</c:v>
                </c:pt>
                <c:pt idx="1">
                  <c:v>6.712168801350181</c:v>
                </c:pt>
                <c:pt idx="2">
                  <c:v>6.712168801350181</c:v>
                </c:pt>
                <c:pt idx="3">
                  <c:v>6.712168801350181</c:v>
                </c:pt>
                <c:pt idx="4">
                  <c:v>6.712168801350181</c:v>
                </c:pt>
                <c:pt idx="5">
                  <c:v>6.712168801350181</c:v>
                </c:pt>
                <c:pt idx="6">
                  <c:v>6.712168801350181</c:v>
                </c:pt>
                <c:pt idx="7">
                  <c:v>6.712168801350181</c:v>
                </c:pt>
                <c:pt idx="8">
                  <c:v>6.712168801350181</c:v>
                </c:pt>
                <c:pt idx="9">
                  <c:v>6.712168801350181</c:v>
                </c:pt>
                <c:pt idx="10">
                  <c:v>6.712168801350181</c:v>
                </c:pt>
                <c:pt idx="11">
                  <c:v>6.712168801350181</c:v>
                </c:pt>
                <c:pt idx="12">
                  <c:v>6.712168801350181</c:v>
                </c:pt>
                <c:pt idx="13">
                  <c:v>6.712168801350181</c:v>
                </c:pt>
                <c:pt idx="14">
                  <c:v>6.712168801350181</c:v>
                </c:pt>
                <c:pt idx="15">
                  <c:v>6.712168801350181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0-4656-84C7-9CA7EFC5F826}"/>
            </c:ext>
          </c:extLst>
        </c:ser>
        <c:ser>
          <c:idx val="6"/>
          <c:order val="5"/>
          <c:tx>
            <c:strRef>
              <c:f>Setup!$I$100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flat">
              <a:solidFill>
                <a:srgbClr val="FF0000"/>
              </a:solidFill>
              <a:miter lim="800000"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Setup!$B$101:$B$116</c:f>
              <c:strCache>
                <c:ptCount val="16"/>
                <c:pt idx="0">
                  <c:v>L1</c:v>
                </c:pt>
                <c:pt idx="1">
                  <c:v>L6</c:v>
                </c:pt>
                <c:pt idx="2">
                  <c:v>L2</c:v>
                </c:pt>
                <c:pt idx="3">
                  <c:v>L4</c:v>
                </c:pt>
                <c:pt idx="4">
                  <c:v>L3</c:v>
                </c:pt>
                <c:pt idx="5">
                  <c:v>L11</c:v>
                </c:pt>
                <c:pt idx="6">
                  <c:v>L13</c:v>
                </c:pt>
                <c:pt idx="7">
                  <c:v>L5</c:v>
                </c:pt>
                <c:pt idx="8">
                  <c:v>L15</c:v>
                </c:pt>
                <c:pt idx="9">
                  <c:v>L9</c:v>
                </c:pt>
                <c:pt idx="10">
                  <c:v>L10</c:v>
                </c:pt>
                <c:pt idx="11">
                  <c:v>L14</c:v>
                </c:pt>
                <c:pt idx="12">
                  <c:v>L7</c:v>
                </c:pt>
                <c:pt idx="13">
                  <c:v>L16</c:v>
                </c:pt>
                <c:pt idx="14">
                  <c:v>L8</c:v>
                </c:pt>
                <c:pt idx="15">
                  <c:v>L12</c:v>
                </c:pt>
              </c:strCache>
            </c:strRef>
          </c:cat>
          <c:val>
            <c:numRef>
              <c:f>Setup!$I$101:$I$116</c:f>
              <c:numCache>
                <c:formatCode>General</c:formatCode>
                <c:ptCount val="16"/>
                <c:pt idx="0">
                  <c:v>8.7516907020252699</c:v>
                </c:pt>
                <c:pt idx="1">
                  <c:v>8.7516907020252699</c:v>
                </c:pt>
                <c:pt idx="2">
                  <c:v>8.7516907020252699</c:v>
                </c:pt>
                <c:pt idx="3">
                  <c:v>8.7516907020252699</c:v>
                </c:pt>
                <c:pt idx="4">
                  <c:v>8.7516907020252699</c:v>
                </c:pt>
                <c:pt idx="5">
                  <c:v>8.7516907020252699</c:v>
                </c:pt>
                <c:pt idx="6">
                  <c:v>8.7516907020252699</c:v>
                </c:pt>
                <c:pt idx="7">
                  <c:v>8.7516907020252699</c:v>
                </c:pt>
                <c:pt idx="8">
                  <c:v>8.7516907020252699</c:v>
                </c:pt>
                <c:pt idx="9">
                  <c:v>8.7516907020252699</c:v>
                </c:pt>
                <c:pt idx="10">
                  <c:v>8.7516907020252699</c:v>
                </c:pt>
                <c:pt idx="11">
                  <c:v>8.7516907020252699</c:v>
                </c:pt>
                <c:pt idx="12">
                  <c:v>8.7516907020252699</c:v>
                </c:pt>
                <c:pt idx="13">
                  <c:v>8.7516907020252699</c:v>
                </c:pt>
                <c:pt idx="14">
                  <c:v>8.7516907020252699</c:v>
                </c:pt>
                <c:pt idx="15">
                  <c:v>8.7516907020252699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0-4656-84C7-9CA7EFC5F826}"/>
            </c:ext>
          </c:extLst>
        </c:ser>
        <c:ser>
          <c:idx val="1"/>
          <c:order val="6"/>
          <c:tx>
            <c:strRef>
              <c:f>Setup!$C$100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663300"/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Setup!$B$101:$B$116</c:f>
              <c:strCache>
                <c:ptCount val="16"/>
                <c:pt idx="0">
                  <c:v>L1</c:v>
                </c:pt>
                <c:pt idx="1">
                  <c:v>L6</c:v>
                </c:pt>
                <c:pt idx="2">
                  <c:v>L2</c:v>
                </c:pt>
                <c:pt idx="3">
                  <c:v>L4</c:v>
                </c:pt>
                <c:pt idx="4">
                  <c:v>L3</c:v>
                </c:pt>
                <c:pt idx="5">
                  <c:v>L11</c:v>
                </c:pt>
                <c:pt idx="6">
                  <c:v>L13</c:v>
                </c:pt>
                <c:pt idx="7">
                  <c:v>L5</c:v>
                </c:pt>
                <c:pt idx="8">
                  <c:v>L15</c:v>
                </c:pt>
                <c:pt idx="9">
                  <c:v>L9</c:v>
                </c:pt>
                <c:pt idx="10">
                  <c:v>L10</c:v>
                </c:pt>
                <c:pt idx="11">
                  <c:v>L14</c:v>
                </c:pt>
                <c:pt idx="12">
                  <c:v>L7</c:v>
                </c:pt>
                <c:pt idx="13">
                  <c:v>L16</c:v>
                </c:pt>
                <c:pt idx="14">
                  <c:v>L8</c:v>
                </c:pt>
                <c:pt idx="15">
                  <c:v>L12</c:v>
                </c:pt>
              </c:strCache>
            </c:strRef>
          </c:cat>
          <c:val>
            <c:numRef>
              <c:f>Setup!$C$101:$C$116</c:f>
              <c:numCache>
                <c:formatCode>General</c:formatCode>
                <c:ptCount val="16"/>
                <c:pt idx="0">
                  <c:v>2.68</c:v>
                </c:pt>
                <c:pt idx="1">
                  <c:v>2.7</c:v>
                </c:pt>
                <c:pt idx="2">
                  <c:v>2.72</c:v>
                </c:pt>
                <c:pt idx="3">
                  <c:v>2.82</c:v>
                </c:pt>
                <c:pt idx="4">
                  <c:v>2.42</c:v>
                </c:pt>
                <c:pt idx="5">
                  <c:v>2.36</c:v>
                </c:pt>
                <c:pt idx="6">
                  <c:v>3.28</c:v>
                </c:pt>
                <c:pt idx="7">
                  <c:v>1.97</c:v>
                </c:pt>
                <c:pt idx="8">
                  <c:v>3.62</c:v>
                </c:pt>
                <c:pt idx="9">
                  <c:v>1.61</c:v>
                </c:pt>
                <c:pt idx="10">
                  <c:v>1.34</c:v>
                </c:pt>
                <c:pt idx="11">
                  <c:v>4.0599999999999996</c:v>
                </c:pt>
                <c:pt idx="12">
                  <c:v>1.1399999999999999</c:v>
                </c:pt>
                <c:pt idx="13">
                  <c:v>0.94</c:v>
                </c:pt>
                <c:pt idx="14">
                  <c:v>-0.53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50-4656-84C7-9CA7EFC5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807679"/>
        <c:axId val="1679812255"/>
      </c:lineChart>
      <c:valAx>
        <c:axId val="1679812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07679"/>
        <c:crosses val="max"/>
        <c:crossBetween val="between"/>
      </c:valAx>
      <c:catAx>
        <c:axId val="1679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12255"/>
        <c:crossesAt val="-2"/>
        <c:auto val="1"/>
        <c:lblAlgn val="ctr"/>
        <c:lblOffset val="100"/>
        <c:noMultiLvlLbl val="0"/>
      </c:catAx>
      <c:valAx>
        <c:axId val="1679815167"/>
        <c:scaling>
          <c:orientation val="minMax"/>
          <c:max val="3"/>
          <c:min val="-3"/>
        </c:scaling>
        <c:delete val="0"/>
        <c:axPos val="l"/>
        <c:majorGridlines>
          <c:spPr>
            <a:ln w="3175" cap="flat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13087"/>
        <c:crosses val="autoZero"/>
        <c:crossBetween val="between"/>
      </c:valAx>
      <c:catAx>
        <c:axId val="167981308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679815167"/>
        <c:crosses val="max"/>
        <c:auto val="1"/>
        <c:lblAlgn val="ctr"/>
        <c:lblOffset val="100"/>
        <c:noMultiLvlLbl val="0"/>
      </c:cat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rgbClr val="12461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Normal Distribution of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166846955632144"/>
          <c:y val="0.25609878310665712"/>
          <c:w val="0.80597027442575597"/>
          <c:h val="0.60603555237413509"/>
        </c:manualLayout>
      </c:layout>
      <c:lineChart>
        <c:grouping val="standard"/>
        <c:varyColors val="0"/>
        <c:ser>
          <c:idx val="0"/>
          <c:order val="0"/>
          <c:tx>
            <c:strRef>
              <c:f>Setup!$O$100</c:f>
              <c:strCache>
                <c:ptCount val="1"/>
                <c:pt idx="0">
                  <c:v>ND Ordered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flat">
                <a:solidFill>
                  <a:srgbClr val="FF0000"/>
                </a:solidFill>
                <a:prstDash val="solid"/>
                <a:miter lim="800000"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trendlineType val="movingAvg"/>
            <c:period val="2"/>
            <c:dispRSqr val="0"/>
            <c:dispEq val="0"/>
          </c:trendline>
          <c:val>
            <c:numRef>
              <c:f>Setup!$O$101:$O$116</c:f>
              <c:numCache>
                <c:formatCode>General</c:formatCode>
                <c:ptCount val="16"/>
                <c:pt idx="0">
                  <c:v>5.8758318927256435E-2</c:v>
                </c:pt>
                <c:pt idx="1">
                  <c:v>0.13859005724008733</c:v>
                </c:pt>
                <c:pt idx="2">
                  <c:v>0.14962308235790975</c:v>
                </c:pt>
                <c:pt idx="3">
                  <c:v>0.15998853448825415</c:v>
                </c:pt>
                <c:pt idx="4">
                  <c:v>0.17247895900237389</c:v>
                </c:pt>
                <c:pt idx="5">
                  <c:v>0.185535110512315</c:v>
                </c:pt>
                <c:pt idx="6">
                  <c:v>0.19385967158614451</c:v>
                </c:pt>
                <c:pt idx="7">
                  <c:v>0.19454071270338877</c:v>
                </c:pt>
                <c:pt idx="8">
                  <c:v>0.19555412808984723</c:v>
                </c:pt>
                <c:pt idx="9">
                  <c:v>0.1955006590645478</c:v>
                </c:pt>
                <c:pt idx="10">
                  <c:v>0.19542841097894501</c:v>
                </c:pt>
                <c:pt idx="11">
                  <c:v>0.19478640251963925</c:v>
                </c:pt>
                <c:pt idx="12">
                  <c:v>0.1860104673912823</c:v>
                </c:pt>
                <c:pt idx="13">
                  <c:v>0.17399620732639715</c:v>
                </c:pt>
                <c:pt idx="14">
                  <c:v>0.15314305860961835</c:v>
                </c:pt>
                <c:pt idx="15">
                  <c:v>1.4969708202106939E-3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0-403C-A358-DA0F59E2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750543"/>
        <c:axId val="1689740143"/>
      </c:lineChart>
      <c:valAx>
        <c:axId val="16897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9750543"/>
        <c:crosses val="autoZero"/>
        <c:crossBetween val="between"/>
      </c:valAx>
      <c:catAx>
        <c:axId val="1689750543"/>
        <c:scaling>
          <c:orientation val="minMax"/>
        </c:scaling>
        <c:delete val="1"/>
        <c:axPos val="b"/>
        <c:majorTickMark val="out"/>
        <c:minorTickMark val="none"/>
        <c:tickLblPos val="nextTo"/>
        <c:crossAx val="1689740143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12461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Hoja1!$F$45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Hoja1!$F$46:$F$62</c:f>
              <c:numCache>
                <c:formatCode>General</c:formatCode>
                <c:ptCount val="17"/>
                <c:pt idx="0">
                  <c:v>3.024</c:v>
                </c:pt>
                <c:pt idx="1">
                  <c:v>3.024</c:v>
                </c:pt>
                <c:pt idx="2">
                  <c:v>3.024</c:v>
                </c:pt>
                <c:pt idx="3">
                  <c:v>3.024</c:v>
                </c:pt>
                <c:pt idx="4">
                  <c:v>3.024</c:v>
                </c:pt>
                <c:pt idx="5">
                  <c:v>3.024</c:v>
                </c:pt>
                <c:pt idx="6">
                  <c:v>3.024</c:v>
                </c:pt>
                <c:pt idx="7">
                  <c:v>3.024</c:v>
                </c:pt>
                <c:pt idx="8">
                  <c:v>3.024</c:v>
                </c:pt>
                <c:pt idx="9">
                  <c:v>3.024</c:v>
                </c:pt>
                <c:pt idx="10">
                  <c:v>3.024</c:v>
                </c:pt>
                <c:pt idx="11">
                  <c:v>3.024</c:v>
                </c:pt>
                <c:pt idx="12">
                  <c:v>3.024</c:v>
                </c:pt>
                <c:pt idx="13">
                  <c:v>3.024</c:v>
                </c:pt>
                <c:pt idx="14">
                  <c:v>3.024</c:v>
                </c:pt>
                <c:pt idx="15">
                  <c:v>3.024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A7A-B777-DD482F82596E}"/>
            </c:ext>
          </c:extLst>
        </c:ser>
        <c:ser>
          <c:idx val="1"/>
          <c:order val="1"/>
          <c:tx>
            <c:strRef>
              <c:f>Hoja1!$G$45</c:f>
              <c:strCache>
                <c:ptCount val="1"/>
                <c:pt idx="0">
                  <c:v>-d3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Hoja1!$G$46:$G$62</c:f>
              <c:numCache>
                <c:formatCode>General</c:formatCode>
                <c:ptCount val="17"/>
                <c:pt idx="0">
                  <c:v>-3.3449276962452625</c:v>
                </c:pt>
                <c:pt idx="1">
                  <c:v>-3.3449276962452625</c:v>
                </c:pt>
                <c:pt idx="2">
                  <c:v>-3.3449276962452625</c:v>
                </c:pt>
                <c:pt idx="3">
                  <c:v>-3.3449276962452625</c:v>
                </c:pt>
                <c:pt idx="4">
                  <c:v>-3.3449276962452625</c:v>
                </c:pt>
                <c:pt idx="5">
                  <c:v>-3.3449276962452625</c:v>
                </c:pt>
                <c:pt idx="6">
                  <c:v>-3.3449276962452625</c:v>
                </c:pt>
                <c:pt idx="7">
                  <c:v>-3.3449276962452625</c:v>
                </c:pt>
                <c:pt idx="8">
                  <c:v>-3.3449276962452625</c:v>
                </c:pt>
                <c:pt idx="9">
                  <c:v>-3.3449276962452625</c:v>
                </c:pt>
                <c:pt idx="10">
                  <c:v>-3.3449276962452625</c:v>
                </c:pt>
                <c:pt idx="11">
                  <c:v>-3.3449276962452625</c:v>
                </c:pt>
                <c:pt idx="12">
                  <c:v>-3.3449276962452625</c:v>
                </c:pt>
                <c:pt idx="13">
                  <c:v>-3.3449276962452625</c:v>
                </c:pt>
                <c:pt idx="14">
                  <c:v>-3.3449276962452625</c:v>
                </c:pt>
                <c:pt idx="15">
                  <c:v>-3.3449276962452625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2-4A7A-B777-DD482F82596E}"/>
            </c:ext>
          </c:extLst>
        </c:ser>
        <c:ser>
          <c:idx val="2"/>
          <c:order val="2"/>
          <c:tx>
            <c:strRef>
              <c:f>Hoja1!$H$45</c:f>
              <c:strCache>
                <c:ptCount val="1"/>
                <c:pt idx="0">
                  <c:v>-d2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Hoja1!$H$46:$H$62</c:f>
              <c:numCache>
                <c:formatCode>General</c:formatCode>
                <c:ptCount val="17"/>
                <c:pt idx="0">
                  <c:v>-1.2219517974968417</c:v>
                </c:pt>
                <c:pt idx="1">
                  <c:v>-1.2219517974968417</c:v>
                </c:pt>
                <c:pt idx="2">
                  <c:v>-1.2219517974968417</c:v>
                </c:pt>
                <c:pt idx="3">
                  <c:v>-1.2219517974968417</c:v>
                </c:pt>
                <c:pt idx="4">
                  <c:v>-1.2219517974968417</c:v>
                </c:pt>
                <c:pt idx="5">
                  <c:v>-1.2219517974968417</c:v>
                </c:pt>
                <c:pt idx="6">
                  <c:v>-1.2219517974968417</c:v>
                </c:pt>
                <c:pt idx="7">
                  <c:v>-1.2219517974968417</c:v>
                </c:pt>
                <c:pt idx="8">
                  <c:v>-1.2219517974968417</c:v>
                </c:pt>
                <c:pt idx="9">
                  <c:v>-1.2219517974968417</c:v>
                </c:pt>
                <c:pt idx="10">
                  <c:v>-1.2219517974968417</c:v>
                </c:pt>
                <c:pt idx="11">
                  <c:v>-1.2219517974968417</c:v>
                </c:pt>
                <c:pt idx="12">
                  <c:v>-1.2219517974968417</c:v>
                </c:pt>
                <c:pt idx="13">
                  <c:v>-1.2219517974968417</c:v>
                </c:pt>
                <c:pt idx="14">
                  <c:v>-1.2219517974968417</c:v>
                </c:pt>
                <c:pt idx="15">
                  <c:v>-1.2219517974968417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2-4A7A-B777-DD482F82596E}"/>
            </c:ext>
          </c:extLst>
        </c:ser>
        <c:ser>
          <c:idx val="3"/>
          <c:order val="3"/>
          <c:tx>
            <c:strRef>
              <c:f>Hoja1!$I$45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Hoja1!$I$46:$I$62</c:f>
              <c:numCache>
                <c:formatCode>General</c:formatCode>
                <c:ptCount val="17"/>
                <c:pt idx="0">
                  <c:v>7.2699517974968417</c:v>
                </c:pt>
                <c:pt idx="1">
                  <c:v>7.2699517974968417</c:v>
                </c:pt>
                <c:pt idx="2">
                  <c:v>7.2699517974968417</c:v>
                </c:pt>
                <c:pt idx="3">
                  <c:v>7.2699517974968417</c:v>
                </c:pt>
                <c:pt idx="4">
                  <c:v>7.2699517974968417</c:v>
                </c:pt>
                <c:pt idx="5">
                  <c:v>7.2699517974968417</c:v>
                </c:pt>
                <c:pt idx="6">
                  <c:v>7.2699517974968417</c:v>
                </c:pt>
                <c:pt idx="7">
                  <c:v>7.2699517974968417</c:v>
                </c:pt>
                <c:pt idx="8">
                  <c:v>7.2699517974968417</c:v>
                </c:pt>
                <c:pt idx="9">
                  <c:v>7.2699517974968417</c:v>
                </c:pt>
                <c:pt idx="10">
                  <c:v>7.2699517974968417</c:v>
                </c:pt>
                <c:pt idx="11">
                  <c:v>7.2699517974968417</c:v>
                </c:pt>
                <c:pt idx="12">
                  <c:v>7.2699517974968417</c:v>
                </c:pt>
                <c:pt idx="13">
                  <c:v>7.2699517974968417</c:v>
                </c:pt>
                <c:pt idx="14">
                  <c:v>7.2699517974968417</c:v>
                </c:pt>
                <c:pt idx="15">
                  <c:v>7.2699517974968417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2-4A7A-B777-DD482F82596E}"/>
            </c:ext>
          </c:extLst>
        </c:ser>
        <c:ser>
          <c:idx val="4"/>
          <c:order val="4"/>
          <c:tx>
            <c:strRef>
              <c:f>Hoja1!$J$45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Hoja1!$J$46:$J$62</c:f>
              <c:numCache>
                <c:formatCode>General</c:formatCode>
                <c:ptCount val="17"/>
                <c:pt idx="0">
                  <c:v>9.3929276962452626</c:v>
                </c:pt>
                <c:pt idx="1">
                  <c:v>9.3929276962452626</c:v>
                </c:pt>
                <c:pt idx="2">
                  <c:v>9.3929276962452626</c:v>
                </c:pt>
                <c:pt idx="3">
                  <c:v>9.3929276962452626</c:v>
                </c:pt>
                <c:pt idx="4">
                  <c:v>9.3929276962452626</c:v>
                </c:pt>
                <c:pt idx="5">
                  <c:v>9.3929276962452626</c:v>
                </c:pt>
                <c:pt idx="6">
                  <c:v>9.3929276962452626</c:v>
                </c:pt>
                <c:pt idx="7">
                  <c:v>9.3929276962452626</c:v>
                </c:pt>
                <c:pt idx="8">
                  <c:v>9.3929276962452626</c:v>
                </c:pt>
                <c:pt idx="9">
                  <c:v>9.3929276962452626</c:v>
                </c:pt>
                <c:pt idx="10">
                  <c:v>9.3929276962452626</c:v>
                </c:pt>
                <c:pt idx="11">
                  <c:v>9.3929276962452626</c:v>
                </c:pt>
                <c:pt idx="12">
                  <c:v>9.3929276962452626</c:v>
                </c:pt>
                <c:pt idx="13">
                  <c:v>9.3929276962452626</c:v>
                </c:pt>
                <c:pt idx="14">
                  <c:v>9.3929276962452626</c:v>
                </c:pt>
                <c:pt idx="15">
                  <c:v>9.3929276962452626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2-4A7A-B777-DD482F82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93984"/>
        <c:axId val="2114579424"/>
      </c:lineChart>
      <c:scatterChart>
        <c:scatterStyle val="lineMarker"/>
        <c:varyColors val="0"/>
        <c:ser>
          <c:idx val="5"/>
          <c:order val="5"/>
          <c:tx>
            <c:v>z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Hoja1!$D$46:$D$61</c:f>
              <c:strCache>
                <c:ptCount val="16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  <c:pt idx="13">
                  <c:v>L14</c:v>
                </c:pt>
                <c:pt idx="14">
                  <c:v>L15</c:v>
                </c:pt>
                <c:pt idx="15">
                  <c:v>L16</c:v>
                </c:pt>
              </c:strCache>
            </c:strRef>
          </c:xVal>
          <c:yVal>
            <c:numRef>
              <c:f>Hoja1!$C$46:$C$61</c:f>
              <c:numCache>
                <c:formatCode>General</c:formatCode>
                <c:ptCount val="16"/>
                <c:pt idx="0">
                  <c:v>0.56000000000000005</c:v>
                </c:pt>
                <c:pt idx="1">
                  <c:v>1.1000000000000001</c:v>
                </c:pt>
                <c:pt idx="2">
                  <c:v>1.36</c:v>
                </c:pt>
                <c:pt idx="3">
                  <c:v>2</c:v>
                </c:pt>
                <c:pt idx="4">
                  <c:v>2.25</c:v>
                </c:pt>
                <c:pt idx="5">
                  <c:v>2.254</c:v>
                </c:pt>
                <c:pt idx="6">
                  <c:v>2.2599999999999998</c:v>
                </c:pt>
                <c:pt idx="7">
                  <c:v>2.4700000000000002</c:v>
                </c:pt>
                <c:pt idx="8">
                  <c:v>2.78</c:v>
                </c:pt>
                <c:pt idx="9">
                  <c:v>3</c:v>
                </c:pt>
                <c:pt idx="10">
                  <c:v>3.25</c:v>
                </c:pt>
                <c:pt idx="11">
                  <c:v>3.27</c:v>
                </c:pt>
                <c:pt idx="12">
                  <c:v>3.34</c:v>
                </c:pt>
                <c:pt idx="13">
                  <c:v>4.16</c:v>
                </c:pt>
                <c:pt idx="14">
                  <c:v>4.33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C2-4A7A-B777-DD482F82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93984"/>
        <c:axId val="2114579424"/>
      </c:scatterChart>
      <c:catAx>
        <c:axId val="21145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4579424"/>
        <c:crosses val="autoZero"/>
        <c:auto val="1"/>
        <c:lblAlgn val="ctr"/>
        <c:lblOffset val="100"/>
        <c:noMultiLvlLbl val="0"/>
      </c:catAx>
      <c:valAx>
        <c:axId val="21145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45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distr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Hoja3!$B$2:$B$17</c:f>
              <c:numCache>
                <c:formatCode>General</c:formatCode>
                <c:ptCount val="16"/>
                <c:pt idx="0">
                  <c:v>0.56000000000000005</c:v>
                </c:pt>
                <c:pt idx="1">
                  <c:v>1.1000000000000001</c:v>
                </c:pt>
                <c:pt idx="2">
                  <c:v>1.36</c:v>
                </c:pt>
                <c:pt idx="3">
                  <c:v>2</c:v>
                </c:pt>
                <c:pt idx="4">
                  <c:v>2.25</c:v>
                </c:pt>
                <c:pt idx="5">
                  <c:v>2.254</c:v>
                </c:pt>
                <c:pt idx="6">
                  <c:v>2.2599999999999998</c:v>
                </c:pt>
                <c:pt idx="7">
                  <c:v>2.4700000000000002</c:v>
                </c:pt>
                <c:pt idx="8">
                  <c:v>2.78</c:v>
                </c:pt>
                <c:pt idx="9">
                  <c:v>3</c:v>
                </c:pt>
                <c:pt idx="10">
                  <c:v>3.25</c:v>
                </c:pt>
                <c:pt idx="11">
                  <c:v>3.27</c:v>
                </c:pt>
                <c:pt idx="12">
                  <c:v>3.34</c:v>
                </c:pt>
                <c:pt idx="13">
                  <c:v>4.16</c:v>
                </c:pt>
                <c:pt idx="14">
                  <c:v>4.33</c:v>
                </c:pt>
                <c:pt idx="15">
                  <c:v>4.58</c:v>
                </c:pt>
              </c:numCache>
            </c:numRef>
          </c:xVal>
          <c:yVal>
            <c:numRef>
              <c:f>Hoja3!$C$2:$C$17</c:f>
              <c:numCache>
                <c:formatCode>General</c:formatCode>
                <c:ptCount val="16"/>
                <c:pt idx="0">
                  <c:v>6.1688030806093384E-2</c:v>
                </c:pt>
                <c:pt idx="1">
                  <c:v>0.13318093759518704</c:v>
                </c:pt>
                <c:pt idx="2">
                  <c:v>0.17810478455630319</c:v>
                </c:pt>
                <c:pt idx="3">
                  <c:v>0.29195714551054669</c:v>
                </c:pt>
                <c:pt idx="4">
                  <c:v>0.32512323978171154</c:v>
                </c:pt>
                <c:pt idx="5">
                  <c:v>0.32555636664274984</c:v>
                </c:pt>
                <c:pt idx="6">
                  <c:v>0.32619962129377233</c:v>
                </c:pt>
                <c:pt idx="7">
                  <c:v>0.34349532732429444</c:v>
                </c:pt>
                <c:pt idx="8">
                  <c:v>0.34845940308754508</c:v>
                </c:pt>
                <c:pt idx="9">
                  <c:v>0.33660756500987199</c:v>
                </c:pt>
                <c:pt idx="10">
                  <c:v>0.30934673691250297</c:v>
                </c:pt>
                <c:pt idx="11">
                  <c:v>0.30662705687602099</c:v>
                </c:pt>
                <c:pt idx="12">
                  <c:v>0.29657655523194953</c:v>
                </c:pt>
                <c:pt idx="13">
                  <c:v>0.15165161748067887</c:v>
                </c:pt>
                <c:pt idx="14">
                  <c:v>0.12370373939216757</c:v>
                </c:pt>
                <c:pt idx="15">
                  <c:v>8.8058821417361308E-2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4-4D26-8A41-F825AAFF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7152"/>
        <c:axId val="150085056"/>
      </c:scatterChart>
      <c:valAx>
        <c:axId val="150077152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085056"/>
        <c:crosses val="autoZero"/>
        <c:crossBetween val="midCat"/>
      </c:valAx>
      <c:valAx>
        <c:axId val="1500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0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5.emf"/><Relationship Id="rId3" Type="http://schemas.openxmlformats.org/officeDocument/2006/relationships/image" Target="../media/image16.emf"/><Relationship Id="rId7" Type="http://schemas.openxmlformats.org/officeDocument/2006/relationships/image" Target="../media/image12.emf"/><Relationship Id="rId12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17.emf"/><Relationship Id="rId6" Type="http://schemas.openxmlformats.org/officeDocument/2006/relationships/image" Target="../media/image13.emf"/><Relationship Id="rId11" Type="http://schemas.openxmlformats.org/officeDocument/2006/relationships/image" Target="../media/image8.emf"/><Relationship Id="rId5" Type="http://schemas.openxmlformats.org/officeDocument/2006/relationships/image" Target="../media/image14.emf"/><Relationship Id="rId15" Type="http://schemas.openxmlformats.org/officeDocument/2006/relationships/image" Target="../media/image3.emf"/><Relationship Id="rId10" Type="http://schemas.openxmlformats.org/officeDocument/2006/relationships/image" Target="../media/image9.emf"/><Relationship Id="rId4" Type="http://schemas.openxmlformats.org/officeDocument/2006/relationships/image" Target="../media/image15.emf"/><Relationship Id="rId9" Type="http://schemas.openxmlformats.org/officeDocument/2006/relationships/image" Target="../media/image10.emf"/><Relationship Id="rId1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27847</xdr:rowOff>
    </xdr:from>
    <xdr:to>
      <xdr:col>7</xdr:col>
      <xdr:colOff>600075</xdr:colOff>
      <xdr:row>15</xdr:row>
      <xdr:rowOff>9526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847"/>
          <a:ext cx="8543925" cy="2829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6</xdr:row>
      <xdr:rowOff>28575</xdr:rowOff>
    </xdr:from>
    <xdr:to>
      <xdr:col>11</xdr:col>
      <xdr:colOff>314325</xdr:colOff>
      <xdr:row>23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152401</xdr:rowOff>
    </xdr:from>
    <xdr:to>
      <xdr:col>6</xdr:col>
      <xdr:colOff>247650</xdr:colOff>
      <xdr:row>22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9525</xdr:colOff>
      <xdr:row>6</xdr:row>
      <xdr:rowOff>51392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162800" cy="11943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6</xdr:row>
      <xdr:rowOff>28575</xdr:rowOff>
    </xdr:from>
    <xdr:to>
      <xdr:col>11</xdr:col>
      <xdr:colOff>314325</xdr:colOff>
      <xdr:row>23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152401</xdr:rowOff>
    </xdr:from>
    <xdr:to>
      <xdr:col>6</xdr:col>
      <xdr:colOff>247650</xdr:colOff>
      <xdr:row>22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9525</xdr:colOff>
      <xdr:row>6</xdr:row>
      <xdr:rowOff>51392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162800" cy="11943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209550</xdr:colOff>
          <xdr:row>0</xdr:row>
          <xdr:rowOff>161925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161925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210911</xdr:colOff>
          <xdr:row>0</xdr:row>
          <xdr:rowOff>161925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209550</xdr:colOff>
          <xdr:row>0</xdr:row>
          <xdr:rowOff>161925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161925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210911</xdr:colOff>
          <xdr:row>0</xdr:row>
          <xdr:rowOff>161925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209550</xdr:colOff>
          <xdr:row>0</xdr:row>
          <xdr:rowOff>161925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161925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210911</xdr:colOff>
          <xdr:row>0</xdr:row>
          <xdr:rowOff>161925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209550</xdr:colOff>
          <xdr:row>0</xdr:row>
          <xdr:rowOff>161925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161925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210911</xdr:colOff>
          <xdr:row>0</xdr:row>
          <xdr:rowOff>161925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209550</xdr:colOff>
          <xdr:row>0</xdr:row>
          <xdr:rowOff>161925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161925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210911</xdr:colOff>
          <xdr:row>0</xdr:row>
          <xdr:rowOff>161925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209550</xdr:colOff>
          <xdr:row>0</xdr:row>
          <xdr:rowOff>161925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161925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210911</xdr:colOff>
          <xdr:row>0</xdr:row>
          <xdr:rowOff>161925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209550</xdr:colOff>
          <xdr:row>0</xdr:row>
          <xdr:rowOff>161925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161925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210911</xdr:colOff>
          <xdr:row>0</xdr:row>
          <xdr:rowOff>161925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209550</xdr:colOff>
          <xdr:row>0</xdr:row>
          <xdr:rowOff>161925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161925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210911</xdr:colOff>
          <xdr:row>0</xdr:row>
          <xdr:rowOff>161925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209550</xdr:colOff>
          <xdr:row>0</xdr:row>
          <xdr:rowOff>161925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161925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210911</xdr:colOff>
          <xdr:row>0</xdr:row>
          <xdr:rowOff>161925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209550</xdr:colOff>
          <xdr:row>0</xdr:row>
          <xdr:rowOff>161925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161925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210911</xdr:colOff>
          <xdr:row>0</xdr:row>
          <xdr:rowOff>161925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209550</xdr:colOff>
          <xdr:row>0</xdr:row>
          <xdr:rowOff>161925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161925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210911</xdr:colOff>
          <xdr:row>0</xdr:row>
          <xdr:rowOff>161925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180975</xdr:colOff>
          <xdr:row>1</xdr:row>
          <xdr:rowOff>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323850</xdr:colOff>
          <xdr:row>1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428625</xdr:colOff>
          <xdr:row>1</xdr:row>
          <xdr:rowOff>38100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27216</xdr:colOff>
      <xdr:row>7</xdr:row>
      <xdr:rowOff>166007</xdr:rowOff>
    </xdr:from>
    <xdr:to>
      <xdr:col>13</xdr:col>
      <xdr:colOff>625930</xdr:colOff>
      <xdr:row>27</xdr:row>
      <xdr:rowOff>68036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4</xdr:row>
      <xdr:rowOff>114300</xdr:rowOff>
    </xdr:from>
    <xdr:to>
      <xdr:col>10</xdr:col>
      <xdr:colOff>657225</xdr:colOff>
      <xdr:row>17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A1:C5" totalsRowShown="0">
  <autoFilter ref="A1:C5"/>
  <tableColumns count="3">
    <tableColumn id="1" name="Method"/>
    <tableColumn id="2" name="Units"/>
    <tableColumn id="3" name="Nam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E1:F17" totalsRowShown="0">
  <autoFilter ref="E1:F17"/>
  <tableColumns count="2">
    <tableColumn id="1" name="Laboratory"/>
    <tableColumn id="2" name="Nam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G1:G12" totalsRowShown="0">
  <autoFilter ref="G1:G12"/>
  <tableColumns count="1">
    <tableColumn id="1" name="Analyt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23:R39" totalsRowShown="0">
  <autoFilter ref="A23:R39"/>
  <tableColumns count="18">
    <tableColumn id="1" name="Analito"/>
    <tableColumn id="2" name="Metodo"/>
    <tableColumn id="4" name="Laboratorio"/>
    <tableColumn id="19" name="Result" dataDxfId="10">
      <calculatedColumnFormula>IF(C24='Data Entry'!$C$17,'Data Entry'!$D$20,L24)</calculatedColumnFormula>
    </tableColumn>
    <tableColumn id="5" name="z-score">
      <calculatedColumnFormula>(D24-$C$43)/$C$44</calculatedColumnFormula>
    </tableColumn>
    <tableColumn id="6" name="media">
      <calculatedColumnFormula>$C$43</calculatedColumnFormula>
    </tableColumn>
    <tableColumn id="7" name="-d3">
      <calculatedColumnFormula>$D$46+F24</calculatedColumnFormula>
    </tableColumn>
    <tableColumn id="8" name="-d2">
      <calculatedColumnFormula>$D$45+F24</calculatedColumnFormula>
    </tableColumn>
    <tableColumn id="9" name="d2">
      <calculatedColumnFormula>$C$45+F24</calculatedColumnFormula>
    </tableColumn>
    <tableColumn id="10" name="d3">
      <calculatedColumnFormula>$C$46+F24</calculatedColumnFormula>
    </tableColumn>
    <tableColumn id="11" name="error">
      <calculatedColumnFormula>D24-F24</calculatedColumnFormula>
    </tableColumn>
    <tableColumn id="12" name="Promedio"/>
    <tableColumn id="13" name="Normal Distr">
      <calculatedColumnFormula>_xlfn.NORM.DIST(D24,$C$43,$C$44,FALSE)</calculatedColumnFormula>
    </tableColumn>
    <tableColumn id="14" name="ABS Z SCORE" dataDxfId="9">
      <calculatedColumnFormula>ABS(E24)+VALUE(MID(Tabla6[[#This Row],[Laboratorio]],2,2))*0.00000001</calculatedColumnFormula>
    </tableColumn>
    <tableColumn id="15" name="Columna1">
      <calculatedColumnFormula>Tabla6[[#This Row],[Laboratorio]]</calculatedColumnFormula>
    </tableColumn>
    <tableColumn id="16" name="KESIMO MENOR">
      <calculatedColumnFormula>SMALL($N$24:$N$39,Q24)</calculatedColumnFormula>
    </tableColumn>
    <tableColumn id="17" name="Position"/>
    <tableColumn id="20" name="Lab" dataDxfId="8">
      <calculatedColumnFormula>VLOOKUP(Tabla6[[#This Row],[KESIMO MENOR]],Tabla6[[#All],[ABS Z SCORE]:[Columna1]],2,FALSE)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emf"/><Relationship Id="rId18" Type="http://schemas.openxmlformats.org/officeDocument/2006/relationships/control" Target="../activeX/activeX10.xml"/><Relationship Id="rId26" Type="http://schemas.openxmlformats.org/officeDocument/2006/relationships/control" Target="../activeX/activeX16.xml"/><Relationship Id="rId39" Type="http://schemas.openxmlformats.org/officeDocument/2006/relationships/control" Target="../activeX/activeX26.xml"/><Relationship Id="rId21" Type="http://schemas.openxmlformats.org/officeDocument/2006/relationships/image" Target="../media/image9.emf"/><Relationship Id="rId34" Type="http://schemas.openxmlformats.org/officeDocument/2006/relationships/control" Target="../activeX/activeX22.xml"/><Relationship Id="rId42" Type="http://schemas.openxmlformats.org/officeDocument/2006/relationships/control" Target="../activeX/activeX28.xml"/><Relationship Id="rId47" Type="http://schemas.openxmlformats.org/officeDocument/2006/relationships/control" Target="../activeX/activeX32.xml"/><Relationship Id="rId50" Type="http://schemas.openxmlformats.org/officeDocument/2006/relationships/control" Target="../activeX/activeX34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2.vml"/><Relationship Id="rId16" Type="http://schemas.openxmlformats.org/officeDocument/2006/relationships/control" Target="../activeX/activeX9.xml"/><Relationship Id="rId29" Type="http://schemas.openxmlformats.org/officeDocument/2006/relationships/image" Target="../media/image11.emf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5.xml"/><Relationship Id="rId32" Type="http://schemas.openxmlformats.org/officeDocument/2006/relationships/control" Target="../activeX/activeX21.xml"/><Relationship Id="rId37" Type="http://schemas.openxmlformats.org/officeDocument/2006/relationships/image" Target="../media/image13.emf"/><Relationship Id="rId40" Type="http://schemas.openxmlformats.org/officeDocument/2006/relationships/control" Target="../activeX/activeX27.xml"/><Relationship Id="rId45" Type="http://schemas.openxmlformats.org/officeDocument/2006/relationships/image" Target="../media/image15.emf"/><Relationship Id="rId53" Type="http://schemas.openxmlformats.org/officeDocument/2006/relationships/image" Target="../media/image17.emf"/><Relationship Id="rId5" Type="http://schemas.openxmlformats.org/officeDocument/2006/relationships/control" Target="../activeX/activeX2.xml"/><Relationship Id="rId10" Type="http://schemas.openxmlformats.org/officeDocument/2006/relationships/image" Target="../media/image6.emf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20.xml"/><Relationship Id="rId44" Type="http://schemas.openxmlformats.org/officeDocument/2006/relationships/control" Target="../activeX/activeX30.xml"/><Relationship Id="rId52" Type="http://schemas.openxmlformats.org/officeDocument/2006/relationships/control" Target="../activeX/activeX36.xml"/><Relationship Id="rId4" Type="http://schemas.openxmlformats.org/officeDocument/2006/relationships/image" Target="../media/image3.emf"/><Relationship Id="rId9" Type="http://schemas.openxmlformats.org/officeDocument/2006/relationships/control" Target="../activeX/activeX4.xml"/><Relationship Id="rId14" Type="http://schemas.openxmlformats.org/officeDocument/2006/relationships/control" Target="../activeX/activeX7.xml"/><Relationship Id="rId22" Type="http://schemas.openxmlformats.org/officeDocument/2006/relationships/control" Target="../activeX/activeX13.xml"/><Relationship Id="rId27" Type="http://schemas.openxmlformats.org/officeDocument/2006/relationships/control" Target="../activeX/activeX17.xml"/><Relationship Id="rId30" Type="http://schemas.openxmlformats.org/officeDocument/2006/relationships/control" Target="../activeX/activeX19.xml"/><Relationship Id="rId35" Type="http://schemas.openxmlformats.org/officeDocument/2006/relationships/control" Target="../activeX/activeX23.xml"/><Relationship Id="rId43" Type="http://schemas.openxmlformats.org/officeDocument/2006/relationships/control" Target="../activeX/activeX29.xml"/><Relationship Id="rId48" Type="http://schemas.openxmlformats.org/officeDocument/2006/relationships/control" Target="../activeX/activeX33.xml"/><Relationship Id="rId8" Type="http://schemas.openxmlformats.org/officeDocument/2006/relationships/image" Target="../media/image5.emf"/><Relationship Id="rId51" Type="http://schemas.openxmlformats.org/officeDocument/2006/relationships/control" Target="../activeX/activeX35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6.xml"/><Relationship Id="rId17" Type="http://schemas.openxmlformats.org/officeDocument/2006/relationships/image" Target="../media/image8.emf"/><Relationship Id="rId25" Type="http://schemas.openxmlformats.org/officeDocument/2006/relationships/image" Target="../media/image10.emf"/><Relationship Id="rId33" Type="http://schemas.openxmlformats.org/officeDocument/2006/relationships/image" Target="../media/image12.emf"/><Relationship Id="rId38" Type="http://schemas.openxmlformats.org/officeDocument/2006/relationships/control" Target="../activeX/activeX25.xml"/><Relationship Id="rId46" Type="http://schemas.openxmlformats.org/officeDocument/2006/relationships/control" Target="../activeX/activeX31.xml"/><Relationship Id="rId20" Type="http://schemas.openxmlformats.org/officeDocument/2006/relationships/control" Target="../activeX/activeX12.xml"/><Relationship Id="rId41" Type="http://schemas.openxmlformats.org/officeDocument/2006/relationships/image" Target="../media/image14.emf"/><Relationship Id="rId1" Type="http://schemas.openxmlformats.org/officeDocument/2006/relationships/drawing" Target="../drawings/drawing4.xml"/><Relationship Id="rId6" Type="http://schemas.openxmlformats.org/officeDocument/2006/relationships/image" Target="../media/image4.emf"/><Relationship Id="rId15" Type="http://schemas.openxmlformats.org/officeDocument/2006/relationships/control" Target="../activeX/activeX8.xml"/><Relationship Id="rId23" Type="http://schemas.openxmlformats.org/officeDocument/2006/relationships/control" Target="../activeX/activeX14.xml"/><Relationship Id="rId28" Type="http://schemas.openxmlformats.org/officeDocument/2006/relationships/control" Target="../activeX/activeX18.xml"/><Relationship Id="rId36" Type="http://schemas.openxmlformats.org/officeDocument/2006/relationships/control" Target="../activeX/activeX24.xml"/><Relationship Id="rId49" Type="http://schemas.openxmlformats.org/officeDocument/2006/relationships/image" Target="../media/image16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D21" sqref="D21"/>
    </sheetView>
  </sheetViews>
  <sheetFormatPr baseColWidth="10" defaultRowHeight="15" x14ac:dyDescent="0.25"/>
  <cols>
    <col min="1" max="1" width="56.5703125" customWidth="1"/>
    <col min="3" max="3" width="12.140625" customWidth="1"/>
    <col min="4" max="4" width="8" bestFit="1" customWidth="1"/>
    <col min="5" max="5" width="6.42578125" customWidth="1"/>
    <col min="6" max="6" width="11.42578125" customWidth="1"/>
    <col min="7" max="7" width="13.140625" customWidth="1"/>
    <col min="8" max="8" width="9.5703125" customWidth="1"/>
  </cols>
  <sheetData>
    <row r="1" spans="1:8" s="2" customFormat="1" x14ac:dyDescent="0.25">
      <c r="A1" s="37"/>
      <c r="B1" s="37"/>
      <c r="C1" s="37"/>
      <c r="D1" s="37"/>
      <c r="E1" s="37"/>
      <c r="F1" s="37"/>
      <c r="G1" s="37"/>
      <c r="H1" s="37"/>
    </row>
    <row r="2" spans="1:8" s="2" customFormat="1" x14ac:dyDescent="0.25">
      <c r="A2" s="37"/>
      <c r="B2" s="37"/>
      <c r="C2" s="37"/>
      <c r="D2" s="37"/>
      <c r="E2" s="37"/>
      <c r="F2" s="37"/>
      <c r="G2" s="37"/>
      <c r="H2" s="37"/>
    </row>
    <row r="3" spans="1:8" s="2" customFormat="1" x14ac:dyDescent="0.25">
      <c r="A3" s="37"/>
      <c r="B3" s="37"/>
      <c r="C3" s="37"/>
      <c r="D3" s="37"/>
      <c r="E3" s="37"/>
      <c r="F3" s="37"/>
      <c r="G3" s="37"/>
      <c r="H3" s="37"/>
    </row>
    <row r="4" spans="1:8" s="2" customFormat="1" x14ac:dyDescent="0.25">
      <c r="A4" s="37"/>
      <c r="B4" s="37"/>
      <c r="C4" s="37"/>
      <c r="D4" s="37"/>
      <c r="E4" s="37"/>
      <c r="F4" s="37"/>
      <c r="G4" s="37"/>
      <c r="H4" s="37"/>
    </row>
    <row r="5" spans="1:8" s="2" customFormat="1" x14ac:dyDescent="0.25">
      <c r="A5" s="37"/>
      <c r="B5" s="37"/>
      <c r="C5" s="37"/>
      <c r="D5" s="37"/>
      <c r="E5" s="37"/>
      <c r="F5" s="37"/>
      <c r="G5" s="37"/>
      <c r="H5" s="37"/>
    </row>
    <row r="6" spans="1:8" s="2" customFormat="1" x14ac:dyDescent="0.25">
      <c r="A6" s="37"/>
      <c r="B6" s="37"/>
      <c r="C6" s="37"/>
      <c r="D6" s="37"/>
      <c r="E6" s="37"/>
      <c r="F6" s="37"/>
      <c r="G6" s="37"/>
      <c r="H6" s="37"/>
    </row>
    <row r="7" spans="1:8" s="2" customFormat="1" x14ac:dyDescent="0.25">
      <c r="A7" s="37"/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37"/>
      <c r="B8" s="37"/>
      <c r="C8" s="37"/>
      <c r="D8" s="37"/>
      <c r="E8" s="37"/>
      <c r="F8" s="37"/>
      <c r="G8" s="37"/>
      <c r="H8" s="37"/>
    </row>
    <row r="9" spans="1:8" s="2" customFormat="1" x14ac:dyDescent="0.25">
      <c r="A9" s="37"/>
      <c r="B9" s="37"/>
      <c r="C9" s="37"/>
      <c r="D9" s="37"/>
      <c r="E9" s="37"/>
      <c r="F9" s="37"/>
      <c r="G9" s="37"/>
      <c r="H9" s="37"/>
    </row>
    <row r="10" spans="1:8" s="2" customFormat="1" x14ac:dyDescent="0.25">
      <c r="A10" s="37"/>
      <c r="B10" s="37"/>
      <c r="C10" s="37"/>
      <c r="D10" s="37"/>
      <c r="E10" s="37"/>
      <c r="F10" s="37"/>
      <c r="G10" s="37"/>
      <c r="H10" s="37"/>
    </row>
    <row r="11" spans="1:8" s="2" customForma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2" customFormat="1" x14ac:dyDescent="0.25">
      <c r="A12" s="37"/>
      <c r="B12" s="37"/>
      <c r="C12" s="37"/>
      <c r="D12" s="37"/>
      <c r="E12" s="37"/>
      <c r="F12" s="37"/>
      <c r="G12" s="37"/>
      <c r="H12" s="37"/>
    </row>
    <row r="13" spans="1:8" s="2" customFormat="1" x14ac:dyDescent="0.25">
      <c r="A13" s="37"/>
      <c r="B13" s="37"/>
      <c r="C13" s="37"/>
      <c r="D13" s="37"/>
      <c r="E13" s="37"/>
      <c r="F13" s="37"/>
      <c r="G13" s="37"/>
      <c r="H13" s="37"/>
    </row>
    <row r="14" spans="1:8" s="2" customFormat="1" x14ac:dyDescent="0.25">
      <c r="A14" s="37"/>
      <c r="B14" s="37"/>
      <c r="C14" s="37"/>
      <c r="D14" s="37"/>
      <c r="E14" s="37"/>
      <c r="F14" s="37"/>
      <c r="G14" s="37"/>
      <c r="H14" s="37"/>
    </row>
    <row r="15" spans="1:8" s="2" customFormat="1" ht="14.25" customHeight="1" x14ac:dyDescent="0.25">
      <c r="A15" s="37"/>
      <c r="B15" s="37"/>
      <c r="C15" s="37"/>
      <c r="D15" s="37"/>
      <c r="E15" s="37"/>
      <c r="F15" s="37"/>
      <c r="G15" s="37"/>
      <c r="H15" s="37"/>
    </row>
    <row r="16" spans="1:8" s="2" customFormat="1" ht="1.5" customHeight="1" x14ac:dyDescent="0.25">
      <c r="A16" s="37"/>
      <c r="B16" s="37"/>
      <c r="C16" s="37"/>
      <c r="D16" s="37"/>
      <c r="E16" s="37"/>
      <c r="F16" s="37"/>
      <c r="G16" s="37"/>
      <c r="H16" s="37"/>
    </row>
    <row r="17" spans="1:8" s="2" customFormat="1" ht="20.25" customHeight="1" x14ac:dyDescent="0.35">
      <c r="A17" s="3"/>
      <c r="B17" s="10" t="s">
        <v>62</v>
      </c>
      <c r="C17" s="10" t="s">
        <v>44</v>
      </c>
      <c r="D17" s="3"/>
      <c r="E17" s="3"/>
      <c r="F17" s="3"/>
      <c r="G17" s="3"/>
      <c r="H17" s="3"/>
    </row>
    <row r="18" spans="1:8" s="2" customFormat="1" ht="20.25" customHeight="1" x14ac:dyDescent="0.25">
      <c r="A18" s="38" t="s">
        <v>0</v>
      </c>
      <c r="B18" s="39"/>
      <c r="C18" s="39"/>
      <c r="D18" s="39"/>
      <c r="E18" s="39"/>
      <c r="F18" s="39"/>
      <c r="G18" s="39"/>
      <c r="H18" s="39"/>
    </row>
    <row r="19" spans="1:8" x14ac:dyDescent="0.25">
      <c r="A19" s="6" t="s">
        <v>1</v>
      </c>
      <c r="B19" s="6" t="s">
        <v>2</v>
      </c>
      <c r="C19" s="6" t="s">
        <v>65</v>
      </c>
      <c r="D19" s="7" t="s">
        <v>52</v>
      </c>
      <c r="E19" s="7" t="s">
        <v>3</v>
      </c>
      <c r="F19" s="7" t="s">
        <v>60</v>
      </c>
      <c r="G19" s="7" t="s">
        <v>66</v>
      </c>
      <c r="H19" s="7" t="s">
        <v>59</v>
      </c>
    </row>
    <row r="20" spans="1:8" x14ac:dyDescent="0.25">
      <c r="A20" s="32" t="s">
        <v>4</v>
      </c>
      <c r="B20" s="35" t="s">
        <v>54</v>
      </c>
      <c r="C20" s="5" t="str">
        <f>IFERROR(VLOOKUP(B20,Setup!A2:C10,3,FALSE),"")</f>
        <v xml:space="preserve">Kjeldahl </v>
      </c>
      <c r="D20" s="36">
        <v>6</v>
      </c>
      <c r="E20" s="5" t="str">
        <f>IFERROR(VLOOKUP(B20,Setup!A:B,2,FALSE),"")</f>
        <v>%</v>
      </c>
      <c r="F20" s="14">
        <f>Setup!$C$43</f>
        <v>2.8558750000000002</v>
      </c>
      <c r="G20" s="13">
        <f>Setup!$C$44</f>
        <v>1.4072612586154709</v>
      </c>
      <c r="H20" s="45">
        <f>VLOOKUP($C$17,Setup!B50:D66,3,FALSE)</f>
        <v>2.2342155593008624</v>
      </c>
    </row>
    <row r="21" spans="1:8" x14ac:dyDescent="0.25">
      <c r="A21" s="33" t="s">
        <v>6</v>
      </c>
      <c r="B21" s="35" t="s">
        <v>55</v>
      </c>
      <c r="C21" s="5" t="str">
        <f>IFERROR(VLOOKUP(B21,Setup!A3:C11,3,FALSE),"")</f>
        <v>PPLOWCBL</v>
      </c>
      <c r="D21" s="36">
        <v>9</v>
      </c>
      <c r="E21" s="5" t="str">
        <f>IFERROR(VLOOKUP(B21,Setup!A:B,2,FALSE),"")</f>
        <v>%</v>
      </c>
      <c r="F21" s="14">
        <f>Setup!$C$93</f>
        <v>2.6331250000000002</v>
      </c>
      <c r="G21" s="13">
        <f>Setup!$C$94</f>
        <v>2.0395219006750902</v>
      </c>
      <c r="H21" s="28">
        <f>VLOOKUP($C$17,Setup!B101:D116,3,FALSE)</f>
        <v>3.1217487774426633</v>
      </c>
    </row>
    <row r="22" spans="1:8" x14ac:dyDescent="0.25">
      <c r="A22" s="32" t="s">
        <v>7</v>
      </c>
      <c r="B22" s="8"/>
      <c r="C22" s="5" t="str">
        <f>IFERROR(VLOOKUP(B22,Setup!A4:C12,3,FALSE),"")</f>
        <v/>
      </c>
      <c r="D22" s="11"/>
      <c r="E22" s="5" t="str">
        <f>IFERROR(VLOOKUP(B22,Setup!A:B,2,FALSE),"")</f>
        <v/>
      </c>
      <c r="F22" s="4"/>
      <c r="G22" s="4"/>
      <c r="H22" s="4"/>
    </row>
    <row r="23" spans="1:8" x14ac:dyDescent="0.25">
      <c r="A23" s="33" t="s">
        <v>8</v>
      </c>
      <c r="B23" s="8"/>
      <c r="C23" s="5" t="str">
        <f>IFERROR(VLOOKUP(B23,Setup!A5:C13,3,FALSE),"")</f>
        <v/>
      </c>
      <c r="D23" s="11"/>
      <c r="E23" s="5" t="str">
        <f>IFERROR(VLOOKUP(B23,Setup!A:B,2,FALSE),"")</f>
        <v/>
      </c>
      <c r="F23" s="4"/>
      <c r="G23" s="4"/>
      <c r="H23" s="4"/>
    </row>
    <row r="24" spans="1:8" x14ac:dyDescent="0.25">
      <c r="A24" s="32" t="s">
        <v>9</v>
      </c>
      <c r="B24" s="8"/>
      <c r="C24" s="5" t="str">
        <f>IFERROR(VLOOKUP(B24,Setup!A6:C14,3,FALSE),"")</f>
        <v/>
      </c>
      <c r="D24" s="11"/>
      <c r="E24" s="5" t="str">
        <f>IFERROR(VLOOKUP(B24,Setup!A:B,2,FALSE),"")</f>
        <v/>
      </c>
      <c r="F24" s="4"/>
      <c r="G24" s="4"/>
      <c r="H24" s="4"/>
    </row>
    <row r="25" spans="1:8" x14ac:dyDescent="0.25">
      <c r="A25" s="33" t="s">
        <v>10</v>
      </c>
      <c r="B25" s="8"/>
      <c r="C25" s="5" t="str">
        <f>IFERROR(VLOOKUP(B25,Setup!A7:C15,3,FALSE),"")</f>
        <v/>
      </c>
      <c r="D25" s="11"/>
      <c r="E25" s="5" t="str">
        <f>IFERROR(VLOOKUP(B25,Setup!A:B,2,FALSE),"")</f>
        <v/>
      </c>
      <c r="F25" s="4"/>
      <c r="G25" s="4"/>
      <c r="H25" s="4"/>
    </row>
    <row r="26" spans="1:8" x14ac:dyDescent="0.25">
      <c r="A26" s="32" t="s">
        <v>11</v>
      </c>
      <c r="B26" s="8"/>
      <c r="C26" s="5" t="str">
        <f>IFERROR(VLOOKUP(B26,Setup!A8:C16,3,FALSE),"")</f>
        <v/>
      </c>
      <c r="D26" s="11"/>
      <c r="E26" s="5" t="str">
        <f>IFERROR(VLOOKUP(B26,Setup!A:B,2,FALSE),"")</f>
        <v/>
      </c>
      <c r="F26" s="4"/>
      <c r="G26" s="4"/>
      <c r="H26" s="4"/>
    </row>
    <row r="27" spans="1:8" x14ac:dyDescent="0.25">
      <c r="A27" s="33" t="s">
        <v>12</v>
      </c>
      <c r="B27" s="8"/>
      <c r="C27" s="5" t="str">
        <f>IFERROR(VLOOKUP(B27,Setup!A9:C17,3,FALSE),"")</f>
        <v/>
      </c>
      <c r="D27" s="11"/>
      <c r="E27" s="5" t="str">
        <f>IFERROR(VLOOKUP(B27,Setup!A:B,2,FALSE),"")</f>
        <v/>
      </c>
      <c r="F27" s="4"/>
      <c r="G27" s="4"/>
      <c r="H27" s="4"/>
    </row>
    <row r="28" spans="1:8" x14ac:dyDescent="0.25">
      <c r="A28" s="32" t="s">
        <v>13</v>
      </c>
      <c r="B28" s="8"/>
      <c r="C28" s="5" t="str">
        <f>IFERROR(VLOOKUP(B28,Setup!A10:C18,3,FALSE),"")</f>
        <v/>
      </c>
      <c r="D28" s="11"/>
      <c r="E28" s="5" t="str">
        <f>IFERROR(VLOOKUP(B28,Setup!A:B,2,FALSE),"")</f>
        <v/>
      </c>
      <c r="F28" s="4"/>
      <c r="G28" s="4"/>
      <c r="H28" s="4"/>
    </row>
    <row r="29" spans="1:8" x14ac:dyDescent="0.25">
      <c r="A29" s="33" t="s">
        <v>14</v>
      </c>
      <c r="B29" s="8"/>
      <c r="C29" s="5" t="str">
        <f>IFERROR(VLOOKUP(B29,Setup!A11:C19,3,FALSE),"")</f>
        <v/>
      </c>
      <c r="D29" s="11"/>
      <c r="E29" s="5" t="str">
        <f>IFERROR(VLOOKUP(B29,Setup!A:B,2,FALSE),"")</f>
        <v/>
      </c>
      <c r="F29" s="4"/>
      <c r="G29" s="4"/>
      <c r="H29" s="4"/>
    </row>
    <row r="30" spans="1:8" ht="15.75" thickBot="1" x14ac:dyDescent="0.3">
      <c r="A30" s="34" t="s">
        <v>15</v>
      </c>
      <c r="B30" s="9"/>
      <c r="C30" s="5" t="str">
        <f>IFERROR(VLOOKUP(B30,Setup!A12:C20,3,FALSE),"")</f>
        <v/>
      </c>
      <c r="D30" s="12"/>
      <c r="E30" s="5" t="str">
        <f>IFERROR(VLOOKUP(B30,Setup!A:B,2,FALSE),"")</f>
        <v/>
      </c>
      <c r="F30" s="4"/>
      <c r="G30" s="4"/>
      <c r="H30" s="4"/>
    </row>
  </sheetData>
  <mergeCells count="2">
    <mergeCell ref="A1:H16"/>
    <mergeCell ref="A18:H18"/>
  </mergeCells>
  <conditionalFormatting sqref="H20:H21">
    <cfRule type="expression" dxfId="12" priority="1">
      <formula>AND(ABS(H20)&gt;2,ABS(H20)&lt;3)</formula>
    </cfRule>
    <cfRule type="expression" dxfId="11" priority="2">
      <formula>ABS(H20)&gt;3</formula>
    </cfRule>
  </conditionalFormatting>
  <dataValidations count="2">
    <dataValidation type="list" allowBlank="1" showInputMessage="1" showErrorMessage="1" sqref="B20:B30">
      <formula1>Methods</formula1>
    </dataValidation>
    <dataValidation type="list" allowBlank="1" showInputMessage="1" showErrorMessage="1" sqref="C17">
      <formula1>Laboratory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N9" sqref="N9"/>
    </sheetView>
  </sheetViews>
  <sheetFormatPr baseColWidth="10" defaultRowHeight="15" x14ac:dyDescent="0.25"/>
  <cols>
    <col min="1" max="1" width="16.42578125" customWidth="1"/>
    <col min="2" max="2" width="2.85546875" customWidth="1"/>
    <col min="3" max="3" width="9.7109375" customWidth="1"/>
    <col min="5" max="5" width="4.140625" customWidth="1"/>
    <col min="6" max="6" width="11.42578125" hidden="1" customWidth="1"/>
    <col min="7" max="7" width="11.42578125" customWidth="1"/>
    <col min="12" max="12" width="5.5703125" customWidth="1"/>
  </cols>
  <sheetData>
    <row r="1" spans="1:12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2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19.5" customHeight="1" x14ac:dyDescent="0.25">
      <c r="A7" s="44" t="s">
        <v>68</v>
      </c>
      <c r="B7" s="44"/>
      <c r="C7" s="44"/>
      <c r="D7" s="44"/>
      <c r="E7" s="44"/>
      <c r="F7" s="44"/>
      <c r="G7" s="4"/>
      <c r="H7" s="4"/>
      <c r="I7" s="4"/>
      <c r="J7" s="4"/>
      <c r="K7" s="4"/>
      <c r="L7" s="4"/>
    </row>
    <row r="8" spans="1:12" x14ac:dyDescent="0.25">
      <c r="A8" s="29" t="s">
        <v>76</v>
      </c>
      <c r="B8" s="29"/>
      <c r="C8" s="42" t="str">
        <f>'Data Entry'!A20</f>
        <v>Total Nitrogen, Combustion</v>
      </c>
      <c r="D8" s="42"/>
      <c r="E8" s="42"/>
      <c r="F8" s="42"/>
      <c r="G8" s="4"/>
      <c r="H8" s="4"/>
      <c r="I8" s="4"/>
      <c r="J8" s="4"/>
      <c r="K8" s="4"/>
      <c r="L8" s="4"/>
    </row>
    <row r="9" spans="1:12" ht="18.75" customHeight="1" x14ac:dyDescent="0.25">
      <c r="A9" s="29" t="s">
        <v>69</v>
      </c>
      <c r="B9" s="29"/>
      <c r="C9" s="40" t="str">
        <f>'Data Entry'!$C$17</f>
        <v>L12</v>
      </c>
      <c r="D9" s="40"/>
      <c r="E9" s="40"/>
      <c r="F9" s="40"/>
      <c r="G9" s="4"/>
      <c r="H9" s="4"/>
      <c r="I9" s="4"/>
      <c r="J9" s="4"/>
      <c r="K9" s="4"/>
      <c r="L9" s="4"/>
    </row>
    <row r="10" spans="1:12" x14ac:dyDescent="0.25">
      <c r="A10" s="29" t="s">
        <v>70</v>
      </c>
      <c r="B10" s="29"/>
      <c r="C10" s="40" t="s">
        <v>71</v>
      </c>
      <c r="D10" s="40"/>
      <c r="E10" s="40"/>
      <c r="F10" s="40"/>
      <c r="G10" s="4"/>
      <c r="H10" s="4"/>
      <c r="I10" s="4"/>
      <c r="J10" s="4"/>
      <c r="K10" s="4"/>
      <c r="L10" s="4"/>
    </row>
    <row r="11" spans="1:12" x14ac:dyDescent="0.25">
      <c r="A11" s="29" t="s">
        <v>75</v>
      </c>
      <c r="B11" s="29"/>
      <c r="C11" s="40" t="str">
        <f>'Data Entry'!B20 &amp; " " &amp;'Data Entry'!C20</f>
        <v xml:space="preserve">010.60 Kjeldahl </v>
      </c>
      <c r="D11" s="40"/>
      <c r="E11" s="40"/>
      <c r="F11" s="40"/>
      <c r="G11" s="4"/>
      <c r="H11" s="4"/>
      <c r="I11" s="4"/>
      <c r="J11" s="4"/>
      <c r="K11" s="4"/>
      <c r="L11" s="4"/>
    </row>
    <row r="12" spans="1:12" x14ac:dyDescent="0.25">
      <c r="A12" s="30" t="s">
        <v>79</v>
      </c>
      <c r="B12" s="30"/>
      <c r="C12" s="43">
        <f>'Data Entry'!D20</f>
        <v>6</v>
      </c>
      <c r="D12" s="43"/>
      <c r="E12" s="43"/>
      <c r="F12" s="43"/>
      <c r="G12" s="4"/>
      <c r="H12" s="4"/>
      <c r="I12" s="4"/>
      <c r="J12" s="4"/>
      <c r="K12" s="4"/>
      <c r="L12" s="4"/>
    </row>
    <row r="13" spans="1:12" x14ac:dyDescent="0.25">
      <c r="A13" s="46" t="s">
        <v>72</v>
      </c>
      <c r="B13" s="46"/>
      <c r="C13" s="47">
        <f>'Data Entry'!$H$20</f>
        <v>2.2342155593008624</v>
      </c>
      <c r="D13" s="48" t="str">
        <f>IF(ABS(C13)-3&gt;=0,"Unsatisfactory",IF(ABS(C13)-2&gt;=0,"Questionable","Satisfactory"))</f>
        <v>Questionable</v>
      </c>
      <c r="E13" s="48"/>
      <c r="F13" s="31"/>
      <c r="G13" s="4"/>
      <c r="H13" s="4"/>
      <c r="I13" s="4"/>
      <c r="J13" s="4"/>
      <c r="K13" s="4"/>
      <c r="L13" s="4"/>
    </row>
    <row r="14" spans="1:12" x14ac:dyDescent="0.25">
      <c r="A14" s="46" t="s">
        <v>80</v>
      </c>
      <c r="B14" s="46"/>
      <c r="C14" s="49" t="str">
        <f>Setup!C48-Setup!C47&amp; " of " &amp; (Setup!C48-1)</f>
        <v>16 of 16</v>
      </c>
      <c r="D14" s="48"/>
      <c r="E14" s="48"/>
      <c r="F14" s="31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</sheetData>
  <mergeCells count="7">
    <mergeCell ref="C10:F10"/>
    <mergeCell ref="A1:L6"/>
    <mergeCell ref="C8:F8"/>
    <mergeCell ref="C11:F11"/>
    <mergeCell ref="C12:F12"/>
    <mergeCell ref="C9:F9"/>
    <mergeCell ref="A7:F7"/>
  </mergeCells>
  <conditionalFormatting sqref="C13">
    <cfRule type="expression" dxfId="6" priority="2">
      <formula>AND(ABS($C$13)&gt;2,ABS($C$13)&lt;3)</formula>
    </cfRule>
    <cfRule type="expression" dxfId="7" priority="1">
      <formula>ABS($C$13)&gt;3</formula>
    </cfRule>
  </conditionalFormatting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-1" type="column" displayEmptyCellsAs="gap" high="1" low="1" first="1" last="1" negative="1" minAxisType="custom">
          <x14:colorSeries theme="0" tint="-0.14999847407452621"/>
          <x14:colorNegative rgb="FFFF0000"/>
          <x14:colorAxis rgb="FF000000"/>
          <x14:colorMarkers rgb="FFD00000"/>
          <x14:colorFirst rgb="FFFF0000"/>
          <x14:colorLast theme="9"/>
          <x14:colorHigh theme="4" tint="-0.249977111117893"/>
          <x14:colorLow rgb="FFFF0000"/>
          <x14:sparklines>
            <x14:sparkline>
              <xm:f>Setup!C47:C48</xm:f>
              <xm:sqref>D14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N6" sqref="N6"/>
    </sheetView>
  </sheetViews>
  <sheetFormatPr baseColWidth="10" defaultRowHeight="15" x14ac:dyDescent="0.25"/>
  <cols>
    <col min="1" max="1" width="16.42578125" customWidth="1"/>
    <col min="2" max="2" width="2.85546875" customWidth="1"/>
    <col min="3" max="3" width="9.7109375" customWidth="1"/>
    <col min="5" max="5" width="4.140625" customWidth="1"/>
    <col min="6" max="6" width="11.42578125" hidden="1" customWidth="1"/>
    <col min="12" max="12" width="5.5703125" customWidth="1"/>
  </cols>
  <sheetData>
    <row r="1" spans="1:12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2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19.5" customHeight="1" x14ac:dyDescent="0.25">
      <c r="A7" s="44" t="s">
        <v>68</v>
      </c>
      <c r="B7" s="44"/>
      <c r="C7" s="44"/>
      <c r="D7" s="44"/>
      <c r="E7" s="44"/>
      <c r="F7" s="44"/>
      <c r="G7" s="4"/>
      <c r="H7" s="4"/>
      <c r="I7" s="4"/>
      <c r="J7" s="4"/>
      <c r="K7" s="4"/>
      <c r="L7" s="4"/>
    </row>
    <row r="8" spans="1:12" x14ac:dyDescent="0.25">
      <c r="A8" s="29" t="s">
        <v>76</v>
      </c>
      <c r="B8" s="29"/>
      <c r="C8" s="42" t="str">
        <f>'Data Entry'!A21</f>
        <v>Total Phosphorus as P2O5, ICP</v>
      </c>
      <c r="D8" s="42"/>
      <c r="E8" s="42"/>
      <c r="F8" s="42"/>
      <c r="G8" s="4"/>
      <c r="H8" s="4"/>
      <c r="I8" s="4"/>
      <c r="J8" s="4"/>
      <c r="K8" s="4"/>
      <c r="L8" s="4"/>
    </row>
    <row r="9" spans="1:12" ht="18.75" customHeight="1" x14ac:dyDescent="0.25">
      <c r="A9" s="29" t="s">
        <v>69</v>
      </c>
      <c r="B9" s="29"/>
      <c r="C9" s="40" t="str">
        <f>'Data Entry'!$C$17</f>
        <v>L12</v>
      </c>
      <c r="D9" s="40"/>
      <c r="E9" s="40"/>
      <c r="F9" s="40"/>
      <c r="G9" s="4"/>
      <c r="H9" s="4"/>
      <c r="I9" s="4"/>
      <c r="J9" s="4"/>
      <c r="K9" s="4"/>
      <c r="L9" s="4"/>
    </row>
    <row r="10" spans="1:12" x14ac:dyDescent="0.25">
      <c r="A10" s="29" t="s">
        <v>70</v>
      </c>
      <c r="B10" s="29"/>
      <c r="C10" s="40" t="s">
        <v>71</v>
      </c>
      <c r="D10" s="40"/>
      <c r="E10" s="40"/>
      <c r="F10" s="40"/>
      <c r="G10" s="4"/>
      <c r="H10" s="4"/>
      <c r="I10" s="4"/>
      <c r="J10" s="4"/>
      <c r="K10" s="4"/>
      <c r="L10" s="4"/>
    </row>
    <row r="11" spans="1:12" x14ac:dyDescent="0.25">
      <c r="A11" s="29" t="s">
        <v>75</v>
      </c>
      <c r="B11" s="29"/>
      <c r="C11" s="40" t="str">
        <f>'Data Entry'!B21 &amp; " " &amp;'Data Entry'!C21</f>
        <v>020.50 PPLOWCBL</v>
      </c>
      <c r="D11" s="40"/>
      <c r="E11" s="40"/>
      <c r="F11" s="40"/>
      <c r="G11" s="4"/>
      <c r="H11" s="4"/>
      <c r="I11" s="4"/>
      <c r="J11" s="4"/>
      <c r="K11" s="4"/>
      <c r="L11" s="4"/>
    </row>
    <row r="12" spans="1:12" x14ac:dyDescent="0.25">
      <c r="A12" s="30" t="s">
        <v>79</v>
      </c>
      <c r="B12" s="30"/>
      <c r="C12" s="43">
        <f>'Data Entry'!D21</f>
        <v>9</v>
      </c>
      <c r="D12" s="43"/>
      <c r="E12" s="43"/>
      <c r="F12" s="43"/>
      <c r="G12" s="4"/>
      <c r="H12" s="4"/>
      <c r="I12" s="4"/>
      <c r="J12" s="4"/>
      <c r="K12" s="4"/>
      <c r="L12" s="4"/>
    </row>
    <row r="13" spans="1:12" x14ac:dyDescent="0.25">
      <c r="A13" s="46" t="s">
        <v>72</v>
      </c>
      <c r="B13" s="46"/>
      <c r="C13" s="47">
        <f>'Data Entry'!$H$21</f>
        <v>3.1217487774426633</v>
      </c>
      <c r="D13" s="48" t="str">
        <f>IF(ABS(C13)-3&gt;=0,"Unsatisfactory",IF(ABS(C13)-2&gt;=0,"Questionable","Satisfactory"))</f>
        <v>Unsatisfactory</v>
      </c>
      <c r="E13" s="48"/>
      <c r="F13" s="31"/>
      <c r="G13" s="4"/>
      <c r="H13" s="4"/>
      <c r="I13" s="4"/>
      <c r="J13" s="4"/>
      <c r="K13" s="4"/>
      <c r="L13" s="4"/>
    </row>
    <row r="14" spans="1:12" x14ac:dyDescent="0.25">
      <c r="A14" s="46" t="s">
        <v>80</v>
      </c>
      <c r="B14" s="46"/>
      <c r="C14" s="49" t="str">
        <f>Setup!C98-Setup!C97&amp; " of " &amp; (Setup!C98-1)</f>
        <v>16 of 16</v>
      </c>
      <c r="D14" s="48"/>
      <c r="E14" s="48"/>
      <c r="F14" s="31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</sheetData>
  <mergeCells count="7">
    <mergeCell ref="C12:F12"/>
    <mergeCell ref="A1:L6"/>
    <mergeCell ref="A7:F7"/>
    <mergeCell ref="C8:F8"/>
    <mergeCell ref="C9:F9"/>
    <mergeCell ref="C10:F10"/>
    <mergeCell ref="C11:F11"/>
  </mergeCells>
  <conditionalFormatting sqref="C13">
    <cfRule type="expression" dxfId="2" priority="2">
      <formula>AND(ABS($C$13)&gt;2,ABS($C$13)&lt;=3)</formula>
    </cfRule>
    <cfRule type="expression" dxfId="3" priority="1">
      <formula>(ABS($C$13)&gt;=3)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-1" type="column" displayEmptyCellsAs="gap" high="1" low="1" first="1" last="1" negative="1" minAxisType="custom">
          <x14:colorSeries theme="0" tint="-0.14999847407452621"/>
          <x14:colorNegative rgb="FFFF0000"/>
          <x14:colorAxis rgb="FF000000"/>
          <x14:colorMarkers rgb="FFD00000"/>
          <x14:colorFirst rgb="FFFF0000"/>
          <x14:colorLast theme="9"/>
          <x14:colorHigh theme="4" tint="-0.249977111117893"/>
          <x14:colorLow rgb="FFFF0000"/>
          <x14:sparklines>
            <x14:sparkline>
              <xm:f>Setup!C47:C48</xm:f>
              <xm:sqref>D14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6"/>
  <sheetViews>
    <sheetView zoomScale="68" zoomScaleNormal="68" workbookViewId="0">
      <selection activeCell="G3" sqref="G3"/>
    </sheetView>
  </sheetViews>
  <sheetFormatPr baseColWidth="10" defaultRowHeight="15" x14ac:dyDescent="0.25"/>
  <cols>
    <col min="3" max="3" width="18.5703125" bestFit="1" customWidth="1"/>
    <col min="4" max="4" width="14.42578125" customWidth="1"/>
    <col min="5" max="5" width="13.85546875" customWidth="1"/>
    <col min="6" max="6" width="62.42578125" bestFit="1" customWidth="1"/>
    <col min="12" max="12" width="12.5703125" customWidth="1"/>
    <col min="13" max="13" width="14.7109375" customWidth="1"/>
    <col min="14" max="14" width="17.28515625" customWidth="1"/>
    <col min="15" max="15" width="12.85546875" customWidth="1"/>
    <col min="16" max="16" width="19.28515625" customWidth="1"/>
  </cols>
  <sheetData>
    <row r="1" spans="1:7" x14ac:dyDescent="0.25">
      <c r="A1" t="s">
        <v>53</v>
      </c>
      <c r="B1" t="s">
        <v>3</v>
      </c>
      <c r="C1" t="s">
        <v>64</v>
      </c>
      <c r="E1" t="s">
        <v>61</v>
      </c>
      <c r="F1" t="s">
        <v>64</v>
      </c>
      <c r="G1" t="s">
        <v>63</v>
      </c>
    </row>
    <row r="2" spans="1:7" x14ac:dyDescent="0.25">
      <c r="A2" t="s">
        <v>54</v>
      </c>
      <c r="B2" t="s">
        <v>5</v>
      </c>
      <c r="C2" t="s">
        <v>91</v>
      </c>
      <c r="E2" t="s">
        <v>22</v>
      </c>
      <c r="G2" t="s">
        <v>4</v>
      </c>
    </row>
    <row r="3" spans="1:7" x14ac:dyDescent="0.25">
      <c r="A3" t="s">
        <v>55</v>
      </c>
      <c r="B3" t="s">
        <v>5</v>
      </c>
      <c r="C3" t="s">
        <v>90</v>
      </c>
      <c r="E3" t="s">
        <v>23</v>
      </c>
      <c r="G3" t="s">
        <v>6</v>
      </c>
    </row>
    <row r="4" spans="1:7" x14ac:dyDescent="0.25">
      <c r="A4" t="s">
        <v>56</v>
      </c>
      <c r="B4" t="s">
        <v>5</v>
      </c>
      <c r="C4" t="s">
        <v>67</v>
      </c>
      <c r="E4" t="s">
        <v>24</v>
      </c>
      <c r="G4" t="s">
        <v>7</v>
      </c>
    </row>
    <row r="5" spans="1:7" x14ac:dyDescent="0.25">
      <c r="A5" t="s">
        <v>57</v>
      </c>
      <c r="B5" t="s">
        <v>5</v>
      </c>
      <c r="C5" t="s">
        <v>67</v>
      </c>
      <c r="E5" t="s">
        <v>25</v>
      </c>
      <c r="G5" t="s">
        <v>8</v>
      </c>
    </row>
    <row r="6" spans="1:7" x14ac:dyDescent="0.25">
      <c r="E6" t="s">
        <v>37</v>
      </c>
      <c r="G6" t="s">
        <v>9</v>
      </c>
    </row>
    <row r="7" spans="1:7" x14ac:dyDescent="0.25">
      <c r="E7" t="s">
        <v>38</v>
      </c>
      <c r="G7" t="s">
        <v>10</v>
      </c>
    </row>
    <row r="8" spans="1:7" x14ac:dyDescent="0.25">
      <c r="E8" t="s">
        <v>39</v>
      </c>
      <c r="G8" t="s">
        <v>11</v>
      </c>
    </row>
    <row r="9" spans="1:7" x14ac:dyDescent="0.25">
      <c r="E9" t="s">
        <v>40</v>
      </c>
      <c r="G9" t="s">
        <v>12</v>
      </c>
    </row>
    <row r="10" spans="1:7" x14ac:dyDescent="0.25">
      <c r="E10" t="s">
        <v>41</v>
      </c>
      <c r="G10" t="s">
        <v>13</v>
      </c>
    </row>
    <row r="11" spans="1:7" x14ac:dyDescent="0.25">
      <c r="E11" t="s">
        <v>42</v>
      </c>
      <c r="G11" t="s">
        <v>14</v>
      </c>
    </row>
    <row r="12" spans="1:7" x14ac:dyDescent="0.25">
      <c r="E12" t="s">
        <v>43</v>
      </c>
      <c r="G12" t="s">
        <v>15</v>
      </c>
    </row>
    <row r="13" spans="1:7" x14ac:dyDescent="0.25">
      <c r="E13" t="s">
        <v>44</v>
      </c>
    </row>
    <row r="14" spans="1:7" x14ac:dyDescent="0.25">
      <c r="E14" t="s">
        <v>45</v>
      </c>
    </row>
    <row r="15" spans="1:7" x14ac:dyDescent="0.25">
      <c r="E15" t="s">
        <v>46</v>
      </c>
    </row>
    <row r="16" spans="1:7" x14ac:dyDescent="0.25">
      <c r="E16" t="s">
        <v>47</v>
      </c>
    </row>
    <row r="17" spans="1:18" x14ac:dyDescent="0.25">
      <c r="E17" t="s">
        <v>48</v>
      </c>
    </row>
    <row r="23" spans="1:18" x14ac:dyDescent="0.25">
      <c r="A23" t="s">
        <v>16</v>
      </c>
      <c r="B23" t="s">
        <v>17</v>
      </c>
      <c r="C23" t="s">
        <v>19</v>
      </c>
      <c r="D23" t="s">
        <v>52</v>
      </c>
      <c r="E23" t="s">
        <v>30</v>
      </c>
      <c r="F23" t="s">
        <v>26</v>
      </c>
      <c r="G23" s="1" t="s">
        <v>31</v>
      </c>
      <c r="H23" s="1" t="s">
        <v>32</v>
      </c>
      <c r="I23" s="1" t="s">
        <v>28</v>
      </c>
      <c r="J23" t="s">
        <v>29</v>
      </c>
      <c r="K23" t="s">
        <v>33</v>
      </c>
      <c r="L23" t="s">
        <v>18</v>
      </c>
      <c r="M23" t="s">
        <v>78</v>
      </c>
      <c r="N23" t="s">
        <v>77</v>
      </c>
      <c r="O23" t="s">
        <v>81</v>
      </c>
      <c r="P23" t="s">
        <v>74</v>
      </c>
      <c r="Q23" t="s">
        <v>73</v>
      </c>
      <c r="R23" t="s">
        <v>85</v>
      </c>
    </row>
    <row r="24" spans="1:18" x14ac:dyDescent="0.25">
      <c r="A24" t="s">
        <v>4</v>
      </c>
      <c r="B24" t="s">
        <v>21</v>
      </c>
      <c r="C24" t="s">
        <v>22</v>
      </c>
      <c r="D24" s="16">
        <f>IF(C24='Data Entry'!$C$17,'Data Entry'!$D$20,L24)</f>
        <v>0.56000000000000005</v>
      </c>
      <c r="E24">
        <f t="shared" ref="E24:E39" si="0">(D24-$C$43)/$C$44</f>
        <v>-1.6314490191102033</v>
      </c>
      <c r="F24">
        <f t="shared" ref="F24:F39" si="1">$C$43</f>
        <v>2.8558750000000002</v>
      </c>
      <c r="G24">
        <f t="shared" ref="G24:G39" si="2">$D$46+F24</f>
        <v>-1.365908775846413</v>
      </c>
      <c r="H24">
        <f t="shared" ref="H24:H39" si="3">$D$45+F24</f>
        <v>4.1352482769058341E-2</v>
      </c>
      <c r="I24">
        <f t="shared" ref="I24:I39" si="4">$C$45+F24</f>
        <v>5.670397517230942</v>
      </c>
      <c r="J24">
        <f t="shared" ref="J24:J39" si="5">$C$46+F24</f>
        <v>7.0776587758464133</v>
      </c>
      <c r="K24">
        <f t="shared" ref="K24:K39" si="6">D24-F24</f>
        <v>-2.2958750000000001</v>
      </c>
      <c r="L24">
        <v>0.56000000000000005</v>
      </c>
      <c r="M24">
        <f t="shared" ref="M24:M39" si="7">_xlfn.NORM.DIST(D24,$C$43,$C$44,FALSE)</f>
        <v>7.4915315507972341E-2</v>
      </c>
      <c r="N24">
        <f>ABS(E24)+VALUE(MID(Tabla6[[#This Row],[Laboratorio]],2,2))*0.00000001</f>
        <v>1.6314490291102033</v>
      </c>
      <c r="O24" t="str">
        <f>Tabla6[[#This Row],[Laboratorio]]</f>
        <v>L1</v>
      </c>
      <c r="P24">
        <f t="shared" ref="P24:P39" si="8">SMALL($N$24:$N$39,Q24)</f>
        <v>5.3916873067452388E-2</v>
      </c>
      <c r="Q24">
        <v>1</v>
      </c>
      <c r="R24" t="str">
        <f>VLOOKUP(Tabla6[[#This Row],[KESIMO MENOR]],Tabla6[[#All],[ABS Z SCORE]:[Columna1]],2,FALSE)</f>
        <v>L9</v>
      </c>
    </row>
    <row r="25" spans="1:18" x14ac:dyDescent="0.25">
      <c r="A25" t="s">
        <v>4</v>
      </c>
      <c r="B25" t="s">
        <v>21</v>
      </c>
      <c r="C25" t="s">
        <v>23</v>
      </c>
      <c r="D25" s="16">
        <f>IF(C25='Data Entry'!$C$17,'Data Entry'!$D$20,L25)</f>
        <v>1.1000000000000001</v>
      </c>
      <c r="E25">
        <f t="shared" si="0"/>
        <v>-1.2477249616943988</v>
      </c>
      <c r="F25">
        <f t="shared" si="1"/>
        <v>2.8558750000000002</v>
      </c>
      <c r="G25">
        <f t="shared" si="2"/>
        <v>-1.365908775846413</v>
      </c>
      <c r="H25">
        <f t="shared" si="3"/>
        <v>4.1352482769058341E-2</v>
      </c>
      <c r="I25">
        <f t="shared" si="4"/>
        <v>5.670397517230942</v>
      </c>
      <c r="J25">
        <f t="shared" si="5"/>
        <v>7.0776587758464133</v>
      </c>
      <c r="K25">
        <f t="shared" si="6"/>
        <v>-1.7558750000000001</v>
      </c>
      <c r="L25">
        <v>1.1000000000000001</v>
      </c>
      <c r="M25">
        <f t="shared" si="7"/>
        <v>0.13015974580840028</v>
      </c>
      <c r="N25">
        <f>ABS(E25)+VALUE(MID(Tabla6[[#This Row],[Laboratorio]],2,2))*0.00000001</f>
        <v>1.2477249816943989</v>
      </c>
      <c r="O25" t="str">
        <f>Tabla6[[#This Row],[Laboratorio]]</f>
        <v>L2</v>
      </c>
      <c r="P25">
        <f t="shared" si="8"/>
        <v>0.10241534032417174</v>
      </c>
      <c r="Q25">
        <v>2</v>
      </c>
      <c r="R25" t="str">
        <f>VLOOKUP(Tabla6[[#This Row],[KESIMO MENOR]],Tabla6[[#All],[ABS Z SCORE]:[Columna1]],2,FALSE)</f>
        <v>L10</v>
      </c>
    </row>
    <row r="26" spans="1:18" x14ac:dyDescent="0.25">
      <c r="A26" t="s">
        <v>4</v>
      </c>
      <c r="B26" t="s">
        <v>21</v>
      </c>
      <c r="C26" t="s">
        <v>24</v>
      </c>
      <c r="D26" s="16">
        <f>IF(C26='Data Entry'!$C$17,'Data Entry'!$D$20,L26)</f>
        <v>1.36</v>
      </c>
      <c r="E26">
        <f t="shared" si="0"/>
        <v>-1.0629689340497523</v>
      </c>
      <c r="F26">
        <f t="shared" si="1"/>
        <v>2.8558750000000002</v>
      </c>
      <c r="G26">
        <f t="shared" si="2"/>
        <v>-1.365908775846413</v>
      </c>
      <c r="H26">
        <f t="shared" si="3"/>
        <v>4.1352482769058341E-2</v>
      </c>
      <c r="I26">
        <f t="shared" si="4"/>
        <v>5.670397517230942</v>
      </c>
      <c r="J26">
        <f t="shared" si="5"/>
        <v>7.0776587758464133</v>
      </c>
      <c r="K26">
        <f t="shared" si="6"/>
        <v>-1.4958750000000001</v>
      </c>
      <c r="L26">
        <v>1.36</v>
      </c>
      <c r="M26">
        <f t="shared" si="7"/>
        <v>0.16113134222609582</v>
      </c>
      <c r="N26">
        <f>ABS(E26)+VALUE(MID(Tabla6[[#This Row],[Laboratorio]],2,2))*0.00000001</f>
        <v>1.0629689640497524</v>
      </c>
      <c r="O26" t="str">
        <f>Tabla6[[#This Row],[Laboratorio]]</f>
        <v>L3</v>
      </c>
      <c r="P26">
        <f t="shared" si="8"/>
        <v>0.27420289602837683</v>
      </c>
      <c r="Q26">
        <v>3</v>
      </c>
      <c r="R26" t="str">
        <f>VLOOKUP(Tabla6[[#This Row],[KESIMO MENOR]],Tabla6[[#All],[ABS Z SCORE]:[Columna1]],2,FALSE)</f>
        <v>L8</v>
      </c>
    </row>
    <row r="27" spans="1:18" x14ac:dyDescent="0.25">
      <c r="A27" t="s">
        <v>4</v>
      </c>
      <c r="B27" t="s">
        <v>21</v>
      </c>
      <c r="C27" t="s">
        <v>25</v>
      </c>
      <c r="D27" s="16">
        <f>IF(C27='Data Entry'!$C$17,'Data Entry'!$D$20,L27)</f>
        <v>2</v>
      </c>
      <c r="E27">
        <f t="shared" si="0"/>
        <v>-0.60818486600139177</v>
      </c>
      <c r="F27">
        <f t="shared" si="1"/>
        <v>2.8558750000000002</v>
      </c>
      <c r="G27">
        <f t="shared" si="2"/>
        <v>-1.365908775846413</v>
      </c>
      <c r="H27">
        <f t="shared" si="3"/>
        <v>4.1352482769058341E-2</v>
      </c>
      <c r="I27">
        <f t="shared" si="4"/>
        <v>5.670397517230942</v>
      </c>
      <c r="J27">
        <f t="shared" si="5"/>
        <v>7.0776587758464133</v>
      </c>
      <c r="K27">
        <f t="shared" si="6"/>
        <v>-0.85587500000000016</v>
      </c>
      <c r="L27">
        <v>2</v>
      </c>
      <c r="M27">
        <f t="shared" si="7"/>
        <v>0.23562154250918557</v>
      </c>
      <c r="N27">
        <f>ABS(E27)+VALUE(MID(Tabla6[[#This Row],[Laboratorio]],2,2))*0.00000001</f>
        <v>0.60818490600139175</v>
      </c>
      <c r="O27" t="str">
        <f>Tabla6[[#This Row],[Laboratorio]]</f>
        <v>L4</v>
      </c>
      <c r="P27">
        <f t="shared" si="8"/>
        <v>0.2800653769055626</v>
      </c>
      <c r="Q27">
        <v>4</v>
      </c>
      <c r="R27" t="str">
        <f>VLOOKUP(Tabla6[[#This Row],[KESIMO MENOR]],Tabla6[[#All],[ABS Z SCORE]:[Columna1]],2,FALSE)</f>
        <v>L11</v>
      </c>
    </row>
    <row r="28" spans="1:18" x14ac:dyDescent="0.25">
      <c r="A28" t="s">
        <v>4</v>
      </c>
      <c r="B28" t="s">
        <v>21</v>
      </c>
      <c r="C28" t="s">
        <v>37</v>
      </c>
      <c r="D28" s="16">
        <f>IF(C28='Data Entry'!$C$17,'Data Entry'!$D$20,L28)</f>
        <v>2.25</v>
      </c>
      <c r="E28">
        <f t="shared" si="0"/>
        <v>-0.43053483942000093</v>
      </c>
      <c r="F28">
        <f t="shared" si="1"/>
        <v>2.8558750000000002</v>
      </c>
      <c r="G28">
        <f t="shared" si="2"/>
        <v>-1.365908775846413</v>
      </c>
      <c r="H28">
        <f t="shared" si="3"/>
        <v>4.1352482769058341E-2</v>
      </c>
      <c r="I28">
        <f t="shared" si="4"/>
        <v>5.670397517230942</v>
      </c>
      <c r="J28">
        <f t="shared" si="5"/>
        <v>7.0776587758464133</v>
      </c>
      <c r="K28">
        <f t="shared" si="6"/>
        <v>-0.60587500000000016</v>
      </c>
      <c r="L28">
        <v>2.25</v>
      </c>
      <c r="M28">
        <f t="shared" si="7"/>
        <v>0.25839545326576296</v>
      </c>
      <c r="N28">
        <f>ABS(E28)+VALUE(MID(Tabla6[[#This Row],[Laboratorio]],2,2))*0.00000001</f>
        <v>0.4305348894200009</v>
      </c>
      <c r="O28" t="str">
        <f>Tabla6[[#This Row],[Laboratorio]]</f>
        <v>L5</v>
      </c>
      <c r="P28">
        <f t="shared" si="8"/>
        <v>0.34401940647486323</v>
      </c>
      <c r="Q28">
        <v>5</v>
      </c>
      <c r="R28" t="str">
        <f>VLOOKUP(Tabla6[[#This Row],[KESIMO MENOR]],Tabla6[[#All],[ABS Z SCORE]:[Columna1]],2,FALSE)</f>
        <v>L13</v>
      </c>
    </row>
    <row r="29" spans="1:18" x14ac:dyDescent="0.25">
      <c r="A29" t="s">
        <v>4</v>
      </c>
      <c r="B29" t="s">
        <v>21</v>
      </c>
      <c r="C29" t="s">
        <v>38</v>
      </c>
      <c r="D29" s="16">
        <f>IF(C29='Data Entry'!$C$17,'Data Entry'!$D$20,L29)</f>
        <v>2.254</v>
      </c>
      <c r="E29">
        <f t="shared" si="0"/>
        <v>-0.42769243899469866</v>
      </c>
      <c r="F29">
        <f t="shared" si="1"/>
        <v>2.8558750000000002</v>
      </c>
      <c r="G29">
        <f t="shared" si="2"/>
        <v>-1.365908775846413</v>
      </c>
      <c r="H29">
        <f t="shared" si="3"/>
        <v>4.1352482769058341E-2</v>
      </c>
      <c r="I29">
        <f t="shared" si="4"/>
        <v>5.670397517230942</v>
      </c>
      <c r="J29">
        <f t="shared" si="5"/>
        <v>7.0776587758464133</v>
      </c>
      <c r="K29">
        <f t="shared" si="6"/>
        <v>-0.60187500000000016</v>
      </c>
      <c r="L29">
        <v>2.254</v>
      </c>
      <c r="M29">
        <f t="shared" si="7"/>
        <v>0.25871081379067662</v>
      </c>
      <c r="N29">
        <f>ABS(E29)+VALUE(MID(Tabla6[[#This Row],[Laboratorio]],2,2))*0.00000001</f>
        <v>0.42769249899469869</v>
      </c>
      <c r="O29" t="str">
        <f>Tabla6[[#This Row],[Laboratorio]]</f>
        <v>L6</v>
      </c>
      <c r="P29">
        <f t="shared" si="8"/>
        <v>0.42342890835674546</v>
      </c>
      <c r="Q29">
        <v>6</v>
      </c>
      <c r="R29" t="str">
        <f>VLOOKUP(Tabla6[[#This Row],[KESIMO MENOR]],Tabla6[[#All],[ABS Z SCORE]:[Columna1]],2,FALSE)</f>
        <v>L7</v>
      </c>
    </row>
    <row r="30" spans="1:18" x14ac:dyDescent="0.25">
      <c r="A30" t="s">
        <v>4</v>
      </c>
      <c r="B30" t="s">
        <v>21</v>
      </c>
      <c r="C30" t="s">
        <v>39</v>
      </c>
      <c r="D30" s="16">
        <f>IF(C30='Data Entry'!$C$17,'Data Entry'!$D$20,L30)</f>
        <v>2.2599999999999998</v>
      </c>
      <c r="E30">
        <f t="shared" si="0"/>
        <v>-0.42342883835674544</v>
      </c>
      <c r="F30">
        <f t="shared" si="1"/>
        <v>2.8558750000000002</v>
      </c>
      <c r="G30">
        <f t="shared" si="2"/>
        <v>-1.365908775846413</v>
      </c>
      <c r="H30">
        <f t="shared" si="3"/>
        <v>4.1352482769058341E-2</v>
      </c>
      <c r="I30">
        <f t="shared" si="4"/>
        <v>5.670397517230942</v>
      </c>
      <c r="J30">
        <f t="shared" si="5"/>
        <v>7.0776587758464133</v>
      </c>
      <c r="K30">
        <f t="shared" si="6"/>
        <v>-0.59587500000000038</v>
      </c>
      <c r="L30">
        <v>2.2599999999999998</v>
      </c>
      <c r="M30">
        <f t="shared" si="7"/>
        <v>0.25918065013486608</v>
      </c>
      <c r="N30">
        <f>ABS(E30)+VALUE(MID(Tabla6[[#This Row],[Laboratorio]],2,2))*0.00000001</f>
        <v>0.42342890835674546</v>
      </c>
      <c r="O30" t="str">
        <f>Tabla6[[#This Row],[Laboratorio]]</f>
        <v>L7</v>
      </c>
      <c r="P30">
        <f t="shared" si="8"/>
        <v>0.42769249899469869</v>
      </c>
      <c r="Q30">
        <v>7</v>
      </c>
      <c r="R30" t="str">
        <f>VLOOKUP(Tabla6[[#This Row],[KESIMO MENOR]],Tabla6[[#All],[ABS Z SCORE]:[Columna1]],2,FALSE)</f>
        <v>L6</v>
      </c>
    </row>
    <row r="31" spans="1:18" x14ac:dyDescent="0.25">
      <c r="A31" t="s">
        <v>4</v>
      </c>
      <c r="B31" t="s">
        <v>21</v>
      </c>
      <c r="C31" t="s">
        <v>40</v>
      </c>
      <c r="D31" s="16">
        <f>IF(C31='Data Entry'!$C$17,'Data Entry'!$D$20,L31)</f>
        <v>2.4700000000000002</v>
      </c>
      <c r="E31">
        <f t="shared" si="0"/>
        <v>-0.27420281602837682</v>
      </c>
      <c r="F31">
        <f t="shared" si="1"/>
        <v>2.8558750000000002</v>
      </c>
      <c r="G31">
        <f t="shared" si="2"/>
        <v>-1.365908775846413</v>
      </c>
      <c r="H31">
        <f t="shared" si="3"/>
        <v>4.1352482769058341E-2</v>
      </c>
      <c r="I31">
        <f t="shared" si="4"/>
        <v>5.670397517230942</v>
      </c>
      <c r="J31">
        <f t="shared" si="5"/>
        <v>7.0776587758464133</v>
      </c>
      <c r="K31">
        <f t="shared" si="6"/>
        <v>-0.38587499999999997</v>
      </c>
      <c r="L31">
        <v>2.4700000000000002</v>
      </c>
      <c r="M31">
        <f t="shared" si="7"/>
        <v>0.27302891568911603</v>
      </c>
      <c r="N31">
        <f>ABS(E31)+VALUE(MID(Tabla6[[#This Row],[Laboratorio]],2,2))*0.00000001</f>
        <v>0.27420289602837683</v>
      </c>
      <c r="O31" t="str">
        <f>Tabla6[[#This Row],[Laboratorio]]</f>
        <v>L8</v>
      </c>
      <c r="P31">
        <f t="shared" si="8"/>
        <v>0.4305348894200009</v>
      </c>
      <c r="Q31">
        <v>8</v>
      </c>
      <c r="R31" t="str">
        <f>VLOOKUP(Tabla6[[#This Row],[KESIMO MENOR]],Tabla6[[#All],[ABS Z SCORE]:[Columna1]],2,FALSE)</f>
        <v>L5</v>
      </c>
    </row>
    <row r="32" spans="1:18" x14ac:dyDescent="0.25">
      <c r="A32" t="s">
        <v>4</v>
      </c>
      <c r="B32" t="s">
        <v>21</v>
      </c>
      <c r="C32" t="s">
        <v>41</v>
      </c>
      <c r="D32" s="16">
        <f>IF(C32='Data Entry'!$C$17,'Data Entry'!$D$20,L32)</f>
        <v>2.78</v>
      </c>
      <c r="E32">
        <f t="shared" si="0"/>
        <v>-5.3916783067452387E-2</v>
      </c>
      <c r="F32">
        <f t="shared" si="1"/>
        <v>2.8558750000000002</v>
      </c>
      <c r="G32">
        <f t="shared" si="2"/>
        <v>-1.365908775846413</v>
      </c>
      <c r="H32">
        <f t="shared" si="3"/>
        <v>4.1352482769058341E-2</v>
      </c>
      <c r="I32">
        <f t="shared" si="4"/>
        <v>5.670397517230942</v>
      </c>
      <c r="J32">
        <f t="shared" si="5"/>
        <v>7.0776587758464133</v>
      </c>
      <c r="K32">
        <f t="shared" si="6"/>
        <v>-7.5875000000000359E-2</v>
      </c>
      <c r="L32">
        <v>2.78</v>
      </c>
      <c r="M32">
        <f t="shared" si="7"/>
        <v>0.28307667299569828</v>
      </c>
      <c r="N32">
        <f>ABS(E32)+VALUE(MID(Tabla6[[#This Row],[Laboratorio]],2,2))*0.00000001</f>
        <v>5.3916873067452388E-2</v>
      </c>
      <c r="O32" t="str">
        <f>Tabla6[[#This Row],[Laboratorio]]</f>
        <v>L9</v>
      </c>
      <c r="P32">
        <f t="shared" si="8"/>
        <v>0.60818490600139175</v>
      </c>
      <c r="Q32">
        <v>9</v>
      </c>
      <c r="R32" t="str">
        <f>VLOOKUP(Tabla6[[#This Row],[KESIMO MENOR]],Tabla6[[#All],[ABS Z SCORE]:[Columna1]],2,FALSE)</f>
        <v>L4</v>
      </c>
    </row>
    <row r="33" spans="1:18" x14ac:dyDescent="0.25">
      <c r="A33" t="s">
        <v>4</v>
      </c>
      <c r="B33" t="s">
        <v>21</v>
      </c>
      <c r="C33" t="s">
        <v>42</v>
      </c>
      <c r="D33" s="16">
        <f>IF(C33='Data Entry'!$C$17,'Data Entry'!$D$20,L33)</f>
        <v>3</v>
      </c>
      <c r="E33">
        <f t="shared" si="0"/>
        <v>0.10241524032417174</v>
      </c>
      <c r="F33">
        <f t="shared" si="1"/>
        <v>2.8558750000000002</v>
      </c>
      <c r="G33">
        <f t="shared" si="2"/>
        <v>-1.365908775846413</v>
      </c>
      <c r="H33">
        <f t="shared" si="3"/>
        <v>4.1352482769058341E-2</v>
      </c>
      <c r="I33">
        <f t="shared" si="4"/>
        <v>5.670397517230942</v>
      </c>
      <c r="J33">
        <f t="shared" si="5"/>
        <v>7.0776587758464133</v>
      </c>
      <c r="K33">
        <f t="shared" si="6"/>
        <v>0.14412499999999984</v>
      </c>
      <c r="L33">
        <v>3</v>
      </c>
      <c r="M33">
        <f t="shared" si="7"/>
        <v>0.28200558036897361</v>
      </c>
      <c r="N33">
        <f>ABS(E33)+VALUE(MID(Tabla6[[#This Row],[Laboratorio]],2,2))*0.00000001</f>
        <v>0.10241534032417174</v>
      </c>
      <c r="O33" t="str">
        <f>Tabla6[[#This Row],[Laboratorio]]</f>
        <v>L10</v>
      </c>
      <c r="P33">
        <f t="shared" si="8"/>
        <v>0.92671150366182553</v>
      </c>
      <c r="Q33">
        <v>10</v>
      </c>
      <c r="R33" t="str">
        <f>VLOOKUP(Tabla6[[#This Row],[KESIMO MENOR]],Tabla6[[#All],[ABS Z SCORE]:[Columna1]],2,FALSE)</f>
        <v>L14</v>
      </c>
    </row>
    <row r="34" spans="1:18" x14ac:dyDescent="0.25">
      <c r="A34" t="s">
        <v>4</v>
      </c>
      <c r="B34" t="s">
        <v>21</v>
      </c>
      <c r="C34" t="s">
        <v>43</v>
      </c>
      <c r="D34" s="16">
        <f>IF(C34='Data Entry'!$C$17,'Data Entry'!$D$20,L34)</f>
        <v>3.25</v>
      </c>
      <c r="E34">
        <f t="shared" si="0"/>
        <v>0.2800652669055626</v>
      </c>
      <c r="F34">
        <f t="shared" si="1"/>
        <v>2.8558750000000002</v>
      </c>
      <c r="G34">
        <f t="shared" si="2"/>
        <v>-1.365908775846413</v>
      </c>
      <c r="H34">
        <f t="shared" si="3"/>
        <v>4.1352482769058341E-2</v>
      </c>
      <c r="I34">
        <f t="shared" si="4"/>
        <v>5.670397517230942</v>
      </c>
      <c r="J34">
        <f t="shared" si="5"/>
        <v>7.0776587758464133</v>
      </c>
      <c r="K34">
        <f t="shared" si="6"/>
        <v>0.39412499999999984</v>
      </c>
      <c r="L34">
        <v>3.25</v>
      </c>
      <c r="M34">
        <f t="shared" si="7"/>
        <v>0.27258568993445781</v>
      </c>
      <c r="N34">
        <f>ABS(E34)+VALUE(MID(Tabla6[[#This Row],[Laboratorio]],2,2))*0.00000001</f>
        <v>0.2800653769055626</v>
      </c>
      <c r="O34" t="str">
        <f>Tabla6[[#This Row],[Laboratorio]]</f>
        <v>L11</v>
      </c>
      <c r="P34">
        <f t="shared" si="8"/>
        <v>1.0475135317371713</v>
      </c>
      <c r="Q34">
        <v>11</v>
      </c>
      <c r="R34" t="str">
        <f>VLOOKUP(Tabla6[[#This Row],[KESIMO MENOR]],Tabla6[[#All],[ABS Z SCORE]:[Columna1]],2,FALSE)</f>
        <v>L15</v>
      </c>
    </row>
    <row r="35" spans="1:18" x14ac:dyDescent="0.25">
      <c r="A35" t="s">
        <v>4</v>
      </c>
      <c r="B35" t="s">
        <v>21</v>
      </c>
      <c r="C35" t="s">
        <v>44</v>
      </c>
      <c r="D35" s="16">
        <f>IF(C35='Data Entry'!$C$17,'Data Entry'!$D$20,L35)</f>
        <v>6</v>
      </c>
      <c r="E35">
        <f t="shared" si="0"/>
        <v>2.2342155593008624</v>
      </c>
      <c r="F35">
        <f t="shared" si="1"/>
        <v>2.8558750000000002</v>
      </c>
      <c r="G35">
        <f t="shared" si="2"/>
        <v>-1.365908775846413</v>
      </c>
      <c r="H35">
        <f t="shared" si="3"/>
        <v>4.1352482769058341E-2</v>
      </c>
      <c r="I35">
        <f t="shared" si="4"/>
        <v>5.670397517230942</v>
      </c>
      <c r="J35">
        <f t="shared" si="5"/>
        <v>7.0776587758464133</v>
      </c>
      <c r="K35">
        <f t="shared" si="6"/>
        <v>3.1441249999999998</v>
      </c>
      <c r="L35">
        <v>3.27</v>
      </c>
      <c r="M35">
        <f t="shared" si="7"/>
        <v>2.3366694985369748E-2</v>
      </c>
      <c r="N35">
        <f>ABS(E35)+VALUE(MID(Tabla6[[#This Row],[Laboratorio]],2,2))*0.00000001</f>
        <v>2.2342156793008625</v>
      </c>
      <c r="O35" t="str">
        <f>Tabla6[[#This Row],[Laboratorio]]</f>
        <v>L12</v>
      </c>
      <c r="P35">
        <f t="shared" si="8"/>
        <v>1.0629689640497524</v>
      </c>
      <c r="Q35">
        <v>12</v>
      </c>
      <c r="R35" t="str">
        <f>VLOOKUP(Tabla6[[#This Row],[KESIMO MENOR]],Tabla6[[#All],[ABS Z SCORE]:[Columna1]],2,FALSE)</f>
        <v>L3</v>
      </c>
    </row>
    <row r="36" spans="1:18" x14ac:dyDescent="0.25">
      <c r="A36" t="s">
        <v>4</v>
      </c>
      <c r="B36" t="s">
        <v>21</v>
      </c>
      <c r="C36" t="s">
        <v>45</v>
      </c>
      <c r="D36" s="16">
        <f>IF(C36='Data Entry'!$C$17,'Data Entry'!$D$20,L36)</f>
        <v>3.34</v>
      </c>
      <c r="E36">
        <f t="shared" si="0"/>
        <v>0.34401927647486324</v>
      </c>
      <c r="F36">
        <f t="shared" si="1"/>
        <v>2.8558750000000002</v>
      </c>
      <c r="G36">
        <f t="shared" si="2"/>
        <v>-1.365908775846413</v>
      </c>
      <c r="H36">
        <f t="shared" si="3"/>
        <v>4.1352482769058341E-2</v>
      </c>
      <c r="I36">
        <f t="shared" si="4"/>
        <v>5.670397517230942</v>
      </c>
      <c r="J36">
        <f t="shared" si="5"/>
        <v>7.0776587758464133</v>
      </c>
      <c r="K36">
        <f t="shared" si="6"/>
        <v>0.48412499999999969</v>
      </c>
      <c r="L36">
        <v>3.34</v>
      </c>
      <c r="M36">
        <f t="shared" si="7"/>
        <v>0.267199793469036</v>
      </c>
      <c r="N36">
        <f>ABS(E36)+VALUE(MID(Tabla6[[#This Row],[Laboratorio]],2,2))*0.00000001</f>
        <v>0.34401940647486323</v>
      </c>
      <c r="O36" t="str">
        <f>Tabla6[[#This Row],[Laboratorio]]</f>
        <v>L13</v>
      </c>
      <c r="P36">
        <f t="shared" si="8"/>
        <v>1.225163568318562</v>
      </c>
      <c r="Q36">
        <v>13</v>
      </c>
      <c r="R36" t="str">
        <f>VLOOKUP(Tabla6[[#This Row],[KESIMO MENOR]],Tabla6[[#All],[ABS Z SCORE]:[Columna1]],2,FALSE)</f>
        <v>L16</v>
      </c>
    </row>
    <row r="37" spans="1:18" x14ac:dyDescent="0.25">
      <c r="A37" t="s">
        <v>4</v>
      </c>
      <c r="B37" t="s">
        <v>21</v>
      </c>
      <c r="C37" t="s">
        <v>46</v>
      </c>
      <c r="D37" s="16">
        <f>IF(C37='Data Entry'!$C$17,'Data Entry'!$D$20,L37)</f>
        <v>4.16</v>
      </c>
      <c r="E37">
        <f t="shared" si="0"/>
        <v>0.92671136366182549</v>
      </c>
      <c r="F37">
        <f t="shared" si="1"/>
        <v>2.8558750000000002</v>
      </c>
      <c r="G37">
        <f t="shared" si="2"/>
        <v>-1.365908775846413</v>
      </c>
      <c r="H37">
        <f t="shared" si="3"/>
        <v>4.1352482769058341E-2</v>
      </c>
      <c r="I37">
        <f t="shared" si="4"/>
        <v>5.670397517230942</v>
      </c>
      <c r="J37">
        <f t="shared" si="5"/>
        <v>7.0776587758464133</v>
      </c>
      <c r="K37">
        <f t="shared" si="6"/>
        <v>1.304125</v>
      </c>
      <c r="L37">
        <v>4.16</v>
      </c>
      <c r="M37">
        <f t="shared" si="7"/>
        <v>0.18452303824839356</v>
      </c>
      <c r="N37">
        <f>ABS(E37)+VALUE(MID(Tabla6[[#This Row],[Laboratorio]],2,2))*0.00000001</f>
        <v>0.92671150366182553</v>
      </c>
      <c r="O37" t="str">
        <f>Tabla6[[#This Row],[Laboratorio]]</f>
        <v>L14</v>
      </c>
      <c r="P37">
        <f t="shared" si="8"/>
        <v>1.2477249816943989</v>
      </c>
      <c r="Q37">
        <v>14</v>
      </c>
      <c r="R37" t="str">
        <f>VLOOKUP(Tabla6[[#This Row],[KESIMO MENOR]],Tabla6[[#All],[ABS Z SCORE]:[Columna1]],2,FALSE)</f>
        <v>L2</v>
      </c>
    </row>
    <row r="38" spans="1:18" x14ac:dyDescent="0.25">
      <c r="A38" t="s">
        <v>4</v>
      </c>
      <c r="B38" t="s">
        <v>21</v>
      </c>
      <c r="C38" t="s">
        <v>47</v>
      </c>
      <c r="D38" s="16">
        <f>IF(C38='Data Entry'!$C$17,'Data Entry'!$D$20,L38)</f>
        <v>4.33</v>
      </c>
      <c r="E38">
        <f t="shared" si="0"/>
        <v>1.0475133817371713</v>
      </c>
      <c r="F38">
        <f t="shared" si="1"/>
        <v>2.8558750000000002</v>
      </c>
      <c r="G38">
        <f t="shared" si="2"/>
        <v>-1.365908775846413</v>
      </c>
      <c r="H38">
        <f t="shared" si="3"/>
        <v>4.1352482769058341E-2</v>
      </c>
      <c r="I38">
        <f t="shared" si="4"/>
        <v>5.670397517230942</v>
      </c>
      <c r="J38">
        <f t="shared" si="5"/>
        <v>7.0776587758464133</v>
      </c>
      <c r="K38">
        <f t="shared" si="6"/>
        <v>1.4741249999999999</v>
      </c>
      <c r="L38">
        <v>4.33</v>
      </c>
      <c r="M38">
        <f t="shared" si="7"/>
        <v>0.16378083424975967</v>
      </c>
      <c r="N38">
        <f>ABS(E38)+VALUE(MID(Tabla6[[#This Row],[Laboratorio]],2,2))*0.00000001</f>
        <v>1.0475135317371713</v>
      </c>
      <c r="O38" t="str">
        <f>Tabla6[[#This Row],[Laboratorio]]</f>
        <v>L15</v>
      </c>
      <c r="P38">
        <f t="shared" si="8"/>
        <v>1.6314490291102033</v>
      </c>
      <c r="Q38">
        <v>15</v>
      </c>
      <c r="R38" t="str">
        <f>VLOOKUP(Tabla6[[#This Row],[KESIMO MENOR]],Tabla6[[#All],[ABS Z SCORE]:[Columna1]],2,FALSE)</f>
        <v>L1</v>
      </c>
    </row>
    <row r="39" spans="1:18" x14ac:dyDescent="0.25">
      <c r="A39" t="s">
        <v>4</v>
      </c>
      <c r="B39" t="s">
        <v>21</v>
      </c>
      <c r="C39" t="s">
        <v>48</v>
      </c>
      <c r="D39" s="16">
        <f>IF(C39='Data Entry'!$C$17,'Data Entry'!$D$20,L39)</f>
        <v>4.58</v>
      </c>
      <c r="E39">
        <f t="shared" si="0"/>
        <v>1.2251634083185621</v>
      </c>
      <c r="F39">
        <f t="shared" si="1"/>
        <v>2.8558750000000002</v>
      </c>
      <c r="G39">
        <f t="shared" si="2"/>
        <v>-1.365908775846413</v>
      </c>
      <c r="H39">
        <f t="shared" si="3"/>
        <v>4.1352482769058341E-2</v>
      </c>
      <c r="I39">
        <f t="shared" si="4"/>
        <v>5.670397517230942</v>
      </c>
      <c r="J39">
        <f t="shared" si="5"/>
        <v>7.0776587758464133</v>
      </c>
      <c r="K39">
        <f t="shared" si="6"/>
        <v>1.7241249999999999</v>
      </c>
      <c r="L39">
        <v>4.58</v>
      </c>
      <c r="M39">
        <f t="shared" si="7"/>
        <v>0.13384181418541113</v>
      </c>
      <c r="N39">
        <f>ABS(E39)+VALUE(MID(Tabla6[[#This Row],[Laboratorio]],2,2))*0.00000001</f>
        <v>1.225163568318562</v>
      </c>
      <c r="O39" t="str">
        <f>Tabla6[[#This Row],[Laboratorio]]</f>
        <v>L16</v>
      </c>
      <c r="P39">
        <f t="shared" si="8"/>
        <v>2.2342156793008625</v>
      </c>
      <c r="Q39">
        <v>16</v>
      </c>
      <c r="R39" t="str">
        <f>VLOOKUP(Tabla6[[#This Row],[KESIMO MENOR]],Tabla6[[#All],[ABS Z SCORE]:[Columna1]],2,FALSE)</f>
        <v>L12</v>
      </c>
    </row>
    <row r="43" spans="1:18" x14ac:dyDescent="0.25">
      <c r="B43" s="15" t="s">
        <v>49</v>
      </c>
      <c r="C43" s="15">
        <f>AVERAGE(D24:D39)</f>
        <v>2.8558750000000002</v>
      </c>
      <c r="D43" s="15"/>
    </row>
    <row r="44" spans="1:18" x14ac:dyDescent="0.25">
      <c r="B44" s="15" t="s">
        <v>58</v>
      </c>
      <c r="C44" s="15">
        <f>_xlfn.STDEV.S(D24:D39)</f>
        <v>1.4072612586154709</v>
      </c>
      <c r="D44" s="15"/>
    </row>
    <row r="45" spans="1:18" x14ac:dyDescent="0.25">
      <c r="B45" s="15" t="s">
        <v>28</v>
      </c>
      <c r="C45" s="15">
        <f>C44*2</f>
        <v>2.8145225172309418</v>
      </c>
      <c r="D45" s="15">
        <f>C45*-1</f>
        <v>-2.8145225172309418</v>
      </c>
    </row>
    <row r="46" spans="1:18" x14ac:dyDescent="0.25">
      <c r="B46" s="15" t="s">
        <v>29</v>
      </c>
      <c r="C46" s="15">
        <f>C44*3</f>
        <v>4.2217837758464132</v>
      </c>
      <c r="D46" s="15">
        <f>C46*-1</f>
        <v>-4.2217837758464132</v>
      </c>
    </row>
    <row r="47" spans="1:18" x14ac:dyDescent="0.25">
      <c r="B47" s="15" t="s">
        <v>82</v>
      </c>
      <c r="C47" s="15">
        <f>MAX(A51:A66)-VLOOKUP(VLOOKUP(Nitrogen!C9:F9,Tabla6[[#All],[Laboratorio]:[ABS Z SCORE]],12,FALSE),Tabla6[[#All],[KESIMO MENOR]:[Position]],2,FALSE)+1</f>
        <v>1</v>
      </c>
    </row>
    <row r="48" spans="1:18" x14ac:dyDescent="0.25">
      <c r="B48" s="15" t="s">
        <v>83</v>
      </c>
      <c r="C48" s="15">
        <f>MAX(A51:A66)+1</f>
        <v>17</v>
      </c>
    </row>
    <row r="50" spans="1:15" x14ac:dyDescent="0.25">
      <c r="A50" s="18" t="s">
        <v>84</v>
      </c>
      <c r="B50" s="18" t="s">
        <v>61</v>
      </c>
      <c r="C50" s="18" t="s">
        <v>52</v>
      </c>
      <c r="D50" s="18" t="s">
        <v>30</v>
      </c>
      <c r="E50" s="18" t="s">
        <v>26</v>
      </c>
      <c r="F50" s="26" t="s">
        <v>31</v>
      </c>
      <c r="G50" s="26" t="s">
        <v>32</v>
      </c>
      <c r="H50" s="26" t="s">
        <v>28</v>
      </c>
      <c r="I50" s="18" t="s">
        <v>29</v>
      </c>
      <c r="J50" s="18" t="s">
        <v>33</v>
      </c>
      <c r="K50" s="18" t="s">
        <v>18</v>
      </c>
      <c r="L50" s="18" t="s">
        <v>78</v>
      </c>
      <c r="M50" s="18" t="s">
        <v>77</v>
      </c>
      <c r="N50" s="27" t="s">
        <v>86</v>
      </c>
      <c r="O50" s="27" t="s">
        <v>87</v>
      </c>
    </row>
    <row r="51" spans="1:15" x14ac:dyDescent="0.25">
      <c r="A51">
        <v>1</v>
      </c>
      <c r="B51" t="str">
        <f>VLOOKUP(A51,Tabla6[[#All],[Position]:[Lab]],2,FALSE)</f>
        <v>L9</v>
      </c>
      <c r="C51">
        <f>VLOOKUP(B51,Tabla6[[#All],[Laboratorio]:[ABS Z SCORE]],2,FALSE)</f>
        <v>2.78</v>
      </c>
      <c r="D51">
        <f>VLOOKUP($B51,Tabla6[[#All],[Laboratorio]:[ABS Z SCORE]],3,FALSE)</f>
        <v>-5.3916783067452387E-2</v>
      </c>
      <c r="E51">
        <f>VLOOKUP($B51,Tabla6[[#All],[Laboratorio]:[ABS Z SCORE]],4,FALSE)</f>
        <v>2.8558750000000002</v>
      </c>
      <c r="F51">
        <f>VLOOKUP($B51,Tabla6[[#All],[Laboratorio]:[ABS Z SCORE]],5,FALSE)</f>
        <v>-1.365908775846413</v>
      </c>
      <c r="G51">
        <f>VLOOKUP($B51,Tabla6[[#All],[Laboratorio]:[ABS Z SCORE]],6,FALSE)</f>
        <v>4.1352482769058341E-2</v>
      </c>
      <c r="H51">
        <f>VLOOKUP($B51,Tabla6[[#All],[Laboratorio]:[ABS Z SCORE]],7,FALSE)</f>
        <v>5.670397517230942</v>
      </c>
      <c r="I51">
        <f>VLOOKUP($B51,Tabla6[[#All],[Laboratorio]:[ABS Z SCORE]],8,FALSE)</f>
        <v>7.0776587758464133</v>
      </c>
      <c r="J51">
        <f>VLOOKUP($B51,Tabla6[[#All],[Laboratorio]:[ABS Z SCORE]],9,FALSE)</f>
        <v>-7.5875000000000359E-2</v>
      </c>
      <c r="K51">
        <f>VLOOKUP($B51,Tabla6[[#All],[Laboratorio]:[ABS Z SCORE]],10,FALSE)</f>
        <v>2.78</v>
      </c>
      <c r="L51">
        <f>VLOOKUP($B51,Tabla6[[#All],[Laboratorio]:[ABS Z SCORE]],11,FALSE)</f>
        <v>0.28307667299569828</v>
      </c>
      <c r="M51">
        <f>VLOOKUP($B51,Tabla6[[#All],[Laboratorio]:[ABS Z SCORE]],12,FALSE)</f>
        <v>5.3916873067452388E-2</v>
      </c>
      <c r="N51">
        <f>SMALL($C$51:$C$66,A51)</f>
        <v>0.56000000000000005</v>
      </c>
      <c r="O51">
        <f>VLOOKUP(N51,$C$50:$L$66,10,FALSE)</f>
        <v>7.4915315507972341E-2</v>
      </c>
    </row>
    <row r="52" spans="1:15" x14ac:dyDescent="0.25">
      <c r="A52">
        <v>2</v>
      </c>
      <c r="B52" t="str">
        <f>VLOOKUP(A52,Tabla6[[#All],[Position]:[Lab]],2,FALSE)</f>
        <v>L10</v>
      </c>
      <c r="C52">
        <f>VLOOKUP(B52,Tabla6[[#All],[Laboratorio]:[ABS Z SCORE]],2,FALSE)</f>
        <v>3</v>
      </c>
      <c r="D52">
        <f>VLOOKUP($B52,Tabla6[[#All],[Laboratorio]:[ABS Z SCORE]],3,FALSE)</f>
        <v>0.10241524032417174</v>
      </c>
      <c r="E52">
        <f>VLOOKUP($B52,Tabla6[[#All],[Laboratorio]:[ABS Z SCORE]],4,FALSE)</f>
        <v>2.8558750000000002</v>
      </c>
      <c r="F52">
        <f>VLOOKUP($B52,Tabla6[[#All],[Laboratorio]:[ABS Z SCORE]],5,FALSE)</f>
        <v>-1.365908775846413</v>
      </c>
      <c r="G52">
        <f>VLOOKUP($B52,Tabla6[[#All],[Laboratorio]:[ABS Z SCORE]],6,FALSE)</f>
        <v>4.1352482769058341E-2</v>
      </c>
      <c r="H52">
        <f>VLOOKUP($B52,Tabla6[[#All],[Laboratorio]:[ABS Z SCORE]],7,FALSE)</f>
        <v>5.670397517230942</v>
      </c>
      <c r="I52">
        <f>VLOOKUP($B52,Tabla6[[#All],[Laboratorio]:[ABS Z SCORE]],8,FALSE)</f>
        <v>7.0776587758464133</v>
      </c>
      <c r="J52">
        <f>VLOOKUP($B52,Tabla6[[#All],[Laboratorio]:[ABS Z SCORE]],9,FALSE)</f>
        <v>0.14412499999999984</v>
      </c>
      <c r="K52">
        <f>VLOOKUP($B52,Tabla6[[#All],[Laboratorio]:[ABS Z SCORE]],10,FALSE)</f>
        <v>3</v>
      </c>
      <c r="L52">
        <f>VLOOKUP($B52,Tabla6[[#All],[Laboratorio]:[ABS Z SCORE]],11,FALSE)</f>
        <v>0.28200558036897361</v>
      </c>
      <c r="M52">
        <f>VLOOKUP($B52,Tabla6[[#All],[Laboratorio]:[ABS Z SCORE]],12,FALSE)</f>
        <v>0.10241534032417174</v>
      </c>
      <c r="N52">
        <f t="shared" ref="N52:N66" si="9">SMALL($C$51:$C$66,A52)</f>
        <v>1.1000000000000001</v>
      </c>
      <c r="O52">
        <f t="shared" ref="O52:O66" si="10">VLOOKUP(N52,$C$50:$L$66,10,FALSE)</f>
        <v>0.13015974580840028</v>
      </c>
    </row>
    <row r="53" spans="1:15" x14ac:dyDescent="0.25">
      <c r="A53">
        <v>3</v>
      </c>
      <c r="B53" t="str">
        <f>VLOOKUP(A53,Tabla6[[#All],[Position]:[Lab]],2,FALSE)</f>
        <v>L8</v>
      </c>
      <c r="C53">
        <f>VLOOKUP(B53,Tabla6[[#All],[Laboratorio]:[ABS Z SCORE]],2,FALSE)</f>
        <v>2.4700000000000002</v>
      </c>
      <c r="D53">
        <f>VLOOKUP($B53,Tabla6[[#All],[Laboratorio]:[ABS Z SCORE]],3,FALSE)</f>
        <v>-0.27420281602837682</v>
      </c>
      <c r="E53">
        <f>VLOOKUP($B53,Tabla6[[#All],[Laboratorio]:[ABS Z SCORE]],4,FALSE)</f>
        <v>2.8558750000000002</v>
      </c>
      <c r="F53">
        <f>VLOOKUP($B53,Tabla6[[#All],[Laboratorio]:[ABS Z SCORE]],5,FALSE)</f>
        <v>-1.365908775846413</v>
      </c>
      <c r="G53">
        <f>VLOOKUP($B53,Tabla6[[#All],[Laboratorio]:[ABS Z SCORE]],6,FALSE)</f>
        <v>4.1352482769058341E-2</v>
      </c>
      <c r="H53">
        <f>VLOOKUP($B53,Tabla6[[#All],[Laboratorio]:[ABS Z SCORE]],7,FALSE)</f>
        <v>5.670397517230942</v>
      </c>
      <c r="I53">
        <f>VLOOKUP($B53,Tabla6[[#All],[Laboratorio]:[ABS Z SCORE]],8,FALSE)</f>
        <v>7.0776587758464133</v>
      </c>
      <c r="J53">
        <f>VLOOKUP($B53,Tabla6[[#All],[Laboratorio]:[ABS Z SCORE]],9,FALSE)</f>
        <v>-0.38587499999999997</v>
      </c>
      <c r="K53">
        <f>VLOOKUP($B53,Tabla6[[#All],[Laboratorio]:[ABS Z SCORE]],10,FALSE)</f>
        <v>2.4700000000000002</v>
      </c>
      <c r="L53">
        <f>VLOOKUP($B53,Tabla6[[#All],[Laboratorio]:[ABS Z SCORE]],11,FALSE)</f>
        <v>0.27302891568911603</v>
      </c>
      <c r="M53">
        <f>VLOOKUP($B53,Tabla6[[#All],[Laboratorio]:[ABS Z SCORE]],12,FALSE)</f>
        <v>0.27420289602837683</v>
      </c>
      <c r="N53">
        <f t="shared" si="9"/>
        <v>1.36</v>
      </c>
      <c r="O53">
        <f t="shared" si="10"/>
        <v>0.16113134222609582</v>
      </c>
    </row>
    <row r="54" spans="1:15" x14ac:dyDescent="0.25">
      <c r="A54">
        <v>4</v>
      </c>
      <c r="B54" t="str">
        <f>VLOOKUP(A54,Tabla6[[#All],[Position]:[Lab]],2,FALSE)</f>
        <v>L11</v>
      </c>
      <c r="C54">
        <f>VLOOKUP(B54,Tabla6[[#All],[Laboratorio]:[ABS Z SCORE]],2,FALSE)</f>
        <v>3.25</v>
      </c>
      <c r="D54">
        <f>VLOOKUP($B54,Tabla6[[#All],[Laboratorio]:[ABS Z SCORE]],3,FALSE)</f>
        <v>0.2800652669055626</v>
      </c>
      <c r="E54">
        <f>VLOOKUP($B54,Tabla6[[#All],[Laboratorio]:[ABS Z SCORE]],4,FALSE)</f>
        <v>2.8558750000000002</v>
      </c>
      <c r="F54">
        <f>VLOOKUP($B54,Tabla6[[#All],[Laboratorio]:[ABS Z SCORE]],5,FALSE)</f>
        <v>-1.365908775846413</v>
      </c>
      <c r="G54">
        <f>VLOOKUP($B54,Tabla6[[#All],[Laboratorio]:[ABS Z SCORE]],6,FALSE)</f>
        <v>4.1352482769058341E-2</v>
      </c>
      <c r="H54">
        <f>VLOOKUP($B54,Tabla6[[#All],[Laboratorio]:[ABS Z SCORE]],7,FALSE)</f>
        <v>5.670397517230942</v>
      </c>
      <c r="I54">
        <f>VLOOKUP($B54,Tabla6[[#All],[Laboratorio]:[ABS Z SCORE]],8,FALSE)</f>
        <v>7.0776587758464133</v>
      </c>
      <c r="J54">
        <f>VLOOKUP($B54,Tabla6[[#All],[Laboratorio]:[ABS Z SCORE]],9,FALSE)</f>
        <v>0.39412499999999984</v>
      </c>
      <c r="K54">
        <f>VLOOKUP($B54,Tabla6[[#All],[Laboratorio]:[ABS Z SCORE]],10,FALSE)</f>
        <v>3.25</v>
      </c>
      <c r="L54">
        <f>VLOOKUP($B54,Tabla6[[#All],[Laboratorio]:[ABS Z SCORE]],11,FALSE)</f>
        <v>0.27258568993445781</v>
      </c>
      <c r="M54">
        <f>VLOOKUP($B54,Tabla6[[#All],[Laboratorio]:[ABS Z SCORE]],12,FALSE)</f>
        <v>0.2800653769055626</v>
      </c>
      <c r="N54">
        <f t="shared" si="9"/>
        <v>2</v>
      </c>
      <c r="O54">
        <f t="shared" si="10"/>
        <v>0.23562154250918557</v>
      </c>
    </row>
    <row r="55" spans="1:15" x14ac:dyDescent="0.25">
      <c r="A55">
        <v>5</v>
      </c>
      <c r="B55" t="str">
        <f>VLOOKUP(A55,Tabla6[[#All],[Position]:[Lab]],2,FALSE)</f>
        <v>L13</v>
      </c>
      <c r="C55">
        <f>VLOOKUP(B55,Tabla6[[#All],[Laboratorio]:[ABS Z SCORE]],2,FALSE)</f>
        <v>3.34</v>
      </c>
      <c r="D55">
        <f>VLOOKUP($B55,Tabla6[[#All],[Laboratorio]:[ABS Z SCORE]],3,FALSE)</f>
        <v>0.34401927647486324</v>
      </c>
      <c r="E55">
        <f>VLOOKUP($B55,Tabla6[[#All],[Laboratorio]:[ABS Z SCORE]],4,FALSE)</f>
        <v>2.8558750000000002</v>
      </c>
      <c r="F55">
        <f>VLOOKUP($B55,Tabla6[[#All],[Laboratorio]:[ABS Z SCORE]],5,FALSE)</f>
        <v>-1.365908775846413</v>
      </c>
      <c r="G55">
        <f>VLOOKUP($B55,Tabla6[[#All],[Laboratorio]:[ABS Z SCORE]],6,FALSE)</f>
        <v>4.1352482769058341E-2</v>
      </c>
      <c r="H55">
        <f>VLOOKUP($B55,Tabla6[[#All],[Laboratorio]:[ABS Z SCORE]],7,FALSE)</f>
        <v>5.670397517230942</v>
      </c>
      <c r="I55">
        <f>VLOOKUP($B55,Tabla6[[#All],[Laboratorio]:[ABS Z SCORE]],8,FALSE)</f>
        <v>7.0776587758464133</v>
      </c>
      <c r="J55">
        <f>VLOOKUP($B55,Tabla6[[#All],[Laboratorio]:[ABS Z SCORE]],9,FALSE)</f>
        <v>0.48412499999999969</v>
      </c>
      <c r="K55">
        <f>VLOOKUP($B55,Tabla6[[#All],[Laboratorio]:[ABS Z SCORE]],10,FALSE)</f>
        <v>3.34</v>
      </c>
      <c r="L55">
        <f>VLOOKUP($B55,Tabla6[[#All],[Laboratorio]:[ABS Z SCORE]],11,FALSE)</f>
        <v>0.267199793469036</v>
      </c>
      <c r="M55">
        <f>VLOOKUP($B55,Tabla6[[#All],[Laboratorio]:[ABS Z SCORE]],12,FALSE)</f>
        <v>0.34401940647486323</v>
      </c>
      <c r="N55">
        <f t="shared" si="9"/>
        <v>2.25</v>
      </c>
      <c r="O55">
        <f t="shared" si="10"/>
        <v>0.25839545326576296</v>
      </c>
    </row>
    <row r="56" spans="1:15" x14ac:dyDescent="0.25">
      <c r="A56">
        <v>6</v>
      </c>
      <c r="B56" t="str">
        <f>VLOOKUP(A56,Tabla6[[#All],[Position]:[Lab]],2,FALSE)</f>
        <v>L7</v>
      </c>
      <c r="C56">
        <f>VLOOKUP(B56,Tabla6[[#All],[Laboratorio]:[ABS Z SCORE]],2,FALSE)</f>
        <v>2.2599999999999998</v>
      </c>
      <c r="D56">
        <f>VLOOKUP($B56,Tabla6[[#All],[Laboratorio]:[ABS Z SCORE]],3,FALSE)</f>
        <v>-0.42342883835674544</v>
      </c>
      <c r="E56">
        <f>VLOOKUP($B56,Tabla6[[#All],[Laboratorio]:[ABS Z SCORE]],4,FALSE)</f>
        <v>2.8558750000000002</v>
      </c>
      <c r="F56">
        <f>VLOOKUP($B56,Tabla6[[#All],[Laboratorio]:[ABS Z SCORE]],5,FALSE)</f>
        <v>-1.365908775846413</v>
      </c>
      <c r="G56">
        <f>VLOOKUP($B56,Tabla6[[#All],[Laboratorio]:[ABS Z SCORE]],6,FALSE)</f>
        <v>4.1352482769058341E-2</v>
      </c>
      <c r="H56">
        <f>VLOOKUP($B56,Tabla6[[#All],[Laboratorio]:[ABS Z SCORE]],7,FALSE)</f>
        <v>5.670397517230942</v>
      </c>
      <c r="I56">
        <f>VLOOKUP($B56,Tabla6[[#All],[Laboratorio]:[ABS Z SCORE]],8,FALSE)</f>
        <v>7.0776587758464133</v>
      </c>
      <c r="J56">
        <f>VLOOKUP($B56,Tabla6[[#All],[Laboratorio]:[ABS Z SCORE]],9,FALSE)</f>
        <v>-0.59587500000000038</v>
      </c>
      <c r="K56">
        <f>VLOOKUP($B56,Tabla6[[#All],[Laboratorio]:[ABS Z SCORE]],10,FALSE)</f>
        <v>2.2599999999999998</v>
      </c>
      <c r="L56">
        <f>VLOOKUP($B56,Tabla6[[#All],[Laboratorio]:[ABS Z SCORE]],11,FALSE)</f>
        <v>0.25918065013486608</v>
      </c>
      <c r="M56">
        <f>VLOOKUP($B56,Tabla6[[#All],[Laboratorio]:[ABS Z SCORE]],12,FALSE)</f>
        <v>0.42342890835674546</v>
      </c>
      <c r="N56">
        <f t="shared" si="9"/>
        <v>2.254</v>
      </c>
      <c r="O56">
        <f t="shared" si="10"/>
        <v>0.25871081379067662</v>
      </c>
    </row>
    <row r="57" spans="1:15" x14ac:dyDescent="0.25">
      <c r="A57">
        <v>7</v>
      </c>
      <c r="B57" t="str">
        <f>VLOOKUP(A57,Tabla6[[#All],[Position]:[Lab]],2,FALSE)</f>
        <v>L6</v>
      </c>
      <c r="C57">
        <f>VLOOKUP(B57,Tabla6[[#All],[Laboratorio]:[ABS Z SCORE]],2,FALSE)</f>
        <v>2.254</v>
      </c>
      <c r="D57">
        <f>VLOOKUP($B57,Tabla6[[#All],[Laboratorio]:[ABS Z SCORE]],3,FALSE)</f>
        <v>-0.42769243899469866</v>
      </c>
      <c r="E57">
        <f>VLOOKUP($B57,Tabla6[[#All],[Laboratorio]:[ABS Z SCORE]],4,FALSE)</f>
        <v>2.8558750000000002</v>
      </c>
      <c r="F57">
        <f>VLOOKUP($B57,Tabla6[[#All],[Laboratorio]:[ABS Z SCORE]],5,FALSE)</f>
        <v>-1.365908775846413</v>
      </c>
      <c r="G57">
        <f>VLOOKUP($B57,Tabla6[[#All],[Laboratorio]:[ABS Z SCORE]],6,FALSE)</f>
        <v>4.1352482769058341E-2</v>
      </c>
      <c r="H57">
        <f>VLOOKUP($B57,Tabla6[[#All],[Laboratorio]:[ABS Z SCORE]],7,FALSE)</f>
        <v>5.670397517230942</v>
      </c>
      <c r="I57">
        <f>VLOOKUP($B57,Tabla6[[#All],[Laboratorio]:[ABS Z SCORE]],8,FALSE)</f>
        <v>7.0776587758464133</v>
      </c>
      <c r="J57">
        <f>VLOOKUP($B57,Tabla6[[#All],[Laboratorio]:[ABS Z SCORE]],9,FALSE)</f>
        <v>-0.60187500000000016</v>
      </c>
      <c r="K57">
        <f>VLOOKUP($B57,Tabla6[[#All],[Laboratorio]:[ABS Z SCORE]],10,FALSE)</f>
        <v>2.254</v>
      </c>
      <c r="L57">
        <f>VLOOKUP($B57,Tabla6[[#All],[Laboratorio]:[ABS Z SCORE]],11,FALSE)</f>
        <v>0.25871081379067662</v>
      </c>
      <c r="M57">
        <f>VLOOKUP($B57,Tabla6[[#All],[Laboratorio]:[ABS Z SCORE]],12,FALSE)</f>
        <v>0.42769249899469869</v>
      </c>
      <c r="N57">
        <f t="shared" si="9"/>
        <v>2.2599999999999998</v>
      </c>
      <c r="O57">
        <f t="shared" si="10"/>
        <v>0.25918065013486608</v>
      </c>
    </row>
    <row r="58" spans="1:15" x14ac:dyDescent="0.25">
      <c r="A58">
        <v>8</v>
      </c>
      <c r="B58" t="str">
        <f>VLOOKUP(A58,Tabla6[[#All],[Position]:[Lab]],2,FALSE)</f>
        <v>L5</v>
      </c>
      <c r="C58">
        <f>VLOOKUP(B58,Tabla6[[#All],[Laboratorio]:[ABS Z SCORE]],2,FALSE)</f>
        <v>2.25</v>
      </c>
      <c r="D58">
        <f>VLOOKUP($B58,Tabla6[[#All],[Laboratorio]:[ABS Z SCORE]],3,FALSE)</f>
        <v>-0.43053483942000093</v>
      </c>
      <c r="E58">
        <f>VLOOKUP($B58,Tabla6[[#All],[Laboratorio]:[ABS Z SCORE]],4,FALSE)</f>
        <v>2.8558750000000002</v>
      </c>
      <c r="F58">
        <f>VLOOKUP($B58,Tabla6[[#All],[Laboratorio]:[ABS Z SCORE]],5,FALSE)</f>
        <v>-1.365908775846413</v>
      </c>
      <c r="G58">
        <f>VLOOKUP($B58,Tabla6[[#All],[Laboratorio]:[ABS Z SCORE]],6,FALSE)</f>
        <v>4.1352482769058341E-2</v>
      </c>
      <c r="H58">
        <f>VLOOKUP($B58,Tabla6[[#All],[Laboratorio]:[ABS Z SCORE]],7,FALSE)</f>
        <v>5.670397517230942</v>
      </c>
      <c r="I58">
        <f>VLOOKUP($B58,Tabla6[[#All],[Laboratorio]:[ABS Z SCORE]],8,FALSE)</f>
        <v>7.0776587758464133</v>
      </c>
      <c r="J58">
        <f>VLOOKUP($B58,Tabla6[[#All],[Laboratorio]:[ABS Z SCORE]],9,FALSE)</f>
        <v>-0.60587500000000016</v>
      </c>
      <c r="K58">
        <f>VLOOKUP($B58,Tabla6[[#All],[Laboratorio]:[ABS Z SCORE]],10,FALSE)</f>
        <v>2.25</v>
      </c>
      <c r="L58">
        <f>VLOOKUP($B58,Tabla6[[#All],[Laboratorio]:[ABS Z SCORE]],11,FALSE)</f>
        <v>0.25839545326576296</v>
      </c>
      <c r="M58">
        <f>VLOOKUP($B58,Tabla6[[#All],[Laboratorio]:[ABS Z SCORE]],12,FALSE)</f>
        <v>0.4305348894200009</v>
      </c>
      <c r="N58">
        <f t="shared" si="9"/>
        <v>2.4700000000000002</v>
      </c>
      <c r="O58">
        <f t="shared" si="10"/>
        <v>0.27302891568911603</v>
      </c>
    </row>
    <row r="59" spans="1:15" x14ac:dyDescent="0.25">
      <c r="A59">
        <v>9</v>
      </c>
      <c r="B59" t="str">
        <f>VLOOKUP(A59,Tabla6[[#All],[Position]:[Lab]],2,FALSE)</f>
        <v>L4</v>
      </c>
      <c r="C59">
        <f>VLOOKUP(B59,Tabla6[[#All],[Laboratorio]:[ABS Z SCORE]],2,FALSE)</f>
        <v>2</v>
      </c>
      <c r="D59">
        <f>VLOOKUP($B59,Tabla6[[#All],[Laboratorio]:[ABS Z SCORE]],3,FALSE)</f>
        <v>-0.60818486600139177</v>
      </c>
      <c r="E59">
        <f>VLOOKUP($B59,Tabla6[[#All],[Laboratorio]:[ABS Z SCORE]],4,FALSE)</f>
        <v>2.8558750000000002</v>
      </c>
      <c r="F59">
        <f>VLOOKUP($B59,Tabla6[[#All],[Laboratorio]:[ABS Z SCORE]],5,FALSE)</f>
        <v>-1.365908775846413</v>
      </c>
      <c r="G59">
        <f>VLOOKUP($B59,Tabla6[[#All],[Laboratorio]:[ABS Z SCORE]],6,FALSE)</f>
        <v>4.1352482769058341E-2</v>
      </c>
      <c r="H59">
        <f>VLOOKUP($B59,Tabla6[[#All],[Laboratorio]:[ABS Z SCORE]],7,FALSE)</f>
        <v>5.670397517230942</v>
      </c>
      <c r="I59">
        <f>VLOOKUP($B59,Tabla6[[#All],[Laboratorio]:[ABS Z SCORE]],8,FALSE)</f>
        <v>7.0776587758464133</v>
      </c>
      <c r="J59">
        <f>VLOOKUP($B59,Tabla6[[#All],[Laboratorio]:[ABS Z SCORE]],9,FALSE)</f>
        <v>-0.85587500000000016</v>
      </c>
      <c r="K59">
        <f>VLOOKUP($B59,Tabla6[[#All],[Laboratorio]:[ABS Z SCORE]],10,FALSE)</f>
        <v>2</v>
      </c>
      <c r="L59">
        <f>VLOOKUP($B59,Tabla6[[#All],[Laboratorio]:[ABS Z SCORE]],11,FALSE)</f>
        <v>0.23562154250918557</v>
      </c>
      <c r="M59">
        <f>VLOOKUP($B59,Tabla6[[#All],[Laboratorio]:[ABS Z SCORE]],12,FALSE)</f>
        <v>0.60818490600139175</v>
      </c>
      <c r="N59">
        <f t="shared" si="9"/>
        <v>2.78</v>
      </c>
      <c r="O59">
        <f t="shared" si="10"/>
        <v>0.28307667299569828</v>
      </c>
    </row>
    <row r="60" spans="1:15" x14ac:dyDescent="0.25">
      <c r="A60">
        <v>10</v>
      </c>
      <c r="B60" t="str">
        <f>VLOOKUP(A60,Tabla6[[#All],[Position]:[Lab]],2,FALSE)</f>
        <v>L14</v>
      </c>
      <c r="C60">
        <f>VLOOKUP(B60,Tabla6[[#All],[Laboratorio]:[ABS Z SCORE]],2,FALSE)</f>
        <v>4.16</v>
      </c>
      <c r="D60">
        <f>VLOOKUP($B60,Tabla6[[#All],[Laboratorio]:[ABS Z SCORE]],3,FALSE)</f>
        <v>0.92671136366182549</v>
      </c>
      <c r="E60">
        <f>VLOOKUP($B60,Tabla6[[#All],[Laboratorio]:[ABS Z SCORE]],4,FALSE)</f>
        <v>2.8558750000000002</v>
      </c>
      <c r="F60">
        <f>VLOOKUP($B60,Tabla6[[#All],[Laboratorio]:[ABS Z SCORE]],5,FALSE)</f>
        <v>-1.365908775846413</v>
      </c>
      <c r="G60">
        <f>VLOOKUP($B60,Tabla6[[#All],[Laboratorio]:[ABS Z SCORE]],6,FALSE)</f>
        <v>4.1352482769058341E-2</v>
      </c>
      <c r="H60">
        <f>VLOOKUP($B60,Tabla6[[#All],[Laboratorio]:[ABS Z SCORE]],7,FALSE)</f>
        <v>5.670397517230942</v>
      </c>
      <c r="I60">
        <f>VLOOKUP($B60,Tabla6[[#All],[Laboratorio]:[ABS Z SCORE]],8,FALSE)</f>
        <v>7.0776587758464133</v>
      </c>
      <c r="J60">
        <f>VLOOKUP($B60,Tabla6[[#All],[Laboratorio]:[ABS Z SCORE]],9,FALSE)</f>
        <v>1.304125</v>
      </c>
      <c r="K60">
        <f>VLOOKUP($B60,Tabla6[[#All],[Laboratorio]:[ABS Z SCORE]],10,FALSE)</f>
        <v>4.16</v>
      </c>
      <c r="L60">
        <f>VLOOKUP($B60,Tabla6[[#All],[Laboratorio]:[ABS Z SCORE]],11,FALSE)</f>
        <v>0.18452303824839356</v>
      </c>
      <c r="M60">
        <f>VLOOKUP($B60,Tabla6[[#All],[Laboratorio]:[ABS Z SCORE]],12,FALSE)</f>
        <v>0.92671150366182553</v>
      </c>
      <c r="N60">
        <f t="shared" si="9"/>
        <v>3</v>
      </c>
      <c r="O60">
        <f t="shared" si="10"/>
        <v>0.28200558036897361</v>
      </c>
    </row>
    <row r="61" spans="1:15" x14ac:dyDescent="0.25">
      <c r="A61">
        <v>11</v>
      </c>
      <c r="B61" t="str">
        <f>VLOOKUP(A61,Tabla6[[#All],[Position]:[Lab]],2,FALSE)</f>
        <v>L15</v>
      </c>
      <c r="C61">
        <f>VLOOKUP(B61,Tabla6[[#All],[Laboratorio]:[ABS Z SCORE]],2,FALSE)</f>
        <v>4.33</v>
      </c>
      <c r="D61">
        <f>VLOOKUP($B61,Tabla6[[#All],[Laboratorio]:[ABS Z SCORE]],3,FALSE)</f>
        <v>1.0475133817371713</v>
      </c>
      <c r="E61">
        <f>VLOOKUP($B61,Tabla6[[#All],[Laboratorio]:[ABS Z SCORE]],4,FALSE)</f>
        <v>2.8558750000000002</v>
      </c>
      <c r="F61">
        <f>VLOOKUP($B61,Tabla6[[#All],[Laboratorio]:[ABS Z SCORE]],5,FALSE)</f>
        <v>-1.365908775846413</v>
      </c>
      <c r="G61">
        <f>VLOOKUP($B61,Tabla6[[#All],[Laboratorio]:[ABS Z SCORE]],6,FALSE)</f>
        <v>4.1352482769058341E-2</v>
      </c>
      <c r="H61">
        <f>VLOOKUP($B61,Tabla6[[#All],[Laboratorio]:[ABS Z SCORE]],7,FALSE)</f>
        <v>5.670397517230942</v>
      </c>
      <c r="I61">
        <f>VLOOKUP($B61,Tabla6[[#All],[Laboratorio]:[ABS Z SCORE]],8,FALSE)</f>
        <v>7.0776587758464133</v>
      </c>
      <c r="J61">
        <f>VLOOKUP($B61,Tabla6[[#All],[Laboratorio]:[ABS Z SCORE]],9,FALSE)</f>
        <v>1.4741249999999999</v>
      </c>
      <c r="K61">
        <f>VLOOKUP($B61,Tabla6[[#All],[Laboratorio]:[ABS Z SCORE]],10,FALSE)</f>
        <v>4.33</v>
      </c>
      <c r="L61">
        <f>VLOOKUP($B61,Tabla6[[#All],[Laboratorio]:[ABS Z SCORE]],11,FALSE)</f>
        <v>0.16378083424975967</v>
      </c>
      <c r="M61">
        <f>VLOOKUP($B61,Tabla6[[#All],[Laboratorio]:[ABS Z SCORE]],12,FALSE)</f>
        <v>1.0475135317371713</v>
      </c>
      <c r="N61">
        <f t="shared" si="9"/>
        <v>3.25</v>
      </c>
      <c r="O61">
        <f t="shared" si="10"/>
        <v>0.27258568993445781</v>
      </c>
    </row>
    <row r="62" spans="1:15" x14ac:dyDescent="0.25">
      <c r="A62">
        <v>12</v>
      </c>
      <c r="B62" t="str">
        <f>VLOOKUP(A62,Tabla6[[#All],[Position]:[Lab]],2,FALSE)</f>
        <v>L3</v>
      </c>
      <c r="C62">
        <f>VLOOKUP(B62,Tabla6[[#All],[Laboratorio]:[ABS Z SCORE]],2,FALSE)</f>
        <v>1.36</v>
      </c>
      <c r="D62">
        <f>VLOOKUP($B62,Tabla6[[#All],[Laboratorio]:[ABS Z SCORE]],3,FALSE)</f>
        <v>-1.0629689340497523</v>
      </c>
      <c r="E62">
        <f>VLOOKUP($B62,Tabla6[[#All],[Laboratorio]:[ABS Z SCORE]],4,FALSE)</f>
        <v>2.8558750000000002</v>
      </c>
      <c r="F62">
        <f>VLOOKUP($B62,Tabla6[[#All],[Laboratorio]:[ABS Z SCORE]],5,FALSE)</f>
        <v>-1.365908775846413</v>
      </c>
      <c r="G62">
        <f>VLOOKUP($B62,Tabla6[[#All],[Laboratorio]:[ABS Z SCORE]],6,FALSE)</f>
        <v>4.1352482769058341E-2</v>
      </c>
      <c r="H62">
        <f>VLOOKUP($B62,Tabla6[[#All],[Laboratorio]:[ABS Z SCORE]],7,FALSE)</f>
        <v>5.670397517230942</v>
      </c>
      <c r="I62">
        <f>VLOOKUP($B62,Tabla6[[#All],[Laboratorio]:[ABS Z SCORE]],8,FALSE)</f>
        <v>7.0776587758464133</v>
      </c>
      <c r="J62">
        <f>VLOOKUP($B62,Tabla6[[#All],[Laboratorio]:[ABS Z SCORE]],9,FALSE)</f>
        <v>-1.4958750000000001</v>
      </c>
      <c r="K62">
        <f>VLOOKUP($B62,Tabla6[[#All],[Laboratorio]:[ABS Z SCORE]],10,FALSE)</f>
        <v>1.36</v>
      </c>
      <c r="L62">
        <f>VLOOKUP($B62,Tabla6[[#All],[Laboratorio]:[ABS Z SCORE]],11,FALSE)</f>
        <v>0.16113134222609582</v>
      </c>
      <c r="M62">
        <f>VLOOKUP($B62,Tabla6[[#All],[Laboratorio]:[ABS Z SCORE]],12,FALSE)</f>
        <v>1.0629689640497524</v>
      </c>
      <c r="N62">
        <f t="shared" si="9"/>
        <v>3.34</v>
      </c>
      <c r="O62">
        <f t="shared" si="10"/>
        <v>0.267199793469036</v>
      </c>
    </row>
    <row r="63" spans="1:15" x14ac:dyDescent="0.25">
      <c r="A63">
        <v>13</v>
      </c>
      <c r="B63" t="str">
        <f>VLOOKUP(A63,Tabla6[[#All],[Position]:[Lab]],2,FALSE)</f>
        <v>L16</v>
      </c>
      <c r="C63">
        <f>VLOOKUP(B63,Tabla6[[#All],[Laboratorio]:[ABS Z SCORE]],2,FALSE)</f>
        <v>4.58</v>
      </c>
      <c r="D63">
        <f>VLOOKUP($B63,Tabla6[[#All],[Laboratorio]:[ABS Z SCORE]],3,FALSE)</f>
        <v>1.2251634083185621</v>
      </c>
      <c r="E63">
        <f>VLOOKUP($B63,Tabla6[[#All],[Laboratorio]:[ABS Z SCORE]],4,FALSE)</f>
        <v>2.8558750000000002</v>
      </c>
      <c r="F63">
        <f>VLOOKUP($B63,Tabla6[[#All],[Laboratorio]:[ABS Z SCORE]],5,FALSE)</f>
        <v>-1.365908775846413</v>
      </c>
      <c r="G63">
        <f>VLOOKUP($B63,Tabla6[[#All],[Laboratorio]:[ABS Z SCORE]],6,FALSE)</f>
        <v>4.1352482769058341E-2</v>
      </c>
      <c r="H63">
        <f>VLOOKUP($B63,Tabla6[[#All],[Laboratorio]:[ABS Z SCORE]],7,FALSE)</f>
        <v>5.670397517230942</v>
      </c>
      <c r="I63">
        <f>VLOOKUP($B63,Tabla6[[#All],[Laboratorio]:[ABS Z SCORE]],8,FALSE)</f>
        <v>7.0776587758464133</v>
      </c>
      <c r="J63">
        <f>VLOOKUP($B63,Tabla6[[#All],[Laboratorio]:[ABS Z SCORE]],9,FALSE)</f>
        <v>1.7241249999999999</v>
      </c>
      <c r="K63">
        <f>VLOOKUP($B63,Tabla6[[#All],[Laboratorio]:[ABS Z SCORE]],10,FALSE)</f>
        <v>4.58</v>
      </c>
      <c r="L63">
        <f>VLOOKUP($B63,Tabla6[[#All],[Laboratorio]:[ABS Z SCORE]],11,FALSE)</f>
        <v>0.13384181418541113</v>
      </c>
      <c r="M63">
        <f>VLOOKUP($B63,Tabla6[[#All],[Laboratorio]:[ABS Z SCORE]],12,FALSE)</f>
        <v>1.225163568318562</v>
      </c>
      <c r="N63">
        <f t="shared" si="9"/>
        <v>4.16</v>
      </c>
      <c r="O63">
        <f t="shared" si="10"/>
        <v>0.18452303824839356</v>
      </c>
    </row>
    <row r="64" spans="1:15" x14ac:dyDescent="0.25">
      <c r="A64">
        <v>14</v>
      </c>
      <c r="B64" t="str">
        <f>VLOOKUP(A64,Tabla6[[#All],[Position]:[Lab]],2,FALSE)</f>
        <v>L2</v>
      </c>
      <c r="C64">
        <f>VLOOKUP(B64,Tabla6[[#All],[Laboratorio]:[ABS Z SCORE]],2,FALSE)</f>
        <v>1.1000000000000001</v>
      </c>
      <c r="D64">
        <f>VLOOKUP($B64,Tabla6[[#All],[Laboratorio]:[ABS Z SCORE]],3,FALSE)</f>
        <v>-1.2477249616943988</v>
      </c>
      <c r="E64">
        <f>VLOOKUP($B64,Tabla6[[#All],[Laboratorio]:[ABS Z SCORE]],4,FALSE)</f>
        <v>2.8558750000000002</v>
      </c>
      <c r="F64">
        <f>VLOOKUP($B64,Tabla6[[#All],[Laboratorio]:[ABS Z SCORE]],5,FALSE)</f>
        <v>-1.365908775846413</v>
      </c>
      <c r="G64">
        <f>VLOOKUP($B64,Tabla6[[#All],[Laboratorio]:[ABS Z SCORE]],6,FALSE)</f>
        <v>4.1352482769058341E-2</v>
      </c>
      <c r="H64">
        <f>VLOOKUP($B64,Tabla6[[#All],[Laboratorio]:[ABS Z SCORE]],7,FALSE)</f>
        <v>5.670397517230942</v>
      </c>
      <c r="I64">
        <f>VLOOKUP($B64,Tabla6[[#All],[Laboratorio]:[ABS Z SCORE]],8,FALSE)</f>
        <v>7.0776587758464133</v>
      </c>
      <c r="J64">
        <f>VLOOKUP($B64,Tabla6[[#All],[Laboratorio]:[ABS Z SCORE]],9,FALSE)</f>
        <v>-1.7558750000000001</v>
      </c>
      <c r="K64">
        <f>VLOOKUP($B64,Tabla6[[#All],[Laboratorio]:[ABS Z SCORE]],10,FALSE)</f>
        <v>1.1000000000000001</v>
      </c>
      <c r="L64">
        <f>VLOOKUP($B64,Tabla6[[#All],[Laboratorio]:[ABS Z SCORE]],11,FALSE)</f>
        <v>0.13015974580840028</v>
      </c>
      <c r="M64">
        <f>VLOOKUP($B64,Tabla6[[#All],[Laboratorio]:[ABS Z SCORE]],12,FALSE)</f>
        <v>1.2477249816943989</v>
      </c>
      <c r="N64">
        <f t="shared" si="9"/>
        <v>4.33</v>
      </c>
      <c r="O64">
        <f t="shared" si="10"/>
        <v>0.16378083424975967</v>
      </c>
    </row>
    <row r="65" spans="1:18" x14ac:dyDescent="0.25">
      <c r="A65">
        <v>15</v>
      </c>
      <c r="B65" t="str">
        <f>VLOOKUP(A65,Tabla6[[#All],[Position]:[Lab]],2,FALSE)</f>
        <v>L1</v>
      </c>
      <c r="C65">
        <f>VLOOKUP(B65,Tabla6[[#All],[Laboratorio]:[ABS Z SCORE]],2,FALSE)</f>
        <v>0.56000000000000005</v>
      </c>
      <c r="D65">
        <f>VLOOKUP($B65,Tabla6[[#All],[Laboratorio]:[ABS Z SCORE]],3,FALSE)</f>
        <v>-1.6314490191102033</v>
      </c>
      <c r="E65">
        <f>VLOOKUP($B65,Tabla6[[#All],[Laboratorio]:[ABS Z SCORE]],4,FALSE)</f>
        <v>2.8558750000000002</v>
      </c>
      <c r="F65">
        <f>VLOOKUP($B65,Tabla6[[#All],[Laboratorio]:[ABS Z SCORE]],5,FALSE)</f>
        <v>-1.365908775846413</v>
      </c>
      <c r="G65">
        <f>VLOOKUP($B65,Tabla6[[#All],[Laboratorio]:[ABS Z SCORE]],6,FALSE)</f>
        <v>4.1352482769058341E-2</v>
      </c>
      <c r="H65">
        <f>VLOOKUP($B65,Tabla6[[#All],[Laboratorio]:[ABS Z SCORE]],7,FALSE)</f>
        <v>5.670397517230942</v>
      </c>
      <c r="I65">
        <f>VLOOKUP($B65,Tabla6[[#All],[Laboratorio]:[ABS Z SCORE]],8,FALSE)</f>
        <v>7.0776587758464133</v>
      </c>
      <c r="J65">
        <f>VLOOKUP($B65,Tabla6[[#All],[Laboratorio]:[ABS Z SCORE]],9,FALSE)</f>
        <v>-2.2958750000000001</v>
      </c>
      <c r="K65">
        <f>VLOOKUP($B65,Tabla6[[#All],[Laboratorio]:[ABS Z SCORE]],10,FALSE)</f>
        <v>0.56000000000000005</v>
      </c>
      <c r="L65">
        <f>VLOOKUP($B65,Tabla6[[#All],[Laboratorio]:[ABS Z SCORE]],11,FALSE)</f>
        <v>7.4915315507972341E-2</v>
      </c>
      <c r="M65">
        <f>VLOOKUP($B65,Tabla6[[#All],[Laboratorio]:[ABS Z SCORE]],12,FALSE)</f>
        <v>1.6314490291102033</v>
      </c>
      <c r="N65">
        <f t="shared" si="9"/>
        <v>4.58</v>
      </c>
      <c r="O65">
        <f t="shared" si="10"/>
        <v>0.13384181418541113</v>
      </c>
    </row>
    <row r="66" spans="1:18" x14ac:dyDescent="0.25">
      <c r="A66">
        <v>16</v>
      </c>
      <c r="B66" t="str">
        <f>VLOOKUP(A66,Tabla6[[#All],[Position]:[Lab]],2,FALSE)</f>
        <v>L12</v>
      </c>
      <c r="C66">
        <f>VLOOKUP(B66,Tabla6[[#All],[Laboratorio]:[ABS Z SCORE]],2,FALSE)</f>
        <v>6</v>
      </c>
      <c r="D66">
        <f>VLOOKUP($B66,Tabla6[[#All],[Laboratorio]:[ABS Z SCORE]],3,FALSE)</f>
        <v>2.2342155593008624</v>
      </c>
      <c r="E66">
        <f>VLOOKUP($B66,Tabla6[[#All],[Laboratorio]:[ABS Z SCORE]],4,FALSE)</f>
        <v>2.8558750000000002</v>
      </c>
      <c r="F66">
        <f>VLOOKUP($B66,Tabla6[[#All],[Laboratorio]:[ABS Z SCORE]],5,FALSE)</f>
        <v>-1.365908775846413</v>
      </c>
      <c r="G66">
        <f>VLOOKUP($B66,Tabla6[[#All],[Laboratorio]:[ABS Z SCORE]],6,FALSE)</f>
        <v>4.1352482769058341E-2</v>
      </c>
      <c r="H66">
        <f>VLOOKUP($B66,Tabla6[[#All],[Laboratorio]:[ABS Z SCORE]],7,FALSE)</f>
        <v>5.670397517230942</v>
      </c>
      <c r="I66">
        <f>VLOOKUP($B66,Tabla6[[#All],[Laboratorio]:[ABS Z SCORE]],8,FALSE)</f>
        <v>7.0776587758464133</v>
      </c>
      <c r="J66">
        <f>VLOOKUP($B66,Tabla6[[#All],[Laboratorio]:[ABS Z SCORE]],9,FALSE)</f>
        <v>3.1441249999999998</v>
      </c>
      <c r="K66">
        <f>VLOOKUP($B66,Tabla6[[#All],[Laboratorio]:[ABS Z SCORE]],10,FALSE)</f>
        <v>3.27</v>
      </c>
      <c r="L66">
        <f>VLOOKUP($B66,Tabla6[[#All],[Laboratorio]:[ABS Z SCORE]],11,FALSE)</f>
        <v>2.3366694985369748E-2</v>
      </c>
      <c r="M66">
        <f>VLOOKUP($B66,Tabla6[[#All],[Laboratorio]:[ABS Z SCORE]],12,FALSE)</f>
        <v>2.2342156793008625</v>
      </c>
      <c r="N66">
        <f t="shared" si="9"/>
        <v>6</v>
      </c>
      <c r="O66">
        <f t="shared" si="10"/>
        <v>2.3366694985369748E-2</v>
      </c>
    </row>
    <row r="70" spans="1:18" x14ac:dyDescent="0.25">
      <c r="B70" t="s">
        <v>88</v>
      </c>
      <c r="C70">
        <v>2.5</v>
      </c>
    </row>
    <row r="71" spans="1:18" x14ac:dyDescent="0.25">
      <c r="B71" t="s">
        <v>89</v>
      </c>
      <c r="C71">
        <v>1</v>
      </c>
    </row>
    <row r="73" spans="1:18" x14ac:dyDescent="0.25">
      <c r="A73" s="17" t="s">
        <v>16</v>
      </c>
      <c r="B73" s="18" t="s">
        <v>17</v>
      </c>
      <c r="C73" s="18" t="s">
        <v>19</v>
      </c>
      <c r="D73" s="18" t="s">
        <v>52</v>
      </c>
      <c r="E73" s="18" t="s">
        <v>30</v>
      </c>
      <c r="F73" s="18" t="s">
        <v>26</v>
      </c>
      <c r="G73" s="26" t="s">
        <v>31</v>
      </c>
      <c r="H73" s="26" t="s">
        <v>32</v>
      </c>
      <c r="I73" s="26" t="s">
        <v>28</v>
      </c>
      <c r="J73" s="18" t="s">
        <v>29</v>
      </c>
      <c r="K73" s="18" t="s">
        <v>33</v>
      </c>
      <c r="L73" s="18" t="s">
        <v>18</v>
      </c>
      <c r="M73" s="18" t="s">
        <v>78</v>
      </c>
      <c r="N73" s="18" t="s">
        <v>77</v>
      </c>
      <c r="O73" s="18" t="s">
        <v>81</v>
      </c>
      <c r="P73" s="18" t="s">
        <v>74</v>
      </c>
      <c r="Q73" s="18" t="s">
        <v>73</v>
      </c>
      <c r="R73" s="19" t="s">
        <v>85</v>
      </c>
    </row>
    <row r="74" spans="1:18" x14ac:dyDescent="0.25">
      <c r="A74" s="20" t="s">
        <v>4</v>
      </c>
      <c r="B74" s="21" t="s">
        <v>21</v>
      </c>
      <c r="C74" s="21" t="s">
        <v>22</v>
      </c>
      <c r="D74" s="25">
        <f>IF(C74='Data Entry'!$C$17,'Data Entry'!$D$21,L74)</f>
        <v>2.68</v>
      </c>
      <c r="E74" s="21">
        <f>(D74-$C$93)/$C$94</f>
        <v>2.2983327604613701E-2</v>
      </c>
      <c r="F74" s="21">
        <f>$C$93</f>
        <v>2.6331250000000002</v>
      </c>
      <c r="G74" s="21">
        <f>$D$96+F74</f>
        <v>-3.48544070202527</v>
      </c>
      <c r="H74" s="21">
        <f>$D$95+F74</f>
        <v>-1.4459188013501802</v>
      </c>
      <c r="I74" s="21">
        <f>$C$95+F74</f>
        <v>6.712168801350181</v>
      </c>
      <c r="J74" s="21">
        <f>$C$96+F74</f>
        <v>8.7516907020252699</v>
      </c>
      <c r="K74" s="21">
        <f t="shared" ref="K74:K89" si="11">D74-F74</f>
        <v>4.6875E-2</v>
      </c>
      <c r="L74">
        <v>2.68</v>
      </c>
      <c r="M74" s="21">
        <f>_xlfn.NORM.DIST(D74,$C$93,$C$94,FALSE)</f>
        <v>0.19555412808984723</v>
      </c>
      <c r="N74" s="21">
        <f>ABS(E74)+VALUE(MID(C74,2,2))*0.00000001</f>
        <v>2.2983337604613702E-2</v>
      </c>
      <c r="O74" s="21" t="str">
        <f>C74</f>
        <v>L1</v>
      </c>
      <c r="P74" s="21">
        <f>SMALL($N$74:$N$89,Q74)</f>
        <v>2.2983337604613702E-2</v>
      </c>
      <c r="Q74" s="21">
        <v>1</v>
      </c>
      <c r="R74" s="22" t="str">
        <f>VLOOKUP(P74,$N$74:$O$89,2,FALSE)</f>
        <v>L1</v>
      </c>
    </row>
    <row r="75" spans="1:18" x14ac:dyDescent="0.25">
      <c r="A75" s="20" t="s">
        <v>4</v>
      </c>
      <c r="B75" s="21" t="s">
        <v>21</v>
      </c>
      <c r="C75" s="21" t="s">
        <v>23</v>
      </c>
      <c r="D75" s="25">
        <f>IF(C75='Data Entry'!$C$17,'Data Entry'!$D$21,L75)</f>
        <v>2.72</v>
      </c>
      <c r="E75" s="21">
        <f t="shared" ref="E75:E89" si="12">(D75-$C$93)/$C$94</f>
        <v>4.2595767160550739E-2</v>
      </c>
      <c r="F75" s="21">
        <f t="shared" ref="F75:F89" si="13">$C$93</f>
        <v>2.6331250000000002</v>
      </c>
      <c r="G75" s="21">
        <f t="shared" ref="G75:G89" si="14">$D$96+F75</f>
        <v>-3.48544070202527</v>
      </c>
      <c r="H75" s="21">
        <f t="shared" ref="H75:H89" si="15">$D$95+F75</f>
        <v>-1.4459188013501802</v>
      </c>
      <c r="I75" s="21">
        <f t="shared" ref="I75:I89" si="16">$C$95+F75</f>
        <v>6.712168801350181</v>
      </c>
      <c r="J75" s="21">
        <f t="shared" ref="J75:J89" si="17">$C$96+F75</f>
        <v>8.7516907020252699</v>
      </c>
      <c r="K75" s="21">
        <f t="shared" si="11"/>
        <v>8.6875000000000036E-2</v>
      </c>
      <c r="L75">
        <v>2.72</v>
      </c>
      <c r="M75" s="21">
        <f t="shared" ref="M75:M89" si="18">_xlfn.NORM.DIST(D75,$C$93,$C$94,FALSE)</f>
        <v>0.19542841097894501</v>
      </c>
      <c r="N75" s="21">
        <f t="shared" ref="N75:N89" si="19">ABS(E75)+VALUE(MID(C75,2,2))*0.00000001</f>
        <v>4.2595787160550742E-2</v>
      </c>
      <c r="O75" s="21" t="str">
        <f t="shared" ref="O75:O89" si="20">C75</f>
        <v>L2</v>
      </c>
      <c r="P75" s="21">
        <f t="shared" ref="P75:P89" si="21">SMALL($N$74:$N$89,Q75)</f>
        <v>3.2789607382582221E-2</v>
      </c>
      <c r="Q75" s="21">
        <v>2</v>
      </c>
      <c r="R75" s="22" t="str">
        <f t="shared" ref="R75:R89" si="22">VLOOKUP(P75,$N$74:$O$89,2,FALSE)</f>
        <v>L6</v>
      </c>
    </row>
    <row r="76" spans="1:18" x14ac:dyDescent="0.25">
      <c r="A76" s="20" t="s">
        <v>4</v>
      </c>
      <c r="B76" s="21" t="s">
        <v>21</v>
      </c>
      <c r="C76" s="21" t="s">
        <v>24</v>
      </c>
      <c r="D76" s="25">
        <f>IF(C76='Data Entry'!$C$17,'Data Entry'!$D$21,L76)</f>
        <v>2.42</v>
      </c>
      <c r="E76" s="21">
        <f t="shared" si="12"/>
        <v>-0.10449752950897706</v>
      </c>
      <c r="F76" s="21">
        <f t="shared" si="13"/>
        <v>2.6331250000000002</v>
      </c>
      <c r="G76" s="21">
        <f t="shared" si="14"/>
        <v>-3.48544070202527</v>
      </c>
      <c r="H76" s="21">
        <f t="shared" si="15"/>
        <v>-1.4459188013501802</v>
      </c>
      <c r="I76" s="21">
        <f t="shared" si="16"/>
        <v>6.712168801350181</v>
      </c>
      <c r="J76" s="21">
        <f t="shared" si="17"/>
        <v>8.7516907020252699</v>
      </c>
      <c r="K76" s="21">
        <f t="shared" si="11"/>
        <v>-0.21312500000000023</v>
      </c>
      <c r="L76">
        <v>2.42</v>
      </c>
      <c r="M76" s="21">
        <f t="shared" si="18"/>
        <v>0.19454071270338877</v>
      </c>
      <c r="N76" s="21">
        <f t="shared" si="19"/>
        <v>0.10449755950897706</v>
      </c>
      <c r="O76" s="21" t="str">
        <f t="shared" si="20"/>
        <v>L3</v>
      </c>
      <c r="P76" s="21">
        <f t="shared" si="21"/>
        <v>4.2595787160550742E-2</v>
      </c>
      <c r="Q76" s="21">
        <v>3</v>
      </c>
      <c r="R76" s="22" t="str">
        <f t="shared" si="22"/>
        <v>L2</v>
      </c>
    </row>
    <row r="77" spans="1:18" x14ac:dyDescent="0.25">
      <c r="A77" s="20" t="s">
        <v>4</v>
      </c>
      <c r="B77" s="21" t="s">
        <v>21</v>
      </c>
      <c r="C77" s="21" t="s">
        <v>25</v>
      </c>
      <c r="D77" s="25">
        <f>IF(C77='Data Entry'!$C$17,'Data Entry'!$D$21,L77)</f>
        <v>2.82</v>
      </c>
      <c r="E77" s="21">
        <f t="shared" si="12"/>
        <v>9.1626866050393121E-2</v>
      </c>
      <c r="F77" s="21">
        <f t="shared" si="13"/>
        <v>2.6331250000000002</v>
      </c>
      <c r="G77" s="21">
        <f t="shared" si="14"/>
        <v>-3.48544070202527</v>
      </c>
      <c r="H77" s="21">
        <f t="shared" si="15"/>
        <v>-1.4459188013501802</v>
      </c>
      <c r="I77" s="21">
        <f t="shared" si="16"/>
        <v>6.712168801350181</v>
      </c>
      <c r="J77" s="21">
        <f t="shared" si="17"/>
        <v>8.7516907020252699</v>
      </c>
      <c r="K77" s="21">
        <f t="shared" si="11"/>
        <v>0.18687499999999968</v>
      </c>
      <c r="L77">
        <v>2.82</v>
      </c>
      <c r="M77" s="21">
        <f t="shared" si="18"/>
        <v>0.19478640251963925</v>
      </c>
      <c r="N77" s="21">
        <f t="shared" si="19"/>
        <v>9.1626906050393128E-2</v>
      </c>
      <c r="O77" s="21" t="str">
        <f t="shared" si="20"/>
        <v>L4</v>
      </c>
      <c r="P77" s="21">
        <f t="shared" si="21"/>
        <v>9.1626906050393128E-2</v>
      </c>
      <c r="Q77" s="21">
        <v>4</v>
      </c>
      <c r="R77" s="22" t="str">
        <f t="shared" si="22"/>
        <v>L4</v>
      </c>
    </row>
    <row r="78" spans="1:18" x14ac:dyDescent="0.25">
      <c r="A78" s="20" t="s">
        <v>4</v>
      </c>
      <c r="B78" s="21" t="s">
        <v>21</v>
      </c>
      <c r="C78" s="21" t="s">
        <v>37</v>
      </c>
      <c r="D78" s="25">
        <f>IF(C78='Data Entry'!$C$17,'Data Entry'!$D$21,L78)</f>
        <v>1.97</v>
      </c>
      <c r="E78" s="21">
        <f t="shared" si="12"/>
        <v>-0.32513747451326858</v>
      </c>
      <c r="F78" s="21">
        <f t="shared" si="13"/>
        <v>2.6331250000000002</v>
      </c>
      <c r="G78" s="21">
        <f t="shared" si="14"/>
        <v>-3.48544070202527</v>
      </c>
      <c r="H78" s="21">
        <f t="shared" si="15"/>
        <v>-1.4459188013501802</v>
      </c>
      <c r="I78" s="21">
        <f t="shared" si="16"/>
        <v>6.712168801350181</v>
      </c>
      <c r="J78" s="21">
        <f t="shared" si="17"/>
        <v>8.7516907020252699</v>
      </c>
      <c r="K78" s="21">
        <f t="shared" si="11"/>
        <v>-0.66312500000000019</v>
      </c>
      <c r="L78">
        <v>1.97</v>
      </c>
      <c r="M78" s="21">
        <f t="shared" si="18"/>
        <v>0.185535110512315</v>
      </c>
      <c r="N78" s="21">
        <f t="shared" si="19"/>
        <v>0.32513752451326855</v>
      </c>
      <c r="O78" s="21" t="str">
        <f t="shared" si="20"/>
        <v>L5</v>
      </c>
      <c r="P78" s="21">
        <f t="shared" si="21"/>
        <v>0.10449755950897706</v>
      </c>
      <c r="Q78" s="21">
        <v>5</v>
      </c>
      <c r="R78" s="22" t="str">
        <f t="shared" si="22"/>
        <v>L3</v>
      </c>
    </row>
    <row r="79" spans="1:18" x14ac:dyDescent="0.25">
      <c r="A79" s="20" t="s">
        <v>4</v>
      </c>
      <c r="B79" s="21" t="s">
        <v>21</v>
      </c>
      <c r="C79" s="21" t="s">
        <v>38</v>
      </c>
      <c r="D79" s="25">
        <f>IF(C79='Data Entry'!$C$17,'Data Entry'!$D$21,L79)</f>
        <v>2.7</v>
      </c>
      <c r="E79" s="21">
        <f t="shared" si="12"/>
        <v>3.2789547382582218E-2</v>
      </c>
      <c r="F79" s="21">
        <f t="shared" si="13"/>
        <v>2.6331250000000002</v>
      </c>
      <c r="G79" s="21">
        <f t="shared" si="14"/>
        <v>-3.48544070202527</v>
      </c>
      <c r="H79" s="21">
        <f t="shared" si="15"/>
        <v>-1.4459188013501802</v>
      </c>
      <c r="I79" s="21">
        <f t="shared" si="16"/>
        <v>6.712168801350181</v>
      </c>
      <c r="J79" s="21">
        <f t="shared" si="17"/>
        <v>8.7516907020252699</v>
      </c>
      <c r="K79" s="21">
        <f t="shared" si="11"/>
        <v>6.6875000000000018E-2</v>
      </c>
      <c r="L79">
        <v>2.7</v>
      </c>
      <c r="M79" s="21">
        <f t="shared" si="18"/>
        <v>0.1955006590645478</v>
      </c>
      <c r="N79" s="21">
        <f t="shared" si="19"/>
        <v>3.2789607382582221E-2</v>
      </c>
      <c r="O79" s="21" t="str">
        <f t="shared" si="20"/>
        <v>L6</v>
      </c>
      <c r="P79" s="21">
        <f t="shared" si="21"/>
        <v>0.13391629884288261</v>
      </c>
      <c r="Q79" s="21">
        <v>6</v>
      </c>
      <c r="R79" s="22" t="str">
        <f t="shared" si="22"/>
        <v>L11</v>
      </c>
    </row>
    <row r="80" spans="1:18" x14ac:dyDescent="0.25">
      <c r="A80" s="20" t="s">
        <v>4</v>
      </c>
      <c r="B80" s="21" t="s">
        <v>21</v>
      </c>
      <c r="C80" s="21" t="s">
        <v>39</v>
      </c>
      <c r="D80" s="25">
        <f>IF(C80='Data Entry'!$C$17,'Data Entry'!$D$21,L80)</f>
        <v>1.1399999999999999</v>
      </c>
      <c r="E80" s="21">
        <f t="shared" si="12"/>
        <v>-0.73209559529896184</v>
      </c>
      <c r="F80" s="21">
        <f t="shared" si="13"/>
        <v>2.6331250000000002</v>
      </c>
      <c r="G80" s="21">
        <f t="shared" si="14"/>
        <v>-3.48544070202527</v>
      </c>
      <c r="H80" s="21">
        <f t="shared" si="15"/>
        <v>-1.4459188013501802</v>
      </c>
      <c r="I80" s="21">
        <f t="shared" si="16"/>
        <v>6.712168801350181</v>
      </c>
      <c r="J80" s="21">
        <f t="shared" si="17"/>
        <v>8.7516907020252699</v>
      </c>
      <c r="K80" s="21">
        <f t="shared" si="11"/>
        <v>-1.4931250000000003</v>
      </c>
      <c r="L80">
        <v>1.1399999999999999</v>
      </c>
      <c r="M80" s="21">
        <f t="shared" si="18"/>
        <v>0.14962308235790975</v>
      </c>
      <c r="N80" s="21">
        <f t="shared" si="19"/>
        <v>0.73209566529896186</v>
      </c>
      <c r="O80" s="21" t="str">
        <f t="shared" si="20"/>
        <v>L7</v>
      </c>
      <c r="P80" s="21">
        <f t="shared" si="21"/>
        <v>0.31717005094366885</v>
      </c>
      <c r="Q80" s="21">
        <v>7</v>
      </c>
      <c r="R80" s="22" t="str">
        <f t="shared" si="22"/>
        <v>L13</v>
      </c>
    </row>
    <row r="81" spans="1:18" x14ac:dyDescent="0.25">
      <c r="A81" s="20" t="s">
        <v>4</v>
      </c>
      <c r="B81" s="21" t="s">
        <v>21</v>
      </c>
      <c r="C81" s="21" t="s">
        <v>40</v>
      </c>
      <c r="D81" s="25">
        <f>IF(C81='Data Entry'!$C$17,'Data Entry'!$D$21,L81)</f>
        <v>-0.53</v>
      </c>
      <c r="E81" s="21">
        <f t="shared" si="12"/>
        <v>-1.5509149467593324</v>
      </c>
      <c r="F81" s="21">
        <f t="shared" si="13"/>
        <v>2.6331250000000002</v>
      </c>
      <c r="G81" s="21">
        <f t="shared" si="14"/>
        <v>-3.48544070202527</v>
      </c>
      <c r="H81" s="21">
        <f t="shared" si="15"/>
        <v>-1.4459188013501802</v>
      </c>
      <c r="I81" s="21">
        <f t="shared" si="16"/>
        <v>6.712168801350181</v>
      </c>
      <c r="J81" s="21">
        <f t="shared" si="17"/>
        <v>8.7516907020252699</v>
      </c>
      <c r="K81" s="21">
        <f t="shared" si="11"/>
        <v>-3.163125</v>
      </c>
      <c r="L81">
        <v>-0.53</v>
      </c>
      <c r="M81" s="21">
        <f t="shared" si="18"/>
        <v>5.8758318927256435E-2</v>
      </c>
      <c r="N81" s="21">
        <f t="shared" si="19"/>
        <v>1.5509150267593323</v>
      </c>
      <c r="O81" s="21" t="str">
        <f t="shared" si="20"/>
        <v>L8</v>
      </c>
      <c r="P81" s="21">
        <f t="shared" si="21"/>
        <v>0.32513752451326855</v>
      </c>
      <c r="Q81" s="21">
        <v>8</v>
      </c>
      <c r="R81" s="22" t="str">
        <f t="shared" si="22"/>
        <v>L5</v>
      </c>
    </row>
    <row r="82" spans="1:18" x14ac:dyDescent="0.25">
      <c r="A82" s="20" t="s">
        <v>4</v>
      </c>
      <c r="B82" s="21" t="s">
        <v>21</v>
      </c>
      <c r="C82" s="21" t="s">
        <v>41</v>
      </c>
      <c r="D82" s="25">
        <f>IF(C82='Data Entry'!$C$17,'Data Entry'!$D$21,L82)</f>
        <v>1.61</v>
      </c>
      <c r="E82" s="21">
        <f t="shared" si="12"/>
        <v>-0.50164943051670174</v>
      </c>
      <c r="F82" s="21">
        <f t="shared" si="13"/>
        <v>2.6331250000000002</v>
      </c>
      <c r="G82" s="21">
        <f t="shared" si="14"/>
        <v>-3.48544070202527</v>
      </c>
      <c r="H82" s="21">
        <f t="shared" si="15"/>
        <v>-1.4459188013501802</v>
      </c>
      <c r="I82" s="21">
        <f t="shared" si="16"/>
        <v>6.712168801350181</v>
      </c>
      <c r="J82" s="21">
        <f t="shared" si="17"/>
        <v>8.7516907020252699</v>
      </c>
      <c r="K82" s="21">
        <f t="shared" si="11"/>
        <v>-1.0231250000000001</v>
      </c>
      <c r="L82">
        <v>1.61</v>
      </c>
      <c r="M82" s="21">
        <f t="shared" si="18"/>
        <v>0.17247895900237389</v>
      </c>
      <c r="N82" s="21">
        <f t="shared" si="19"/>
        <v>0.50164952051670175</v>
      </c>
      <c r="O82" s="21" t="str">
        <f t="shared" si="20"/>
        <v>L9</v>
      </c>
      <c r="P82" s="21">
        <f t="shared" si="21"/>
        <v>0.4838758071691337</v>
      </c>
      <c r="Q82" s="21">
        <v>9</v>
      </c>
      <c r="R82" s="22" t="str">
        <f t="shared" si="22"/>
        <v>L15</v>
      </c>
    </row>
    <row r="83" spans="1:18" x14ac:dyDescent="0.25">
      <c r="A83" s="20" t="s">
        <v>4</v>
      </c>
      <c r="B83" s="21" t="s">
        <v>21</v>
      </c>
      <c r="C83" s="21" t="s">
        <v>42</v>
      </c>
      <c r="D83" s="25">
        <f>IF(C83='Data Entry'!$C$17,'Data Entry'!$D$21,L83)</f>
        <v>1.34</v>
      </c>
      <c r="E83" s="21">
        <f t="shared" si="12"/>
        <v>-0.63403339751927668</v>
      </c>
      <c r="F83" s="21">
        <f t="shared" si="13"/>
        <v>2.6331250000000002</v>
      </c>
      <c r="G83" s="21">
        <f t="shared" si="14"/>
        <v>-3.48544070202527</v>
      </c>
      <c r="H83" s="21">
        <f t="shared" si="15"/>
        <v>-1.4459188013501802</v>
      </c>
      <c r="I83" s="21">
        <f t="shared" si="16"/>
        <v>6.712168801350181</v>
      </c>
      <c r="J83" s="21">
        <f t="shared" si="17"/>
        <v>8.7516907020252699</v>
      </c>
      <c r="K83" s="21">
        <f t="shared" si="11"/>
        <v>-1.2931250000000001</v>
      </c>
      <c r="L83">
        <v>1.34</v>
      </c>
      <c r="M83" s="21">
        <f t="shared" si="18"/>
        <v>0.15998853448825415</v>
      </c>
      <c r="N83" s="21">
        <f t="shared" si="19"/>
        <v>0.63403349751927662</v>
      </c>
      <c r="O83" s="21" t="str">
        <f t="shared" si="20"/>
        <v>L10</v>
      </c>
      <c r="P83" s="21">
        <f t="shared" si="21"/>
        <v>0.50164952051670175</v>
      </c>
      <c r="Q83" s="21">
        <v>10</v>
      </c>
      <c r="R83" s="22" t="str">
        <f t="shared" si="22"/>
        <v>L9</v>
      </c>
    </row>
    <row r="84" spans="1:18" x14ac:dyDescent="0.25">
      <c r="A84" s="20" t="s">
        <v>4</v>
      </c>
      <c r="B84" s="21" t="s">
        <v>21</v>
      </c>
      <c r="C84" s="21" t="s">
        <v>43</v>
      </c>
      <c r="D84" s="25">
        <f>IF(C84='Data Entry'!$C$17,'Data Entry'!$D$21,L84)</f>
        <v>2.36</v>
      </c>
      <c r="E84" s="21">
        <f t="shared" si="12"/>
        <v>-0.13391618884288262</v>
      </c>
      <c r="F84" s="21">
        <f t="shared" si="13"/>
        <v>2.6331250000000002</v>
      </c>
      <c r="G84" s="21">
        <f t="shared" si="14"/>
        <v>-3.48544070202527</v>
      </c>
      <c r="H84" s="21">
        <f t="shared" si="15"/>
        <v>-1.4459188013501802</v>
      </c>
      <c r="I84" s="21">
        <f t="shared" si="16"/>
        <v>6.712168801350181</v>
      </c>
      <c r="J84" s="21">
        <f t="shared" si="17"/>
        <v>8.7516907020252699</v>
      </c>
      <c r="K84" s="21">
        <f t="shared" si="11"/>
        <v>-0.27312500000000028</v>
      </c>
      <c r="L84">
        <v>2.36</v>
      </c>
      <c r="M84" s="21">
        <f t="shared" si="18"/>
        <v>0.19385967158614451</v>
      </c>
      <c r="N84" s="21">
        <f t="shared" si="19"/>
        <v>0.13391629884288261</v>
      </c>
      <c r="O84" s="21" t="str">
        <f t="shared" si="20"/>
        <v>L11</v>
      </c>
      <c r="P84" s="21">
        <f t="shared" si="21"/>
        <v>0.63403349751927662</v>
      </c>
      <c r="Q84" s="21">
        <v>11</v>
      </c>
      <c r="R84" s="22" t="str">
        <f t="shared" si="22"/>
        <v>L10</v>
      </c>
    </row>
    <row r="85" spans="1:18" x14ac:dyDescent="0.25">
      <c r="A85" s="20" t="s">
        <v>4</v>
      </c>
      <c r="B85" s="21" t="s">
        <v>21</v>
      </c>
      <c r="C85" s="21" t="s">
        <v>44</v>
      </c>
      <c r="D85" s="25">
        <f>IF(C85='Data Entry'!$C$17,'Data Entry'!$D$21,L85)</f>
        <v>9</v>
      </c>
      <c r="E85" s="21">
        <f t="shared" si="12"/>
        <v>3.1217487774426633</v>
      </c>
      <c r="F85" s="21">
        <f t="shared" si="13"/>
        <v>2.6331250000000002</v>
      </c>
      <c r="G85" s="21">
        <f t="shared" si="14"/>
        <v>-3.48544070202527</v>
      </c>
      <c r="H85" s="21">
        <f t="shared" si="15"/>
        <v>-1.4459188013501802</v>
      </c>
      <c r="I85" s="21">
        <f t="shared" si="16"/>
        <v>6.712168801350181</v>
      </c>
      <c r="J85" s="21">
        <f t="shared" si="17"/>
        <v>8.7516907020252699</v>
      </c>
      <c r="K85" s="21">
        <f t="shared" si="11"/>
        <v>6.3668750000000003</v>
      </c>
      <c r="L85">
        <v>3.51</v>
      </c>
      <c r="M85" s="21">
        <f t="shared" si="18"/>
        <v>1.4969708202106939E-3</v>
      </c>
      <c r="N85" s="21">
        <f t="shared" si="19"/>
        <v>3.1217488974426635</v>
      </c>
      <c r="O85" s="21" t="str">
        <f t="shared" si="20"/>
        <v>L12</v>
      </c>
      <c r="P85" s="21">
        <f t="shared" si="21"/>
        <v>0.69961263228444082</v>
      </c>
      <c r="Q85" s="21">
        <v>12</v>
      </c>
      <c r="R85" s="22" t="str">
        <f t="shared" si="22"/>
        <v>L14</v>
      </c>
    </row>
    <row r="86" spans="1:18" x14ac:dyDescent="0.25">
      <c r="A86" s="20" t="s">
        <v>4</v>
      </c>
      <c r="B86" s="21" t="s">
        <v>21</v>
      </c>
      <c r="C86" s="21" t="s">
        <v>45</v>
      </c>
      <c r="D86" s="25">
        <f>IF(C86='Data Entry'!$C$17,'Data Entry'!$D$21,L86)</f>
        <v>3.28</v>
      </c>
      <c r="E86" s="21">
        <f t="shared" si="12"/>
        <v>0.31716992094366886</v>
      </c>
      <c r="F86" s="21">
        <f t="shared" si="13"/>
        <v>2.6331250000000002</v>
      </c>
      <c r="G86" s="21">
        <f t="shared" si="14"/>
        <v>-3.48544070202527</v>
      </c>
      <c r="H86" s="21">
        <f t="shared" si="15"/>
        <v>-1.4459188013501802</v>
      </c>
      <c r="I86" s="21">
        <f t="shared" si="16"/>
        <v>6.712168801350181</v>
      </c>
      <c r="J86" s="21">
        <f t="shared" si="17"/>
        <v>8.7516907020252699</v>
      </c>
      <c r="K86" s="21">
        <f t="shared" si="11"/>
        <v>0.64687499999999964</v>
      </c>
      <c r="L86">
        <v>3.28</v>
      </c>
      <c r="M86" s="21">
        <f t="shared" si="18"/>
        <v>0.1860104673912823</v>
      </c>
      <c r="N86" s="21">
        <f t="shared" si="19"/>
        <v>0.31717005094366885</v>
      </c>
      <c r="O86" s="21" t="str">
        <f t="shared" si="20"/>
        <v>L13</v>
      </c>
      <c r="P86" s="21">
        <f t="shared" si="21"/>
        <v>0.73209566529896186</v>
      </c>
      <c r="Q86" s="21">
        <v>13</v>
      </c>
      <c r="R86" s="22" t="str">
        <f t="shared" si="22"/>
        <v>L7</v>
      </c>
    </row>
    <row r="87" spans="1:18" x14ac:dyDescent="0.25">
      <c r="A87" s="20" t="s">
        <v>4</v>
      </c>
      <c r="B87" s="21" t="s">
        <v>21</v>
      </c>
      <c r="C87" s="21" t="s">
        <v>46</v>
      </c>
      <c r="D87" s="25">
        <f>IF(C87='Data Entry'!$C$17,'Data Entry'!$D$21,L87)</f>
        <v>4.0599999999999996</v>
      </c>
      <c r="E87" s="21">
        <f t="shared" si="12"/>
        <v>0.69961249228444078</v>
      </c>
      <c r="F87" s="21">
        <f t="shared" si="13"/>
        <v>2.6331250000000002</v>
      </c>
      <c r="G87" s="21">
        <f t="shared" si="14"/>
        <v>-3.48544070202527</v>
      </c>
      <c r="H87" s="21">
        <f t="shared" si="15"/>
        <v>-1.4459188013501802</v>
      </c>
      <c r="I87" s="21">
        <f t="shared" si="16"/>
        <v>6.712168801350181</v>
      </c>
      <c r="J87" s="21">
        <f t="shared" si="17"/>
        <v>8.7516907020252699</v>
      </c>
      <c r="K87" s="21">
        <f t="shared" si="11"/>
        <v>1.4268749999999994</v>
      </c>
      <c r="L87">
        <v>4.0599999999999996</v>
      </c>
      <c r="M87" s="21">
        <f t="shared" si="18"/>
        <v>0.15314305860961835</v>
      </c>
      <c r="N87" s="21">
        <f t="shared" si="19"/>
        <v>0.69961263228444082</v>
      </c>
      <c r="O87" s="21" t="str">
        <f t="shared" si="20"/>
        <v>L14</v>
      </c>
      <c r="P87" s="21">
        <f t="shared" si="21"/>
        <v>0.83015795307864693</v>
      </c>
      <c r="Q87" s="21">
        <v>14</v>
      </c>
      <c r="R87" s="22" t="str">
        <f t="shared" si="22"/>
        <v>L16</v>
      </c>
    </row>
    <row r="88" spans="1:18" x14ac:dyDescent="0.25">
      <c r="A88" s="20" t="s">
        <v>4</v>
      </c>
      <c r="B88" s="21" t="s">
        <v>21</v>
      </c>
      <c r="C88" s="21" t="s">
        <v>47</v>
      </c>
      <c r="D88" s="25">
        <f>IF(C88='Data Entry'!$C$17,'Data Entry'!$D$21,L88)</f>
        <v>3.62</v>
      </c>
      <c r="E88" s="21">
        <f t="shared" si="12"/>
        <v>0.48387565716913372</v>
      </c>
      <c r="F88" s="21">
        <f t="shared" si="13"/>
        <v>2.6331250000000002</v>
      </c>
      <c r="G88" s="21">
        <f t="shared" si="14"/>
        <v>-3.48544070202527</v>
      </c>
      <c r="H88" s="21">
        <f t="shared" si="15"/>
        <v>-1.4459188013501802</v>
      </c>
      <c r="I88" s="21">
        <f t="shared" si="16"/>
        <v>6.712168801350181</v>
      </c>
      <c r="J88" s="21">
        <f t="shared" si="17"/>
        <v>8.7516907020252699</v>
      </c>
      <c r="K88" s="21">
        <f t="shared" si="11"/>
        <v>0.98687499999999995</v>
      </c>
      <c r="L88">
        <v>3.62</v>
      </c>
      <c r="M88" s="21">
        <f t="shared" si="18"/>
        <v>0.17399620732639715</v>
      </c>
      <c r="N88" s="21">
        <f t="shared" si="19"/>
        <v>0.4838758071691337</v>
      </c>
      <c r="O88" s="21" t="str">
        <f t="shared" si="20"/>
        <v>L15</v>
      </c>
      <c r="P88" s="21">
        <f t="shared" si="21"/>
        <v>1.5509150267593323</v>
      </c>
      <c r="Q88" s="21">
        <v>15</v>
      </c>
      <c r="R88" s="22" t="str">
        <f t="shared" si="22"/>
        <v>L8</v>
      </c>
    </row>
    <row r="89" spans="1:18" x14ac:dyDescent="0.25">
      <c r="A89" s="23" t="s">
        <v>4</v>
      </c>
      <c r="B89" s="24" t="s">
        <v>21</v>
      </c>
      <c r="C89" s="24" t="s">
        <v>48</v>
      </c>
      <c r="D89" s="25">
        <f>IF(C89='Data Entry'!$C$17,'Data Entry'!$D$21,L89)</f>
        <v>0.94</v>
      </c>
      <c r="E89" s="21">
        <f t="shared" si="12"/>
        <v>-0.8301577930786469</v>
      </c>
      <c r="F89" s="21">
        <f t="shared" si="13"/>
        <v>2.6331250000000002</v>
      </c>
      <c r="G89" s="21">
        <f t="shared" si="14"/>
        <v>-3.48544070202527</v>
      </c>
      <c r="H89" s="21">
        <f t="shared" si="15"/>
        <v>-1.4459188013501802</v>
      </c>
      <c r="I89" s="21">
        <f t="shared" si="16"/>
        <v>6.712168801350181</v>
      </c>
      <c r="J89" s="21">
        <f t="shared" si="17"/>
        <v>8.7516907020252699</v>
      </c>
      <c r="K89" s="24">
        <f t="shared" si="11"/>
        <v>-1.6931250000000002</v>
      </c>
      <c r="L89">
        <v>0.94</v>
      </c>
      <c r="M89" s="21">
        <f t="shared" si="18"/>
        <v>0.13859005724008733</v>
      </c>
      <c r="N89" s="21">
        <f t="shared" si="19"/>
        <v>0.83015795307864693</v>
      </c>
      <c r="O89" s="21" t="str">
        <f t="shared" si="20"/>
        <v>L16</v>
      </c>
      <c r="P89" s="21">
        <f t="shared" si="21"/>
        <v>3.1217488974426635</v>
      </c>
      <c r="Q89" s="24">
        <v>16</v>
      </c>
      <c r="R89" s="22" t="str">
        <f t="shared" si="22"/>
        <v>L12</v>
      </c>
    </row>
    <row r="93" spans="1:18" x14ac:dyDescent="0.25">
      <c r="B93" s="15" t="s">
        <v>49</v>
      </c>
      <c r="C93" s="15">
        <f>AVERAGE(D74:D89)</f>
        <v>2.6331250000000002</v>
      </c>
      <c r="D93" s="15"/>
    </row>
    <row r="94" spans="1:18" x14ac:dyDescent="0.25">
      <c r="B94" s="15" t="s">
        <v>58</v>
      </c>
      <c r="C94" s="15">
        <f>_xlfn.STDEV.S(D74:D89)</f>
        <v>2.0395219006750902</v>
      </c>
      <c r="D94" s="15"/>
    </row>
    <row r="95" spans="1:18" x14ac:dyDescent="0.25">
      <c r="B95" s="15" t="s">
        <v>28</v>
      </c>
      <c r="C95" s="15">
        <f>C94*2</f>
        <v>4.0790438013501804</v>
      </c>
      <c r="D95" s="15">
        <f>C95*-1</f>
        <v>-4.0790438013501804</v>
      </c>
    </row>
    <row r="96" spans="1:18" x14ac:dyDescent="0.25">
      <c r="B96" s="15" t="s">
        <v>29</v>
      </c>
      <c r="C96" s="15">
        <f>C94*3</f>
        <v>6.1185657020252702</v>
      </c>
      <c r="D96" s="15">
        <f>C96*-1</f>
        <v>-6.1185657020252702</v>
      </c>
    </row>
    <row r="97" spans="1:15" x14ac:dyDescent="0.25">
      <c r="B97" s="15" t="s">
        <v>82</v>
      </c>
      <c r="C97" s="15">
        <f>C98-VLOOKUP(VLOOKUP('Data Entry'!C17,Setup!C73:P89,12,FALSE),P73:Q89,2,FALSE)</f>
        <v>1</v>
      </c>
    </row>
    <row r="98" spans="1:15" x14ac:dyDescent="0.25">
      <c r="B98" s="15" t="s">
        <v>83</v>
      </c>
      <c r="C98" s="15">
        <f>MAX(A101:A116)+1</f>
        <v>17</v>
      </c>
    </row>
    <row r="100" spans="1:15" x14ac:dyDescent="0.25">
      <c r="A100" s="18" t="s">
        <v>84</v>
      </c>
      <c r="B100" s="18" t="s">
        <v>61</v>
      </c>
      <c r="C100" s="18" t="s">
        <v>52</v>
      </c>
      <c r="D100" s="18" t="s">
        <v>30</v>
      </c>
      <c r="E100" s="18" t="s">
        <v>26</v>
      </c>
      <c r="F100" s="26" t="s">
        <v>31</v>
      </c>
      <c r="G100" s="26" t="s">
        <v>32</v>
      </c>
      <c r="H100" s="26" t="s">
        <v>28</v>
      </c>
      <c r="I100" s="18" t="s">
        <v>29</v>
      </c>
      <c r="J100" s="18" t="s">
        <v>33</v>
      </c>
      <c r="K100" s="18" t="s">
        <v>18</v>
      </c>
      <c r="L100" s="18" t="s">
        <v>78</v>
      </c>
      <c r="M100" s="18" t="s">
        <v>77</v>
      </c>
      <c r="N100" s="27" t="s">
        <v>86</v>
      </c>
      <c r="O100" s="27" t="s">
        <v>87</v>
      </c>
    </row>
    <row r="101" spans="1:15" x14ac:dyDescent="0.25">
      <c r="A101">
        <v>1</v>
      </c>
      <c r="B101" t="str">
        <f>VLOOKUP(A101,$Q$73:$R$89,2,FALSE)</f>
        <v>L1</v>
      </c>
      <c r="C101">
        <f>VLOOKUP($B101,$C$73:$K$89,2,FALSE)</f>
        <v>2.68</v>
      </c>
      <c r="D101">
        <f>VLOOKUP($B101,$C$73:$K$89,3,FALSE)</f>
        <v>2.2983327604613701E-2</v>
      </c>
      <c r="E101">
        <f>VLOOKUP($B101,$C$73:$K$89,4,FALSE)</f>
        <v>2.6331250000000002</v>
      </c>
      <c r="F101">
        <f>VLOOKUP($B101,$C$73:$K$89,5,FALSE)</f>
        <v>-3.48544070202527</v>
      </c>
      <c r="G101">
        <f>VLOOKUP($B101,$C$73:$K$89,6,FALSE)</f>
        <v>-1.4459188013501802</v>
      </c>
      <c r="H101">
        <f>VLOOKUP($B101,$C$73:$K$89,7,FALSE)</f>
        <v>6.712168801350181</v>
      </c>
      <c r="I101">
        <f>VLOOKUP($B101,$C$73:$K$89,8,FALSE)</f>
        <v>8.7516907020252699</v>
      </c>
      <c r="J101">
        <f>VLOOKUP($B101,$C$73:$K$89,9,FALSE)</f>
        <v>4.6875E-2</v>
      </c>
      <c r="K101">
        <f>VLOOKUP($B101,Tabla6[[#All],[Laboratorio]:[ABS Z SCORE]],10,FALSE)</f>
        <v>0.56000000000000005</v>
      </c>
      <c r="L101">
        <f>VLOOKUP($B101,$C$73:$M$89,11,FALSE)</f>
        <v>0.19555412808984723</v>
      </c>
      <c r="M101">
        <f>VLOOKUP($B101,$C$73:$N$89,12,FALSE)</f>
        <v>2.2983337604613702E-2</v>
      </c>
      <c r="N101">
        <f>SMALL($C$101:$C$116,A101)</f>
        <v>-0.53</v>
      </c>
      <c r="O101">
        <f>VLOOKUP(N101,$C$101:$L$116,10,FALSE)</f>
        <v>5.8758318927256435E-2</v>
      </c>
    </row>
    <row r="102" spans="1:15" x14ac:dyDescent="0.25">
      <c r="A102">
        <v>2</v>
      </c>
      <c r="B102" t="str">
        <f t="shared" ref="B102:B116" si="23">VLOOKUP(A102,$Q$73:$R$89,2,FALSE)</f>
        <v>L6</v>
      </c>
      <c r="C102">
        <f t="shared" ref="C102:C116" si="24">VLOOKUP($B102,$C$73:$K$89,2,FALSE)</f>
        <v>2.7</v>
      </c>
      <c r="D102">
        <f t="shared" ref="D102:D116" si="25">VLOOKUP($B102,$C$73:$K$89,3,FALSE)</f>
        <v>3.2789547382582218E-2</v>
      </c>
      <c r="E102">
        <f t="shared" ref="E102:E116" si="26">VLOOKUP($B102,$C$73:$K$89,4,FALSE)</f>
        <v>2.6331250000000002</v>
      </c>
      <c r="F102">
        <f t="shared" ref="F102:F116" si="27">VLOOKUP($B102,$C$73:$K$89,5,FALSE)</f>
        <v>-3.48544070202527</v>
      </c>
      <c r="G102">
        <f t="shared" ref="G102:G116" si="28">VLOOKUP($B102,$C$73:$K$89,6,FALSE)</f>
        <v>-1.4459188013501802</v>
      </c>
      <c r="H102">
        <f t="shared" ref="H102:H116" si="29">VLOOKUP($B102,$C$73:$K$89,7,FALSE)</f>
        <v>6.712168801350181</v>
      </c>
      <c r="I102">
        <f t="shared" ref="I102:I116" si="30">VLOOKUP($B102,$C$73:$K$89,8,FALSE)</f>
        <v>8.7516907020252699</v>
      </c>
      <c r="J102">
        <f t="shared" ref="J102:J116" si="31">VLOOKUP($B102,$C$73:$K$89,9,FALSE)</f>
        <v>6.6875000000000018E-2</v>
      </c>
      <c r="K102">
        <f>VLOOKUP($B102,Tabla6[[#All],[Laboratorio]:[ABS Z SCORE]],10,FALSE)</f>
        <v>2.254</v>
      </c>
      <c r="L102">
        <f t="shared" ref="L102:L116" si="32">VLOOKUP($B102,$C$73:$M$89,11,FALSE)</f>
        <v>0.1955006590645478</v>
      </c>
      <c r="M102">
        <f t="shared" ref="M102:M116" si="33">VLOOKUP($B102,$C$73:$N$89,12,FALSE)</f>
        <v>3.2789607382582221E-2</v>
      </c>
      <c r="N102">
        <f t="shared" ref="N102:N116" si="34">SMALL($C$101:$C$116,A102)</f>
        <v>0.94</v>
      </c>
      <c r="O102">
        <f t="shared" ref="O102:O116" si="35">VLOOKUP(N102,$C$101:$L$116,10,FALSE)</f>
        <v>0.13859005724008733</v>
      </c>
    </row>
    <row r="103" spans="1:15" x14ac:dyDescent="0.25">
      <c r="A103">
        <v>3</v>
      </c>
      <c r="B103" t="str">
        <f t="shared" si="23"/>
        <v>L2</v>
      </c>
      <c r="C103">
        <f t="shared" si="24"/>
        <v>2.72</v>
      </c>
      <c r="D103">
        <f t="shared" si="25"/>
        <v>4.2595767160550739E-2</v>
      </c>
      <c r="E103">
        <f t="shared" si="26"/>
        <v>2.6331250000000002</v>
      </c>
      <c r="F103">
        <f t="shared" si="27"/>
        <v>-3.48544070202527</v>
      </c>
      <c r="G103">
        <f t="shared" si="28"/>
        <v>-1.4459188013501802</v>
      </c>
      <c r="H103">
        <f t="shared" si="29"/>
        <v>6.712168801350181</v>
      </c>
      <c r="I103">
        <f t="shared" si="30"/>
        <v>8.7516907020252699</v>
      </c>
      <c r="J103">
        <f t="shared" si="31"/>
        <v>8.6875000000000036E-2</v>
      </c>
      <c r="K103">
        <f>VLOOKUP($B103,Tabla6[[#All],[Laboratorio]:[ABS Z SCORE]],10,FALSE)</f>
        <v>1.1000000000000001</v>
      </c>
      <c r="L103">
        <f t="shared" si="32"/>
        <v>0.19542841097894501</v>
      </c>
      <c r="M103">
        <f t="shared" si="33"/>
        <v>4.2595787160550742E-2</v>
      </c>
      <c r="N103">
        <f t="shared" si="34"/>
        <v>1.1399999999999999</v>
      </c>
      <c r="O103">
        <f t="shared" si="35"/>
        <v>0.14962308235790975</v>
      </c>
    </row>
    <row r="104" spans="1:15" x14ac:dyDescent="0.25">
      <c r="A104">
        <v>4</v>
      </c>
      <c r="B104" t="str">
        <f t="shared" si="23"/>
        <v>L4</v>
      </c>
      <c r="C104">
        <f t="shared" si="24"/>
        <v>2.82</v>
      </c>
      <c r="D104">
        <f t="shared" si="25"/>
        <v>9.1626866050393121E-2</v>
      </c>
      <c r="E104">
        <f t="shared" si="26"/>
        <v>2.6331250000000002</v>
      </c>
      <c r="F104">
        <f t="shared" si="27"/>
        <v>-3.48544070202527</v>
      </c>
      <c r="G104">
        <f t="shared" si="28"/>
        <v>-1.4459188013501802</v>
      </c>
      <c r="H104">
        <f t="shared" si="29"/>
        <v>6.712168801350181</v>
      </c>
      <c r="I104">
        <f t="shared" si="30"/>
        <v>8.7516907020252699</v>
      </c>
      <c r="J104">
        <f t="shared" si="31"/>
        <v>0.18687499999999968</v>
      </c>
      <c r="K104">
        <f>VLOOKUP($B104,Tabla6[[#All],[Laboratorio]:[ABS Z SCORE]],10,FALSE)</f>
        <v>2</v>
      </c>
      <c r="L104">
        <f t="shared" si="32"/>
        <v>0.19478640251963925</v>
      </c>
      <c r="M104">
        <f t="shared" si="33"/>
        <v>9.1626906050393128E-2</v>
      </c>
      <c r="N104">
        <f t="shared" si="34"/>
        <v>1.34</v>
      </c>
      <c r="O104">
        <f t="shared" si="35"/>
        <v>0.15998853448825415</v>
      </c>
    </row>
    <row r="105" spans="1:15" x14ac:dyDescent="0.25">
      <c r="A105">
        <v>5</v>
      </c>
      <c r="B105" t="str">
        <f t="shared" si="23"/>
        <v>L3</v>
      </c>
      <c r="C105">
        <f t="shared" si="24"/>
        <v>2.42</v>
      </c>
      <c r="D105">
        <f t="shared" si="25"/>
        <v>-0.10449752950897706</v>
      </c>
      <c r="E105">
        <f t="shared" si="26"/>
        <v>2.6331250000000002</v>
      </c>
      <c r="F105">
        <f t="shared" si="27"/>
        <v>-3.48544070202527</v>
      </c>
      <c r="G105">
        <f t="shared" si="28"/>
        <v>-1.4459188013501802</v>
      </c>
      <c r="H105">
        <f t="shared" si="29"/>
        <v>6.712168801350181</v>
      </c>
      <c r="I105">
        <f t="shared" si="30"/>
        <v>8.7516907020252699</v>
      </c>
      <c r="J105">
        <f t="shared" si="31"/>
        <v>-0.21312500000000023</v>
      </c>
      <c r="K105">
        <f>VLOOKUP($B105,Tabla6[[#All],[Laboratorio]:[ABS Z SCORE]],10,FALSE)</f>
        <v>1.36</v>
      </c>
      <c r="L105">
        <f t="shared" si="32"/>
        <v>0.19454071270338877</v>
      </c>
      <c r="M105">
        <f t="shared" si="33"/>
        <v>0.10449755950897706</v>
      </c>
      <c r="N105">
        <f t="shared" si="34"/>
        <v>1.61</v>
      </c>
      <c r="O105">
        <f t="shared" si="35"/>
        <v>0.17247895900237389</v>
      </c>
    </row>
    <row r="106" spans="1:15" x14ac:dyDescent="0.25">
      <c r="A106">
        <v>6</v>
      </c>
      <c r="B106" t="str">
        <f t="shared" si="23"/>
        <v>L11</v>
      </c>
      <c r="C106">
        <f t="shared" si="24"/>
        <v>2.36</v>
      </c>
      <c r="D106">
        <f t="shared" si="25"/>
        <v>-0.13391618884288262</v>
      </c>
      <c r="E106">
        <f t="shared" si="26"/>
        <v>2.6331250000000002</v>
      </c>
      <c r="F106">
        <f t="shared" si="27"/>
        <v>-3.48544070202527</v>
      </c>
      <c r="G106">
        <f t="shared" si="28"/>
        <v>-1.4459188013501802</v>
      </c>
      <c r="H106">
        <f t="shared" si="29"/>
        <v>6.712168801350181</v>
      </c>
      <c r="I106">
        <f t="shared" si="30"/>
        <v>8.7516907020252699</v>
      </c>
      <c r="J106">
        <f t="shared" si="31"/>
        <v>-0.27312500000000028</v>
      </c>
      <c r="K106">
        <f>VLOOKUP($B106,Tabla6[[#All],[Laboratorio]:[ABS Z SCORE]],10,FALSE)</f>
        <v>3.25</v>
      </c>
      <c r="L106">
        <f t="shared" si="32"/>
        <v>0.19385967158614451</v>
      </c>
      <c r="M106">
        <f t="shared" si="33"/>
        <v>0.13391629884288261</v>
      </c>
      <c r="N106">
        <f t="shared" si="34"/>
        <v>1.97</v>
      </c>
      <c r="O106">
        <f t="shared" si="35"/>
        <v>0.185535110512315</v>
      </c>
    </row>
    <row r="107" spans="1:15" x14ac:dyDescent="0.25">
      <c r="A107">
        <v>7</v>
      </c>
      <c r="B107" t="str">
        <f t="shared" si="23"/>
        <v>L13</v>
      </c>
      <c r="C107">
        <f t="shared" si="24"/>
        <v>3.28</v>
      </c>
      <c r="D107">
        <f t="shared" si="25"/>
        <v>0.31716992094366886</v>
      </c>
      <c r="E107">
        <f t="shared" si="26"/>
        <v>2.6331250000000002</v>
      </c>
      <c r="F107">
        <f t="shared" si="27"/>
        <v>-3.48544070202527</v>
      </c>
      <c r="G107">
        <f t="shared" si="28"/>
        <v>-1.4459188013501802</v>
      </c>
      <c r="H107">
        <f t="shared" si="29"/>
        <v>6.712168801350181</v>
      </c>
      <c r="I107">
        <f t="shared" si="30"/>
        <v>8.7516907020252699</v>
      </c>
      <c r="J107">
        <f t="shared" si="31"/>
        <v>0.64687499999999964</v>
      </c>
      <c r="K107">
        <f>VLOOKUP($B107,Tabla6[[#All],[Laboratorio]:[ABS Z SCORE]],10,FALSE)</f>
        <v>3.34</v>
      </c>
      <c r="L107">
        <f t="shared" si="32"/>
        <v>0.1860104673912823</v>
      </c>
      <c r="M107">
        <f t="shared" si="33"/>
        <v>0.31717005094366885</v>
      </c>
      <c r="N107">
        <f t="shared" si="34"/>
        <v>2.36</v>
      </c>
      <c r="O107">
        <f t="shared" si="35"/>
        <v>0.19385967158614451</v>
      </c>
    </row>
    <row r="108" spans="1:15" x14ac:dyDescent="0.25">
      <c r="A108">
        <v>8</v>
      </c>
      <c r="B108" t="str">
        <f t="shared" si="23"/>
        <v>L5</v>
      </c>
      <c r="C108">
        <f t="shared" si="24"/>
        <v>1.97</v>
      </c>
      <c r="D108">
        <f t="shared" si="25"/>
        <v>-0.32513747451326858</v>
      </c>
      <c r="E108">
        <f t="shared" si="26"/>
        <v>2.6331250000000002</v>
      </c>
      <c r="F108">
        <f t="shared" si="27"/>
        <v>-3.48544070202527</v>
      </c>
      <c r="G108">
        <f t="shared" si="28"/>
        <v>-1.4459188013501802</v>
      </c>
      <c r="H108">
        <f t="shared" si="29"/>
        <v>6.712168801350181</v>
      </c>
      <c r="I108">
        <f t="shared" si="30"/>
        <v>8.7516907020252699</v>
      </c>
      <c r="J108">
        <f t="shared" si="31"/>
        <v>-0.66312500000000019</v>
      </c>
      <c r="K108">
        <f>VLOOKUP($B108,Tabla6[[#All],[Laboratorio]:[ABS Z SCORE]],10,FALSE)</f>
        <v>2.25</v>
      </c>
      <c r="L108">
        <f t="shared" si="32"/>
        <v>0.185535110512315</v>
      </c>
      <c r="M108">
        <f t="shared" si="33"/>
        <v>0.32513752451326855</v>
      </c>
      <c r="N108">
        <f t="shared" si="34"/>
        <v>2.42</v>
      </c>
      <c r="O108">
        <f t="shared" si="35"/>
        <v>0.19454071270338877</v>
      </c>
    </row>
    <row r="109" spans="1:15" x14ac:dyDescent="0.25">
      <c r="A109">
        <v>9</v>
      </c>
      <c r="B109" t="str">
        <f t="shared" si="23"/>
        <v>L15</v>
      </c>
      <c r="C109">
        <f t="shared" si="24"/>
        <v>3.62</v>
      </c>
      <c r="D109">
        <f t="shared" si="25"/>
        <v>0.48387565716913372</v>
      </c>
      <c r="E109">
        <f t="shared" si="26"/>
        <v>2.6331250000000002</v>
      </c>
      <c r="F109">
        <f t="shared" si="27"/>
        <v>-3.48544070202527</v>
      </c>
      <c r="G109">
        <f t="shared" si="28"/>
        <v>-1.4459188013501802</v>
      </c>
      <c r="H109">
        <f t="shared" si="29"/>
        <v>6.712168801350181</v>
      </c>
      <c r="I109">
        <f t="shared" si="30"/>
        <v>8.7516907020252699</v>
      </c>
      <c r="J109">
        <f t="shared" si="31"/>
        <v>0.98687499999999995</v>
      </c>
      <c r="K109">
        <f>VLOOKUP($B109,Tabla6[[#All],[Laboratorio]:[ABS Z SCORE]],10,FALSE)</f>
        <v>4.33</v>
      </c>
      <c r="L109">
        <f t="shared" si="32"/>
        <v>0.17399620732639715</v>
      </c>
      <c r="M109">
        <f t="shared" si="33"/>
        <v>0.4838758071691337</v>
      </c>
      <c r="N109">
        <f t="shared" si="34"/>
        <v>2.68</v>
      </c>
      <c r="O109">
        <f t="shared" si="35"/>
        <v>0.19555412808984723</v>
      </c>
    </row>
    <row r="110" spans="1:15" x14ac:dyDescent="0.25">
      <c r="A110">
        <v>10</v>
      </c>
      <c r="B110" t="str">
        <f t="shared" si="23"/>
        <v>L9</v>
      </c>
      <c r="C110">
        <f t="shared" si="24"/>
        <v>1.61</v>
      </c>
      <c r="D110">
        <f t="shared" si="25"/>
        <v>-0.50164943051670174</v>
      </c>
      <c r="E110">
        <f t="shared" si="26"/>
        <v>2.6331250000000002</v>
      </c>
      <c r="F110">
        <f t="shared" si="27"/>
        <v>-3.48544070202527</v>
      </c>
      <c r="G110">
        <f t="shared" si="28"/>
        <v>-1.4459188013501802</v>
      </c>
      <c r="H110">
        <f t="shared" si="29"/>
        <v>6.712168801350181</v>
      </c>
      <c r="I110">
        <f t="shared" si="30"/>
        <v>8.7516907020252699</v>
      </c>
      <c r="J110">
        <f t="shared" si="31"/>
        <v>-1.0231250000000001</v>
      </c>
      <c r="K110">
        <f>VLOOKUP($B110,Tabla6[[#All],[Laboratorio]:[ABS Z SCORE]],10,FALSE)</f>
        <v>2.78</v>
      </c>
      <c r="L110">
        <f t="shared" si="32"/>
        <v>0.17247895900237389</v>
      </c>
      <c r="M110">
        <f t="shared" si="33"/>
        <v>0.50164952051670175</v>
      </c>
      <c r="N110">
        <f t="shared" si="34"/>
        <v>2.7</v>
      </c>
      <c r="O110">
        <f t="shared" si="35"/>
        <v>0.1955006590645478</v>
      </c>
    </row>
    <row r="111" spans="1:15" x14ac:dyDescent="0.25">
      <c r="A111">
        <v>11</v>
      </c>
      <c r="B111" t="str">
        <f t="shared" si="23"/>
        <v>L10</v>
      </c>
      <c r="C111">
        <f t="shared" si="24"/>
        <v>1.34</v>
      </c>
      <c r="D111">
        <f t="shared" si="25"/>
        <v>-0.63403339751927668</v>
      </c>
      <c r="E111">
        <f t="shared" si="26"/>
        <v>2.6331250000000002</v>
      </c>
      <c r="F111">
        <f t="shared" si="27"/>
        <v>-3.48544070202527</v>
      </c>
      <c r="G111">
        <f t="shared" si="28"/>
        <v>-1.4459188013501802</v>
      </c>
      <c r="H111">
        <f t="shared" si="29"/>
        <v>6.712168801350181</v>
      </c>
      <c r="I111">
        <f t="shared" si="30"/>
        <v>8.7516907020252699</v>
      </c>
      <c r="J111">
        <f t="shared" si="31"/>
        <v>-1.2931250000000001</v>
      </c>
      <c r="K111">
        <f>VLOOKUP($B111,Tabla6[[#All],[Laboratorio]:[ABS Z SCORE]],10,FALSE)</f>
        <v>3</v>
      </c>
      <c r="L111">
        <f t="shared" si="32"/>
        <v>0.15998853448825415</v>
      </c>
      <c r="M111">
        <f t="shared" si="33"/>
        <v>0.63403349751927662</v>
      </c>
      <c r="N111">
        <f t="shared" si="34"/>
        <v>2.72</v>
      </c>
      <c r="O111">
        <f t="shared" si="35"/>
        <v>0.19542841097894501</v>
      </c>
    </row>
    <row r="112" spans="1:15" x14ac:dyDescent="0.25">
      <c r="A112">
        <v>12</v>
      </c>
      <c r="B112" t="str">
        <f t="shared" si="23"/>
        <v>L14</v>
      </c>
      <c r="C112">
        <f t="shared" si="24"/>
        <v>4.0599999999999996</v>
      </c>
      <c r="D112">
        <f t="shared" si="25"/>
        <v>0.69961249228444078</v>
      </c>
      <c r="E112">
        <f t="shared" si="26"/>
        <v>2.6331250000000002</v>
      </c>
      <c r="F112">
        <f t="shared" si="27"/>
        <v>-3.48544070202527</v>
      </c>
      <c r="G112">
        <f t="shared" si="28"/>
        <v>-1.4459188013501802</v>
      </c>
      <c r="H112">
        <f t="shared" si="29"/>
        <v>6.712168801350181</v>
      </c>
      <c r="I112">
        <f t="shared" si="30"/>
        <v>8.7516907020252699</v>
      </c>
      <c r="J112">
        <f t="shared" si="31"/>
        <v>1.4268749999999994</v>
      </c>
      <c r="K112">
        <f>VLOOKUP($B112,Tabla6[[#All],[Laboratorio]:[ABS Z SCORE]],10,FALSE)</f>
        <v>4.16</v>
      </c>
      <c r="L112">
        <f t="shared" si="32"/>
        <v>0.15314305860961835</v>
      </c>
      <c r="M112">
        <f t="shared" si="33"/>
        <v>0.69961263228444082</v>
      </c>
      <c r="N112">
        <f t="shared" si="34"/>
        <v>2.82</v>
      </c>
      <c r="O112">
        <f t="shared" si="35"/>
        <v>0.19478640251963925</v>
      </c>
    </row>
    <row r="113" spans="1:15" x14ac:dyDescent="0.25">
      <c r="A113">
        <v>13</v>
      </c>
      <c r="B113" t="str">
        <f t="shared" si="23"/>
        <v>L7</v>
      </c>
      <c r="C113">
        <f t="shared" si="24"/>
        <v>1.1399999999999999</v>
      </c>
      <c r="D113">
        <f t="shared" si="25"/>
        <v>-0.73209559529896184</v>
      </c>
      <c r="E113">
        <f t="shared" si="26"/>
        <v>2.6331250000000002</v>
      </c>
      <c r="F113">
        <f t="shared" si="27"/>
        <v>-3.48544070202527</v>
      </c>
      <c r="G113">
        <f t="shared" si="28"/>
        <v>-1.4459188013501802</v>
      </c>
      <c r="H113">
        <f t="shared" si="29"/>
        <v>6.712168801350181</v>
      </c>
      <c r="I113">
        <f t="shared" si="30"/>
        <v>8.7516907020252699</v>
      </c>
      <c r="J113">
        <f t="shared" si="31"/>
        <v>-1.4931250000000003</v>
      </c>
      <c r="K113">
        <f>VLOOKUP($B113,Tabla6[[#All],[Laboratorio]:[ABS Z SCORE]],10,FALSE)</f>
        <v>2.2599999999999998</v>
      </c>
      <c r="L113">
        <f t="shared" si="32"/>
        <v>0.14962308235790975</v>
      </c>
      <c r="M113">
        <f t="shared" si="33"/>
        <v>0.73209566529896186</v>
      </c>
      <c r="N113">
        <f t="shared" si="34"/>
        <v>3.28</v>
      </c>
      <c r="O113">
        <f t="shared" si="35"/>
        <v>0.1860104673912823</v>
      </c>
    </row>
    <row r="114" spans="1:15" x14ac:dyDescent="0.25">
      <c r="A114">
        <v>14</v>
      </c>
      <c r="B114" t="str">
        <f t="shared" si="23"/>
        <v>L16</v>
      </c>
      <c r="C114">
        <f t="shared" si="24"/>
        <v>0.94</v>
      </c>
      <c r="D114">
        <f t="shared" si="25"/>
        <v>-0.8301577930786469</v>
      </c>
      <c r="E114">
        <f t="shared" si="26"/>
        <v>2.6331250000000002</v>
      </c>
      <c r="F114">
        <f t="shared" si="27"/>
        <v>-3.48544070202527</v>
      </c>
      <c r="G114">
        <f t="shared" si="28"/>
        <v>-1.4459188013501802</v>
      </c>
      <c r="H114">
        <f t="shared" si="29"/>
        <v>6.712168801350181</v>
      </c>
      <c r="I114">
        <f t="shared" si="30"/>
        <v>8.7516907020252699</v>
      </c>
      <c r="J114">
        <f t="shared" si="31"/>
        <v>-1.6931250000000002</v>
      </c>
      <c r="K114">
        <f>VLOOKUP($B114,Tabla6[[#All],[Laboratorio]:[ABS Z SCORE]],10,FALSE)</f>
        <v>4.58</v>
      </c>
      <c r="L114">
        <f t="shared" si="32"/>
        <v>0.13859005724008733</v>
      </c>
      <c r="M114">
        <f t="shared" si="33"/>
        <v>0.83015795307864693</v>
      </c>
      <c r="N114">
        <f t="shared" si="34"/>
        <v>3.62</v>
      </c>
      <c r="O114">
        <f t="shared" si="35"/>
        <v>0.17399620732639715</v>
      </c>
    </row>
    <row r="115" spans="1:15" x14ac:dyDescent="0.25">
      <c r="A115">
        <v>15</v>
      </c>
      <c r="B115" t="str">
        <f t="shared" si="23"/>
        <v>L8</v>
      </c>
      <c r="C115">
        <f t="shared" si="24"/>
        <v>-0.53</v>
      </c>
      <c r="D115">
        <f t="shared" si="25"/>
        <v>-1.5509149467593324</v>
      </c>
      <c r="E115">
        <f t="shared" si="26"/>
        <v>2.6331250000000002</v>
      </c>
      <c r="F115">
        <f t="shared" si="27"/>
        <v>-3.48544070202527</v>
      </c>
      <c r="G115">
        <f t="shared" si="28"/>
        <v>-1.4459188013501802</v>
      </c>
      <c r="H115">
        <f t="shared" si="29"/>
        <v>6.712168801350181</v>
      </c>
      <c r="I115">
        <f t="shared" si="30"/>
        <v>8.7516907020252699</v>
      </c>
      <c r="J115">
        <f t="shared" si="31"/>
        <v>-3.163125</v>
      </c>
      <c r="K115">
        <f>VLOOKUP($B115,Tabla6[[#All],[Laboratorio]:[ABS Z SCORE]],10,FALSE)</f>
        <v>2.4700000000000002</v>
      </c>
      <c r="L115">
        <f t="shared" si="32"/>
        <v>5.8758318927256435E-2</v>
      </c>
      <c r="M115">
        <f t="shared" si="33"/>
        <v>1.5509150267593323</v>
      </c>
      <c r="N115">
        <f t="shared" si="34"/>
        <v>4.0599999999999996</v>
      </c>
      <c r="O115">
        <f t="shared" si="35"/>
        <v>0.15314305860961835</v>
      </c>
    </row>
    <row r="116" spans="1:15" x14ac:dyDescent="0.25">
      <c r="A116">
        <v>16</v>
      </c>
      <c r="B116" t="str">
        <f t="shared" si="23"/>
        <v>L12</v>
      </c>
      <c r="C116">
        <f t="shared" si="24"/>
        <v>9</v>
      </c>
      <c r="D116">
        <f t="shared" si="25"/>
        <v>3.1217487774426633</v>
      </c>
      <c r="E116">
        <f t="shared" si="26"/>
        <v>2.6331250000000002</v>
      </c>
      <c r="F116">
        <f t="shared" si="27"/>
        <v>-3.48544070202527</v>
      </c>
      <c r="G116">
        <f t="shared" si="28"/>
        <v>-1.4459188013501802</v>
      </c>
      <c r="H116">
        <f t="shared" si="29"/>
        <v>6.712168801350181</v>
      </c>
      <c r="I116">
        <f t="shared" si="30"/>
        <v>8.7516907020252699</v>
      </c>
      <c r="J116">
        <f t="shared" si="31"/>
        <v>6.3668750000000003</v>
      </c>
      <c r="K116">
        <f>VLOOKUP($B116,Tabla6[[#All],[Laboratorio]:[ABS Z SCORE]],10,FALSE)</f>
        <v>3.27</v>
      </c>
      <c r="L116">
        <f t="shared" si="32"/>
        <v>1.4969708202106939E-3</v>
      </c>
      <c r="M116">
        <f t="shared" si="33"/>
        <v>3.1217488974426635</v>
      </c>
      <c r="N116">
        <f t="shared" si="34"/>
        <v>9</v>
      </c>
      <c r="O116">
        <f t="shared" si="35"/>
        <v>1.4969708202106939E-3</v>
      </c>
    </row>
  </sheetData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9:L68"/>
  <sheetViews>
    <sheetView topLeftCell="A7" zoomScale="70" zoomScaleNormal="70" workbookViewId="0">
      <selection activeCell="N44" sqref="N44"/>
    </sheetView>
  </sheetViews>
  <sheetFormatPr baseColWidth="10" defaultRowHeight="15" x14ac:dyDescent="0.25"/>
  <cols>
    <col min="3" max="3" width="11.85546875" bestFit="1" customWidth="1"/>
  </cols>
  <sheetData>
    <row r="19" spans="2:6" x14ac:dyDescent="0.25">
      <c r="D19" t="s">
        <v>49</v>
      </c>
      <c r="E19" t="s">
        <v>50</v>
      </c>
      <c r="F19" t="s">
        <v>51</v>
      </c>
    </row>
    <row r="20" spans="2:6" x14ac:dyDescent="0.25">
      <c r="B20" t="s">
        <v>48</v>
      </c>
      <c r="C20">
        <v>10</v>
      </c>
      <c r="D20">
        <f>C65</f>
        <v>3.024</v>
      </c>
      <c r="E20">
        <f>C66</f>
        <v>2.1229758987484209</v>
      </c>
      <c r="F20">
        <f>VLOOKUP(B20,D45:E61,2,FALSE)</f>
        <v>3.2859534600051892</v>
      </c>
    </row>
    <row r="45" spans="1:12" x14ac:dyDescent="0.25">
      <c r="A45" t="s">
        <v>16</v>
      </c>
      <c r="B45" t="s">
        <v>17</v>
      </c>
      <c r="C45" t="s">
        <v>18</v>
      </c>
      <c r="D45" t="s">
        <v>19</v>
      </c>
      <c r="E45" t="s">
        <v>30</v>
      </c>
      <c r="F45" t="s">
        <v>26</v>
      </c>
      <c r="G45" s="1" t="s">
        <v>31</v>
      </c>
      <c r="H45" s="1" t="s">
        <v>32</v>
      </c>
      <c r="I45" s="1" t="s">
        <v>28</v>
      </c>
      <c r="J45" t="s">
        <v>29</v>
      </c>
      <c r="K45" t="s">
        <v>33</v>
      </c>
      <c r="L45" t="s">
        <v>18</v>
      </c>
    </row>
    <row r="46" spans="1:12" x14ac:dyDescent="0.25">
      <c r="A46" t="s">
        <v>20</v>
      </c>
      <c r="B46" t="s">
        <v>21</v>
      </c>
      <c r="C46">
        <f>IF(D46=$B$20,$C$20,L46)</f>
        <v>0.56000000000000005</v>
      </c>
      <c r="D46" t="s">
        <v>22</v>
      </c>
      <c r="E46">
        <f t="shared" ref="E46:E61" si="0">(C46-$C$65)/$C$66</f>
        <v>-1.160634937708255</v>
      </c>
      <c r="F46">
        <f t="shared" ref="F46:F61" si="1">$C$65</f>
        <v>3.024</v>
      </c>
      <c r="G46">
        <f t="shared" ref="G46:G61" si="2">$D$68+F46</f>
        <v>-3.3449276962452625</v>
      </c>
      <c r="H46">
        <f t="shared" ref="H46:H61" si="3">$D$67+F46</f>
        <v>-1.2219517974968417</v>
      </c>
      <c r="I46">
        <f t="shared" ref="I46:I61" si="4">$C$67+F46</f>
        <v>7.2699517974968417</v>
      </c>
      <c r="J46">
        <f t="shared" ref="J46:J61" si="5">$C$68+F46</f>
        <v>9.3929276962452626</v>
      </c>
      <c r="K46">
        <f t="shared" ref="K46:K61" si="6">C46-F46</f>
        <v>-2.464</v>
      </c>
      <c r="L46">
        <v>0.56000000000000005</v>
      </c>
    </row>
    <row r="47" spans="1:12" x14ac:dyDescent="0.25">
      <c r="A47" t="s">
        <v>20</v>
      </c>
      <c r="B47" t="s">
        <v>21</v>
      </c>
      <c r="C47">
        <f t="shared" ref="C47:C61" si="7">IF(D47=$B$20,$C$20,L47)</f>
        <v>1.1000000000000001</v>
      </c>
      <c r="D47" t="s">
        <v>23</v>
      </c>
      <c r="E47">
        <f t="shared" si="0"/>
        <v>-0.90627500817803675</v>
      </c>
      <c r="F47">
        <f t="shared" si="1"/>
        <v>3.024</v>
      </c>
      <c r="G47">
        <f t="shared" si="2"/>
        <v>-3.3449276962452625</v>
      </c>
      <c r="H47">
        <f t="shared" si="3"/>
        <v>-1.2219517974968417</v>
      </c>
      <c r="I47">
        <f t="shared" si="4"/>
        <v>7.2699517974968417</v>
      </c>
      <c r="J47">
        <f t="shared" si="5"/>
        <v>9.3929276962452626</v>
      </c>
      <c r="K47">
        <f t="shared" si="6"/>
        <v>-1.9239999999999999</v>
      </c>
      <c r="L47">
        <v>1.1000000000000001</v>
      </c>
    </row>
    <row r="48" spans="1:12" x14ac:dyDescent="0.25">
      <c r="A48" t="s">
        <v>20</v>
      </c>
      <c r="B48" t="s">
        <v>21</v>
      </c>
      <c r="C48">
        <f t="shared" si="7"/>
        <v>1.36</v>
      </c>
      <c r="D48" t="s">
        <v>24</v>
      </c>
      <c r="E48">
        <f t="shared" si="0"/>
        <v>-0.78380541247830204</v>
      </c>
      <c r="F48">
        <f t="shared" si="1"/>
        <v>3.024</v>
      </c>
      <c r="G48">
        <f t="shared" si="2"/>
        <v>-3.3449276962452625</v>
      </c>
      <c r="H48">
        <f t="shared" si="3"/>
        <v>-1.2219517974968417</v>
      </c>
      <c r="I48">
        <f t="shared" si="4"/>
        <v>7.2699517974968417</v>
      </c>
      <c r="J48">
        <f t="shared" si="5"/>
        <v>9.3929276962452626</v>
      </c>
      <c r="K48">
        <f t="shared" si="6"/>
        <v>-1.6639999999999999</v>
      </c>
      <c r="L48">
        <v>1.36</v>
      </c>
    </row>
    <row r="49" spans="1:12" x14ac:dyDescent="0.25">
      <c r="A49" t="s">
        <v>20</v>
      </c>
      <c r="B49" t="s">
        <v>21</v>
      </c>
      <c r="C49">
        <f t="shared" si="7"/>
        <v>2</v>
      </c>
      <c r="D49" t="s">
        <v>25</v>
      </c>
      <c r="E49">
        <f t="shared" si="0"/>
        <v>-0.48234179229433971</v>
      </c>
      <c r="F49">
        <f t="shared" si="1"/>
        <v>3.024</v>
      </c>
      <c r="G49">
        <f t="shared" si="2"/>
        <v>-3.3449276962452625</v>
      </c>
      <c r="H49">
        <f t="shared" si="3"/>
        <v>-1.2219517974968417</v>
      </c>
      <c r="I49">
        <f t="shared" si="4"/>
        <v>7.2699517974968417</v>
      </c>
      <c r="J49">
        <f t="shared" si="5"/>
        <v>9.3929276962452626</v>
      </c>
      <c r="K49">
        <f t="shared" si="6"/>
        <v>-1.024</v>
      </c>
      <c r="L49">
        <v>2</v>
      </c>
    </row>
    <row r="50" spans="1:12" x14ac:dyDescent="0.25">
      <c r="A50" t="s">
        <v>20</v>
      </c>
      <c r="B50" t="s">
        <v>21</v>
      </c>
      <c r="C50">
        <f t="shared" si="7"/>
        <v>2.25</v>
      </c>
      <c r="D50" t="s">
        <v>37</v>
      </c>
      <c r="E50">
        <f t="shared" si="0"/>
        <v>-0.36458256565997943</v>
      </c>
      <c r="F50">
        <f t="shared" si="1"/>
        <v>3.024</v>
      </c>
      <c r="G50">
        <f t="shared" si="2"/>
        <v>-3.3449276962452625</v>
      </c>
      <c r="H50">
        <f t="shared" si="3"/>
        <v>-1.2219517974968417</v>
      </c>
      <c r="I50">
        <f t="shared" si="4"/>
        <v>7.2699517974968417</v>
      </c>
      <c r="J50">
        <f t="shared" si="5"/>
        <v>9.3929276962452626</v>
      </c>
      <c r="K50">
        <f t="shared" si="6"/>
        <v>-0.77400000000000002</v>
      </c>
      <c r="L50">
        <v>2.25</v>
      </c>
    </row>
    <row r="51" spans="1:12" x14ac:dyDescent="0.25">
      <c r="A51" t="s">
        <v>20</v>
      </c>
      <c r="B51" t="s">
        <v>21</v>
      </c>
      <c r="C51">
        <f t="shared" si="7"/>
        <v>2.254</v>
      </c>
      <c r="D51" t="s">
        <v>38</v>
      </c>
      <c r="E51">
        <f t="shared" si="0"/>
        <v>-0.36269841803382968</v>
      </c>
      <c r="F51">
        <f t="shared" si="1"/>
        <v>3.024</v>
      </c>
      <c r="G51">
        <f t="shared" si="2"/>
        <v>-3.3449276962452625</v>
      </c>
      <c r="H51">
        <f t="shared" si="3"/>
        <v>-1.2219517974968417</v>
      </c>
      <c r="I51">
        <f t="shared" si="4"/>
        <v>7.2699517974968417</v>
      </c>
      <c r="J51">
        <f t="shared" si="5"/>
        <v>9.3929276962452626</v>
      </c>
      <c r="K51">
        <f t="shared" si="6"/>
        <v>-0.77</v>
      </c>
      <c r="L51">
        <v>2.254</v>
      </c>
    </row>
    <row r="52" spans="1:12" x14ac:dyDescent="0.25">
      <c r="A52" t="s">
        <v>20</v>
      </c>
      <c r="B52" t="s">
        <v>21</v>
      </c>
      <c r="C52">
        <f t="shared" si="7"/>
        <v>2.2599999999999998</v>
      </c>
      <c r="D52" t="s">
        <v>39</v>
      </c>
      <c r="E52">
        <f t="shared" si="0"/>
        <v>-0.35987219659460512</v>
      </c>
      <c r="F52">
        <f t="shared" si="1"/>
        <v>3.024</v>
      </c>
      <c r="G52">
        <f t="shared" si="2"/>
        <v>-3.3449276962452625</v>
      </c>
      <c r="H52">
        <f t="shared" si="3"/>
        <v>-1.2219517974968417</v>
      </c>
      <c r="I52">
        <f t="shared" si="4"/>
        <v>7.2699517974968417</v>
      </c>
      <c r="J52">
        <f t="shared" si="5"/>
        <v>9.3929276962452626</v>
      </c>
      <c r="K52">
        <f t="shared" si="6"/>
        <v>-0.76400000000000023</v>
      </c>
      <c r="L52">
        <v>2.2599999999999998</v>
      </c>
    </row>
    <row r="53" spans="1:12" x14ac:dyDescent="0.25">
      <c r="A53" t="s">
        <v>20</v>
      </c>
      <c r="B53" t="s">
        <v>21</v>
      </c>
      <c r="C53">
        <f t="shared" si="7"/>
        <v>2.4700000000000002</v>
      </c>
      <c r="D53" t="s">
        <v>40</v>
      </c>
      <c r="E53">
        <f t="shared" si="0"/>
        <v>-0.2609544462217423</v>
      </c>
      <c r="F53">
        <f t="shared" si="1"/>
        <v>3.024</v>
      </c>
      <c r="G53">
        <f t="shared" si="2"/>
        <v>-3.3449276962452625</v>
      </c>
      <c r="H53">
        <f t="shared" si="3"/>
        <v>-1.2219517974968417</v>
      </c>
      <c r="I53">
        <f t="shared" si="4"/>
        <v>7.2699517974968417</v>
      </c>
      <c r="J53">
        <f t="shared" si="5"/>
        <v>9.3929276962452626</v>
      </c>
      <c r="K53">
        <f t="shared" si="6"/>
        <v>-0.55399999999999983</v>
      </c>
      <c r="L53">
        <v>2.4700000000000002</v>
      </c>
    </row>
    <row r="54" spans="1:12" x14ac:dyDescent="0.25">
      <c r="A54" t="s">
        <v>20</v>
      </c>
      <c r="B54" t="s">
        <v>21</v>
      </c>
      <c r="C54">
        <f t="shared" si="7"/>
        <v>2.78</v>
      </c>
      <c r="D54" t="s">
        <v>41</v>
      </c>
      <c r="E54">
        <f t="shared" si="0"/>
        <v>-0.11493300519513573</v>
      </c>
      <c r="F54">
        <f t="shared" si="1"/>
        <v>3.024</v>
      </c>
      <c r="G54">
        <f t="shared" si="2"/>
        <v>-3.3449276962452625</v>
      </c>
      <c r="H54">
        <f t="shared" si="3"/>
        <v>-1.2219517974968417</v>
      </c>
      <c r="I54">
        <f t="shared" si="4"/>
        <v>7.2699517974968417</v>
      </c>
      <c r="J54">
        <f t="shared" si="5"/>
        <v>9.3929276962452626</v>
      </c>
      <c r="K54">
        <f t="shared" si="6"/>
        <v>-0.24400000000000022</v>
      </c>
      <c r="L54">
        <v>2.78</v>
      </c>
    </row>
    <row r="55" spans="1:12" x14ac:dyDescent="0.25">
      <c r="A55" t="s">
        <v>20</v>
      </c>
      <c r="B55" t="s">
        <v>21</v>
      </c>
      <c r="C55">
        <f t="shared" si="7"/>
        <v>3</v>
      </c>
      <c r="D55" t="s">
        <v>42</v>
      </c>
      <c r="E55">
        <f t="shared" si="0"/>
        <v>-1.1304885756898597E-2</v>
      </c>
      <c r="F55">
        <f t="shared" si="1"/>
        <v>3.024</v>
      </c>
      <c r="G55">
        <f t="shared" si="2"/>
        <v>-3.3449276962452625</v>
      </c>
      <c r="H55">
        <f t="shared" si="3"/>
        <v>-1.2219517974968417</v>
      </c>
      <c r="I55">
        <f t="shared" si="4"/>
        <v>7.2699517974968417</v>
      </c>
      <c r="J55">
        <f t="shared" si="5"/>
        <v>9.3929276962452626</v>
      </c>
      <c r="K55">
        <f t="shared" si="6"/>
        <v>-2.4000000000000021E-2</v>
      </c>
      <c r="L55">
        <v>3</v>
      </c>
    </row>
    <row r="56" spans="1:12" x14ac:dyDescent="0.25">
      <c r="A56" t="s">
        <v>20</v>
      </c>
      <c r="B56" t="s">
        <v>21</v>
      </c>
      <c r="C56">
        <f t="shared" si="7"/>
        <v>3.25</v>
      </c>
      <c r="D56" t="s">
        <v>43</v>
      </c>
      <c r="E56">
        <f t="shared" si="0"/>
        <v>0.10645434087746168</v>
      </c>
      <c r="F56">
        <f t="shared" si="1"/>
        <v>3.024</v>
      </c>
      <c r="G56">
        <f t="shared" si="2"/>
        <v>-3.3449276962452625</v>
      </c>
      <c r="H56">
        <f t="shared" si="3"/>
        <v>-1.2219517974968417</v>
      </c>
      <c r="I56">
        <f t="shared" si="4"/>
        <v>7.2699517974968417</v>
      </c>
      <c r="J56">
        <f t="shared" si="5"/>
        <v>9.3929276962452626</v>
      </c>
      <c r="K56">
        <f t="shared" si="6"/>
        <v>0.22599999999999998</v>
      </c>
      <c r="L56">
        <v>3.25</v>
      </c>
    </row>
    <row r="57" spans="1:12" x14ac:dyDescent="0.25">
      <c r="A57" t="s">
        <v>20</v>
      </c>
      <c r="B57" t="s">
        <v>21</v>
      </c>
      <c r="C57">
        <f t="shared" si="7"/>
        <v>3.27</v>
      </c>
      <c r="D57" t="s">
        <v>44</v>
      </c>
      <c r="E57">
        <f t="shared" si="0"/>
        <v>0.11587507900821052</v>
      </c>
      <c r="F57">
        <f t="shared" si="1"/>
        <v>3.024</v>
      </c>
      <c r="G57">
        <f t="shared" si="2"/>
        <v>-3.3449276962452625</v>
      </c>
      <c r="H57">
        <f t="shared" si="3"/>
        <v>-1.2219517974968417</v>
      </c>
      <c r="I57">
        <f t="shared" si="4"/>
        <v>7.2699517974968417</v>
      </c>
      <c r="J57">
        <f t="shared" si="5"/>
        <v>9.3929276962452626</v>
      </c>
      <c r="K57">
        <f t="shared" si="6"/>
        <v>0.246</v>
      </c>
      <c r="L57">
        <v>3.27</v>
      </c>
    </row>
    <row r="58" spans="1:12" x14ac:dyDescent="0.25">
      <c r="A58" t="s">
        <v>20</v>
      </c>
      <c r="B58" t="s">
        <v>21</v>
      </c>
      <c r="C58">
        <f t="shared" si="7"/>
        <v>3.34</v>
      </c>
      <c r="D58" t="s">
        <v>45</v>
      </c>
      <c r="E58">
        <f t="shared" si="0"/>
        <v>0.14884766246583131</v>
      </c>
      <c r="F58">
        <f t="shared" si="1"/>
        <v>3.024</v>
      </c>
      <c r="G58">
        <f t="shared" si="2"/>
        <v>-3.3449276962452625</v>
      </c>
      <c r="H58">
        <f t="shared" si="3"/>
        <v>-1.2219517974968417</v>
      </c>
      <c r="I58">
        <f t="shared" si="4"/>
        <v>7.2699517974968417</v>
      </c>
      <c r="J58">
        <f t="shared" si="5"/>
        <v>9.3929276962452626</v>
      </c>
      <c r="K58">
        <f t="shared" si="6"/>
        <v>0.31599999999999984</v>
      </c>
      <c r="L58">
        <v>3.34</v>
      </c>
    </row>
    <row r="59" spans="1:12" x14ac:dyDescent="0.25">
      <c r="A59" t="s">
        <v>20</v>
      </c>
      <c r="B59" t="s">
        <v>21</v>
      </c>
      <c r="C59">
        <f t="shared" si="7"/>
        <v>4.16</v>
      </c>
      <c r="D59" t="s">
        <v>46</v>
      </c>
      <c r="E59">
        <f t="shared" si="0"/>
        <v>0.53509792582653315</v>
      </c>
      <c r="F59">
        <f t="shared" si="1"/>
        <v>3.024</v>
      </c>
      <c r="G59">
        <f t="shared" si="2"/>
        <v>-3.3449276962452625</v>
      </c>
      <c r="H59">
        <f t="shared" si="3"/>
        <v>-1.2219517974968417</v>
      </c>
      <c r="I59">
        <f t="shared" si="4"/>
        <v>7.2699517974968417</v>
      </c>
      <c r="J59">
        <f t="shared" si="5"/>
        <v>9.3929276962452626</v>
      </c>
      <c r="K59">
        <f t="shared" si="6"/>
        <v>1.1360000000000001</v>
      </c>
      <c r="L59">
        <v>4.16</v>
      </c>
    </row>
    <row r="60" spans="1:12" x14ac:dyDescent="0.25">
      <c r="A60" t="s">
        <v>20</v>
      </c>
      <c r="B60" t="s">
        <v>21</v>
      </c>
      <c r="C60">
        <f t="shared" si="7"/>
        <v>4.33</v>
      </c>
      <c r="D60" t="s">
        <v>47</v>
      </c>
      <c r="E60">
        <f t="shared" si="0"/>
        <v>0.61517419993789813</v>
      </c>
      <c r="F60">
        <f t="shared" si="1"/>
        <v>3.024</v>
      </c>
      <c r="G60">
        <f t="shared" si="2"/>
        <v>-3.3449276962452625</v>
      </c>
      <c r="H60">
        <f t="shared" si="3"/>
        <v>-1.2219517974968417</v>
      </c>
      <c r="I60">
        <f t="shared" si="4"/>
        <v>7.2699517974968417</v>
      </c>
      <c r="J60">
        <f t="shared" si="5"/>
        <v>9.3929276962452626</v>
      </c>
      <c r="K60">
        <f t="shared" si="6"/>
        <v>1.306</v>
      </c>
      <c r="L60">
        <v>4.33</v>
      </c>
    </row>
    <row r="61" spans="1:12" x14ac:dyDescent="0.25">
      <c r="A61" t="s">
        <v>20</v>
      </c>
      <c r="B61" t="s">
        <v>21</v>
      </c>
      <c r="C61">
        <f t="shared" si="7"/>
        <v>10</v>
      </c>
      <c r="D61" t="s">
        <v>48</v>
      </c>
      <c r="E61">
        <f t="shared" si="0"/>
        <v>3.2859534600051892</v>
      </c>
      <c r="F61">
        <f t="shared" si="1"/>
        <v>3.024</v>
      </c>
      <c r="G61">
        <f t="shared" si="2"/>
        <v>-3.3449276962452625</v>
      </c>
      <c r="H61">
        <f t="shared" si="3"/>
        <v>-1.2219517974968417</v>
      </c>
      <c r="I61">
        <f t="shared" si="4"/>
        <v>7.2699517974968417</v>
      </c>
      <c r="J61">
        <f t="shared" si="5"/>
        <v>9.3929276962452626</v>
      </c>
      <c r="K61">
        <f t="shared" si="6"/>
        <v>6.976</v>
      </c>
      <c r="L61">
        <v>4.58</v>
      </c>
    </row>
    <row r="65" spans="2:4" x14ac:dyDescent="0.25">
      <c r="B65" t="s">
        <v>26</v>
      </c>
      <c r="C65">
        <f>AVERAGE(C46:C61)</f>
        <v>3.024</v>
      </c>
    </row>
    <row r="66" spans="2:4" x14ac:dyDescent="0.25">
      <c r="B66" t="s">
        <v>27</v>
      </c>
      <c r="C66">
        <f>_xlfn.STDEV.S(C46:C61)</f>
        <v>2.1229758987484209</v>
      </c>
    </row>
    <row r="67" spans="2:4" x14ac:dyDescent="0.25">
      <c r="B67" t="s">
        <v>28</v>
      </c>
      <c r="C67">
        <f>C66*2</f>
        <v>4.2459517974968417</v>
      </c>
      <c r="D67">
        <f>C67*-1</f>
        <v>-4.2459517974968417</v>
      </c>
    </row>
    <row r="68" spans="2:4" x14ac:dyDescent="0.25">
      <c r="B68" t="s">
        <v>29</v>
      </c>
      <c r="C68">
        <f>C66*3</f>
        <v>6.3689276962452626</v>
      </c>
      <c r="D68">
        <f>C68*-1</f>
        <v>-6.3689276962452626</v>
      </c>
    </row>
  </sheetData>
  <sortState ref="A90:K105">
    <sortCondition ref="C90:C105"/>
  </sortState>
  <pageMargins left="0.7" right="0.7" top="0.75" bottom="0.75" header="0.3" footer="0.3"/>
  <pageSetup paperSize="0" orientation="portrait" horizontalDpi="0" verticalDpi="0" copies="0"/>
  <drawing r:id="rId1"/>
  <legacyDrawing r:id="rId2"/>
  <controls>
    <mc:AlternateContent xmlns:mc="http://schemas.openxmlformats.org/markup-compatibility/2006">
      <mc:Choice Requires="x14">
        <control shapeId="1061" r:id="rId3" name="Control 3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428625</xdr:colOff>
                <xdr:row>1</xdr:row>
                <xdr:rowOff>38100</xdr:rowOff>
              </to>
            </anchor>
          </controlPr>
        </control>
      </mc:Choice>
      <mc:Fallback>
        <control shapeId="1061" r:id="rId3" name="Control 37"/>
      </mc:Fallback>
    </mc:AlternateContent>
    <mc:AlternateContent xmlns:mc="http://schemas.openxmlformats.org/markup-compatibility/2006">
      <mc:Choice Requires="x14">
        <control shapeId="1060" r:id="rId5" name="Control 36">
          <control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323850</xdr:colOff>
                <xdr:row>1</xdr:row>
                <xdr:rowOff>38100</xdr:rowOff>
              </to>
            </anchor>
          </controlPr>
        </control>
      </mc:Choice>
      <mc:Fallback>
        <control shapeId="1060" r:id="rId5" name="Control 36"/>
      </mc:Fallback>
    </mc:AlternateContent>
    <mc:AlternateContent xmlns:mc="http://schemas.openxmlformats.org/markup-compatibility/2006">
      <mc:Choice Requires="x14">
        <control shapeId="1059" r:id="rId7" name="Control 35">
          <controlPr defaultSiz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180975</xdr:colOff>
                <xdr:row>1</xdr:row>
                <xdr:rowOff>0</xdr:rowOff>
              </to>
            </anchor>
          </controlPr>
        </control>
      </mc:Choice>
      <mc:Fallback>
        <control shapeId="1059" r:id="rId7" name="Control 35"/>
      </mc:Fallback>
    </mc:AlternateContent>
    <mc:AlternateContent xmlns:mc="http://schemas.openxmlformats.org/markup-compatibility/2006">
      <mc:Choice Requires="x14">
        <control shapeId="1058" r:id="rId9" name="Control 34">
          <controlPr defaultSize="0" r:id="rId10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58" r:id="rId9" name="Control 34"/>
      </mc:Fallback>
    </mc:AlternateContent>
    <mc:AlternateContent xmlns:mc="http://schemas.openxmlformats.org/markup-compatibility/2006">
      <mc:Choice Requires="x14">
        <control shapeId="1057" r:id="rId11" name="Control 33">
          <control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57" r:id="rId11" name="Control 33"/>
      </mc:Fallback>
    </mc:AlternateContent>
    <mc:AlternateContent xmlns:mc="http://schemas.openxmlformats.org/markup-compatibility/2006">
      <mc:Choice Requires="x14">
        <control shapeId="1056" r:id="rId12" name="Control 32">
          <controlPr defaultSize="0" r:id="rId13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56" r:id="rId12" name="Control 32"/>
      </mc:Fallback>
    </mc:AlternateContent>
    <mc:AlternateContent xmlns:mc="http://schemas.openxmlformats.org/markup-compatibility/2006">
      <mc:Choice Requires="x14">
        <control shapeId="1055" r:id="rId14" name="Control 31">
          <controlPr defaultSize="0" r:id="rId10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55" r:id="rId14" name="Control 31"/>
      </mc:Fallback>
    </mc:AlternateContent>
    <mc:AlternateContent xmlns:mc="http://schemas.openxmlformats.org/markup-compatibility/2006">
      <mc:Choice Requires="x14">
        <control shapeId="1054" r:id="rId15" name="Control 30">
          <control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54" r:id="rId15" name="Control 30"/>
      </mc:Fallback>
    </mc:AlternateContent>
    <mc:AlternateContent xmlns:mc="http://schemas.openxmlformats.org/markup-compatibility/2006">
      <mc:Choice Requires="x14">
        <control shapeId="1053" r:id="rId16" name="Control 29">
          <controlPr defaultSize="0" r:id="rId17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53" r:id="rId16" name="Control 29"/>
      </mc:Fallback>
    </mc:AlternateContent>
    <mc:AlternateContent xmlns:mc="http://schemas.openxmlformats.org/markup-compatibility/2006">
      <mc:Choice Requires="x14">
        <control shapeId="1052" r:id="rId18" name="Control 28">
          <controlPr defaultSize="0" r:id="rId10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52" r:id="rId18" name="Control 28"/>
      </mc:Fallback>
    </mc:AlternateContent>
    <mc:AlternateContent xmlns:mc="http://schemas.openxmlformats.org/markup-compatibility/2006">
      <mc:Choice Requires="x14">
        <control shapeId="1051" r:id="rId19" name="Control 27">
          <control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51" r:id="rId19" name="Control 27"/>
      </mc:Fallback>
    </mc:AlternateContent>
    <mc:AlternateContent xmlns:mc="http://schemas.openxmlformats.org/markup-compatibility/2006">
      <mc:Choice Requires="x14">
        <control shapeId="1050" r:id="rId20" name="Control 26">
          <controlPr defaultSize="0" r:id="rId21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50" r:id="rId20" name="Control 26"/>
      </mc:Fallback>
    </mc:AlternateContent>
    <mc:AlternateContent xmlns:mc="http://schemas.openxmlformats.org/markup-compatibility/2006">
      <mc:Choice Requires="x14">
        <control shapeId="1049" r:id="rId22" name="Control 25">
          <controlPr defaultSize="0" r:id="rId10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49" r:id="rId22" name="Control 25"/>
      </mc:Fallback>
    </mc:AlternateContent>
    <mc:AlternateContent xmlns:mc="http://schemas.openxmlformats.org/markup-compatibility/2006">
      <mc:Choice Requires="x14">
        <control shapeId="1048" r:id="rId23" name="Control 24">
          <control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48" r:id="rId23" name="Control 24"/>
      </mc:Fallback>
    </mc:AlternateContent>
    <mc:AlternateContent xmlns:mc="http://schemas.openxmlformats.org/markup-compatibility/2006">
      <mc:Choice Requires="x14">
        <control shapeId="1047" r:id="rId24" name="Control 23">
          <controlPr defaultSize="0" r:id="rId2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47" r:id="rId24" name="Control 23"/>
      </mc:Fallback>
    </mc:AlternateContent>
    <mc:AlternateContent xmlns:mc="http://schemas.openxmlformats.org/markup-compatibility/2006">
      <mc:Choice Requires="x14">
        <control shapeId="1046" r:id="rId26" name="Control 22">
          <controlPr defaultSize="0" r:id="rId10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46" r:id="rId26" name="Control 22"/>
      </mc:Fallback>
    </mc:AlternateContent>
    <mc:AlternateContent xmlns:mc="http://schemas.openxmlformats.org/markup-compatibility/2006">
      <mc:Choice Requires="x14">
        <control shapeId="1045" r:id="rId27" name="Control 21">
          <control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45" r:id="rId27" name="Control 21"/>
      </mc:Fallback>
    </mc:AlternateContent>
    <mc:AlternateContent xmlns:mc="http://schemas.openxmlformats.org/markup-compatibility/2006">
      <mc:Choice Requires="x14">
        <control shapeId="1044" r:id="rId28" name="Control 20">
          <controlPr defaultSize="0" r:id="rId29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44" r:id="rId28" name="Control 20"/>
      </mc:Fallback>
    </mc:AlternateContent>
    <mc:AlternateContent xmlns:mc="http://schemas.openxmlformats.org/markup-compatibility/2006">
      <mc:Choice Requires="x14">
        <control shapeId="1043" r:id="rId30" name="Control 19">
          <controlPr defaultSize="0" r:id="rId10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43" r:id="rId30" name="Control 19"/>
      </mc:Fallback>
    </mc:AlternateContent>
    <mc:AlternateContent xmlns:mc="http://schemas.openxmlformats.org/markup-compatibility/2006">
      <mc:Choice Requires="x14">
        <control shapeId="1042" r:id="rId31" name="Control 18">
          <control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42" r:id="rId31" name="Control 18"/>
      </mc:Fallback>
    </mc:AlternateContent>
    <mc:AlternateContent xmlns:mc="http://schemas.openxmlformats.org/markup-compatibility/2006">
      <mc:Choice Requires="x14">
        <control shapeId="1041" r:id="rId32" name="Control 17">
          <controlPr defaultSize="0" r:id="rId33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41" r:id="rId32" name="Control 17"/>
      </mc:Fallback>
    </mc:AlternateContent>
    <mc:AlternateContent xmlns:mc="http://schemas.openxmlformats.org/markup-compatibility/2006">
      <mc:Choice Requires="x14">
        <control shapeId="1040" r:id="rId34" name="Control 16">
          <controlPr defaultSize="0" r:id="rId10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40" r:id="rId34" name="Control 16"/>
      </mc:Fallback>
    </mc:AlternateContent>
    <mc:AlternateContent xmlns:mc="http://schemas.openxmlformats.org/markup-compatibility/2006">
      <mc:Choice Requires="x14">
        <control shapeId="1039" r:id="rId35" name="Control 15">
          <control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39" r:id="rId35" name="Control 15"/>
      </mc:Fallback>
    </mc:AlternateContent>
    <mc:AlternateContent xmlns:mc="http://schemas.openxmlformats.org/markup-compatibility/2006">
      <mc:Choice Requires="x14">
        <control shapeId="1038" r:id="rId36" name="Control 14">
          <controlPr defaultSize="0" r:id="rId37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38" r:id="rId36" name="Control 14"/>
      </mc:Fallback>
    </mc:AlternateContent>
    <mc:AlternateContent xmlns:mc="http://schemas.openxmlformats.org/markup-compatibility/2006">
      <mc:Choice Requires="x14">
        <control shapeId="1037" r:id="rId38" name="Control 13">
          <controlPr defaultSize="0" r:id="rId10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37" r:id="rId38" name="Control 13"/>
      </mc:Fallback>
    </mc:AlternateContent>
    <mc:AlternateContent xmlns:mc="http://schemas.openxmlformats.org/markup-compatibility/2006">
      <mc:Choice Requires="x14">
        <control shapeId="1036" r:id="rId39" name="Control 12">
          <control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36" r:id="rId39" name="Control 12"/>
      </mc:Fallback>
    </mc:AlternateContent>
    <mc:AlternateContent xmlns:mc="http://schemas.openxmlformats.org/markup-compatibility/2006">
      <mc:Choice Requires="x14">
        <control shapeId="1035" r:id="rId40" name="Control 11">
          <controlPr defaultSize="0" r:id="rId41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35" r:id="rId40" name="Control 11"/>
      </mc:Fallback>
    </mc:AlternateContent>
    <mc:AlternateContent xmlns:mc="http://schemas.openxmlformats.org/markup-compatibility/2006">
      <mc:Choice Requires="x14">
        <control shapeId="1034" r:id="rId42" name="Control 10">
          <controlPr defaultSize="0" r:id="rId10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34" r:id="rId42" name="Control 10"/>
      </mc:Fallback>
    </mc:AlternateContent>
    <mc:AlternateContent xmlns:mc="http://schemas.openxmlformats.org/markup-compatibility/2006">
      <mc:Choice Requires="x14">
        <control shapeId="1033" r:id="rId43" name="Control 9">
          <control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33" r:id="rId43" name="Control 9"/>
      </mc:Fallback>
    </mc:AlternateContent>
    <mc:AlternateContent xmlns:mc="http://schemas.openxmlformats.org/markup-compatibility/2006">
      <mc:Choice Requires="x14">
        <control shapeId="1032" r:id="rId44" name="Control 8">
          <controlPr defaultSize="0" r:id="rId4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32" r:id="rId44" name="Control 8"/>
      </mc:Fallback>
    </mc:AlternateContent>
    <mc:AlternateContent xmlns:mc="http://schemas.openxmlformats.org/markup-compatibility/2006">
      <mc:Choice Requires="x14">
        <control shapeId="1031" r:id="rId46" name="Control 7">
          <controlPr defaultSize="0" r:id="rId10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31" r:id="rId46" name="Control 7"/>
      </mc:Fallback>
    </mc:AlternateContent>
    <mc:AlternateContent xmlns:mc="http://schemas.openxmlformats.org/markup-compatibility/2006">
      <mc:Choice Requires="x14">
        <control shapeId="1030" r:id="rId47" name="Control 6">
          <control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30" r:id="rId47" name="Control 6"/>
      </mc:Fallback>
    </mc:AlternateContent>
    <mc:AlternateContent xmlns:mc="http://schemas.openxmlformats.org/markup-compatibility/2006">
      <mc:Choice Requires="x14">
        <control shapeId="1029" r:id="rId48" name="Control 5">
          <controlPr defaultSize="0" r:id="rId49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29" r:id="rId48" name="Control 5"/>
      </mc:Fallback>
    </mc:AlternateContent>
    <mc:AlternateContent xmlns:mc="http://schemas.openxmlformats.org/markup-compatibility/2006">
      <mc:Choice Requires="x14">
        <control shapeId="1028" r:id="rId50" name="Control 4">
          <controlPr defaultSize="0" r:id="rId10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28" r:id="rId50" name="Control 4"/>
      </mc:Fallback>
    </mc:AlternateContent>
    <mc:AlternateContent xmlns:mc="http://schemas.openxmlformats.org/markup-compatibility/2006">
      <mc:Choice Requires="x14">
        <control shapeId="1027" r:id="rId51" name="Control 3">
          <control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27" r:id="rId51" name="Control 3"/>
      </mc:Fallback>
    </mc:AlternateContent>
    <mc:AlternateContent xmlns:mc="http://schemas.openxmlformats.org/markup-compatibility/2006">
      <mc:Choice Requires="x14">
        <control shapeId="1026" r:id="rId52" name="Control 2">
          <controlPr defaultSize="0" r:id="rId53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209550</xdr:colOff>
                <xdr:row>0</xdr:row>
                <xdr:rowOff>161925</xdr:rowOff>
              </to>
            </anchor>
          </controlPr>
        </control>
      </mc:Choice>
      <mc:Fallback>
        <control shapeId="1026" r:id="rId52" name="Control 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zoomScale="85" zoomScaleNormal="85" workbookViewId="0">
      <selection activeCell="C2" sqref="C2"/>
    </sheetView>
  </sheetViews>
  <sheetFormatPr baseColWidth="10" defaultRowHeight="15" x14ac:dyDescent="0.25"/>
  <sheetData>
    <row r="1" spans="2:7" x14ac:dyDescent="0.25">
      <c r="B1" t="s">
        <v>35</v>
      </c>
      <c r="C1" t="s">
        <v>36</v>
      </c>
      <c r="F1" t="s">
        <v>26</v>
      </c>
      <c r="G1">
        <f>AVERAGE(B:B)</f>
        <v>2.6852499999999999</v>
      </c>
    </row>
    <row r="2" spans="2:7" x14ac:dyDescent="0.25">
      <c r="B2">
        <v>0.56000000000000005</v>
      </c>
      <c r="C2">
        <f t="shared" ref="C2:C17" si="0">_xlfn.NORM.DIST(B2,$G$1,$G$2,FALSE)</f>
        <v>6.1688030806093384E-2</v>
      </c>
      <c r="F2" t="s">
        <v>34</v>
      </c>
      <c r="G2">
        <f>_xlfn.STDEV.S(B:B)</f>
        <v>1.1409333898173024</v>
      </c>
    </row>
    <row r="3" spans="2:7" x14ac:dyDescent="0.25">
      <c r="B3">
        <v>1.1000000000000001</v>
      </c>
      <c r="C3">
        <f t="shared" si="0"/>
        <v>0.13318093759518704</v>
      </c>
    </row>
    <row r="4" spans="2:7" x14ac:dyDescent="0.25">
      <c r="B4">
        <v>1.36</v>
      </c>
      <c r="C4">
        <f t="shared" si="0"/>
        <v>0.17810478455630319</v>
      </c>
    </row>
    <row r="5" spans="2:7" x14ac:dyDescent="0.25">
      <c r="B5">
        <v>2</v>
      </c>
      <c r="C5">
        <f t="shared" si="0"/>
        <v>0.29195714551054669</v>
      </c>
    </row>
    <row r="6" spans="2:7" x14ac:dyDescent="0.25">
      <c r="B6">
        <v>2.25</v>
      </c>
      <c r="C6">
        <f t="shared" si="0"/>
        <v>0.32512323978171154</v>
      </c>
    </row>
    <row r="7" spans="2:7" x14ac:dyDescent="0.25">
      <c r="B7">
        <v>2.254</v>
      </c>
      <c r="C7">
        <f t="shared" si="0"/>
        <v>0.32555636664274984</v>
      </c>
    </row>
    <row r="8" spans="2:7" x14ac:dyDescent="0.25">
      <c r="B8">
        <v>2.2599999999999998</v>
      </c>
      <c r="C8">
        <f t="shared" si="0"/>
        <v>0.32619962129377233</v>
      </c>
    </row>
    <row r="9" spans="2:7" x14ac:dyDescent="0.25">
      <c r="B9">
        <v>2.4700000000000002</v>
      </c>
      <c r="C9">
        <f t="shared" si="0"/>
        <v>0.34349532732429444</v>
      </c>
    </row>
    <row r="10" spans="2:7" x14ac:dyDescent="0.25">
      <c r="B10">
        <v>2.78</v>
      </c>
      <c r="C10">
        <f t="shared" si="0"/>
        <v>0.34845940308754508</v>
      </c>
    </row>
    <row r="11" spans="2:7" x14ac:dyDescent="0.25">
      <c r="B11">
        <v>3</v>
      </c>
      <c r="C11">
        <f t="shared" si="0"/>
        <v>0.33660756500987199</v>
      </c>
    </row>
    <row r="12" spans="2:7" x14ac:dyDescent="0.25">
      <c r="B12">
        <v>3.25</v>
      </c>
      <c r="C12">
        <f t="shared" si="0"/>
        <v>0.30934673691250297</v>
      </c>
    </row>
    <row r="13" spans="2:7" x14ac:dyDescent="0.25">
      <c r="B13">
        <v>3.27</v>
      </c>
      <c r="C13">
        <f t="shared" si="0"/>
        <v>0.30662705687602099</v>
      </c>
    </row>
    <row r="14" spans="2:7" x14ac:dyDescent="0.25">
      <c r="B14">
        <v>3.34</v>
      </c>
      <c r="C14">
        <f t="shared" si="0"/>
        <v>0.29657655523194953</v>
      </c>
    </row>
    <row r="15" spans="2:7" x14ac:dyDescent="0.25">
      <c r="B15">
        <v>4.16</v>
      </c>
      <c r="C15">
        <f t="shared" si="0"/>
        <v>0.15165161748067887</v>
      </c>
    </row>
    <row r="16" spans="2:7" x14ac:dyDescent="0.25">
      <c r="B16">
        <v>4.33</v>
      </c>
      <c r="C16">
        <f t="shared" si="0"/>
        <v>0.12370373939216757</v>
      </c>
    </row>
    <row r="17" spans="2:3" x14ac:dyDescent="0.25">
      <c r="B17">
        <v>4.58</v>
      </c>
      <c r="C17">
        <f t="shared" si="0"/>
        <v>8.8058821417361308E-2</v>
      </c>
    </row>
  </sheetData>
  <sortState ref="B2:C171">
    <sortCondition ref="B2:B1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Data Entry</vt:lpstr>
      <vt:lpstr>Nitrogen</vt:lpstr>
      <vt:lpstr>Phosphorus</vt:lpstr>
      <vt:lpstr>Setup</vt:lpstr>
      <vt:lpstr>Hoja1</vt:lpstr>
      <vt:lpstr>Hoja3</vt:lpstr>
      <vt:lpstr>Analyte</vt:lpstr>
      <vt:lpstr>Laboratory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 Obando</dc:creator>
  <cp:lastModifiedBy>Veda Obando</cp:lastModifiedBy>
  <dcterms:created xsi:type="dcterms:W3CDTF">2017-07-02T05:27:01Z</dcterms:created>
  <dcterms:modified xsi:type="dcterms:W3CDTF">2017-07-03T16:00:37Z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8ed9e52f-b5c0-457d-9175-3f6fac1c0bb7</vt:lpwstr>
  </property>
</Properties>
</file>