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cel\Downloads\"/>
    </mc:Choice>
  </mc:AlternateContent>
  <xr:revisionPtr revIDLastSave="0" documentId="13_ncr:1_{A8350819-5645-4BDF-A2A8-D757863C07E1}" xr6:coauthVersionLast="45" xr6:coauthVersionMax="45" xr10:uidLastSave="{00000000-0000-0000-0000-000000000000}"/>
  <bookViews>
    <workbookView xWindow="-673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9" sheetId="9" r:id="rId6"/>
  </sheets>
  <definedNames>
    <definedName name="_xlchart.v1.0" hidden="1">Sheet9!$D$2:$D$1880</definedName>
    <definedName name="_xlchart.v1.1" hidden="1">Sheet9!$E$1</definedName>
    <definedName name="_xlchart.v1.2" hidden="1">Sheet9!$E$2:$E$1880</definedName>
    <definedName name="_xlchart.v1.3" hidden="1">Sheet9!$D$2:$D$1880</definedName>
    <definedName name="_xlchart.v1.4" hidden="1">Sheet9!$E$1</definedName>
    <definedName name="_xlchart.v1.5" hidden="1">Sheet9!$E$2:$E$1880</definedName>
    <definedName name="_xlchart.v1.6" hidden="1">Sheet9!$A$2:$A$2186</definedName>
    <definedName name="_xlchart.v1.7" hidden="1">Sheet9!$B$1</definedName>
    <definedName name="_xlchart.v1.8" hidden="1">Sheet9!$B$2:$B$2186</definedName>
  </definedNames>
  <calcPr calcId="191029"/>
  <pivotCaches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9" l="1"/>
  <c r="K6" i="9"/>
  <c r="K5" i="9"/>
  <c r="J5" i="9"/>
  <c r="J7" i="9"/>
  <c r="J6" i="9"/>
  <c r="K4" i="9"/>
  <c r="K3" i="9"/>
  <c r="J2" i="9"/>
  <c r="K2" i="9"/>
  <c r="J4" i="9"/>
  <c r="J3" i="9"/>
  <c r="G2" i="5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tc={BB02E292-94CE-4253-AEAC-5969290E464F}</author>
  </authors>
  <commentList>
    <comment ref="B4" authorId="0" shapeId="0" xr:uid="{BB02E292-94CE-4253-AEAC-5969290E464F}">
      <text>
        <t>[Threaded comment]
Your version of Excel allows you to read this threaded comment; however, any edits to it will get removed if the file is opened in a newer version of Excel. Learn more: https://go.microsoft.com/fwlink/?linkid=870924
Comment:
    I filtered this to match the screenshot to show that I knew how to do this</t>
      </text>
    </comment>
  </commentList>
</comments>
</file>

<file path=xl/sharedStrings.xml><?xml version="1.0" encoding="utf-8"?>
<sst xmlns="http://schemas.openxmlformats.org/spreadsheetml/2006/main" count="28896" uniqueCount="8411">
  <si>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</si>
  <si>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</si>
  <si>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</si>
  <si>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</si>
  <si>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</si>
  <si>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</si>
  <si>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</si>
  <si>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</si>
  <si>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</si>
  <si>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</si>
  <si>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</si>
  <si>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</si>
  <si>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</si>
  <si>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</si>
  <si>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</si>
  <si>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</si>
  <si>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</si>
  <si>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</si>
  <si>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</si>
  <si>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</si>
  <si>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</si>
  <si>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</si>
  <si>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</si>
  <si>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</si>
  <si>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</si>
  <si>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</si>
  <si>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</si>
  <si>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</si>
  <si>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</si>
  <si>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</si>
  <si>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</si>
  <si>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</si>
  <si>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</si>
  <si>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</si>
  <si>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</si>
  <si>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</si>
  <si>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</si>
  <si>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</si>
  <si>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</si>
  <si>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</si>
  <si>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</si>
  <si>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</si>
  <si>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</si>
  <si>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</si>
  <si>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</si>
  <si>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</si>
  <si>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</si>
  <si>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</si>
  <si>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</si>
  <si>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</si>
  <si>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</si>
  <si>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</si>
  <si>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</si>
  <si>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</si>
  <si>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</si>
  <si>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</si>
  <si>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</si>
  <si>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</si>
  <si>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</si>
  <si>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</si>
  <si>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</si>
  <si>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</si>
  <si>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</si>
  <si>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</si>
  <si>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</si>
  <si>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</si>
  <si>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</si>
  <si>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</si>
  <si>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</si>
  <si>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</si>
  <si>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</si>
  <si>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</si>
  <si>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</si>
  <si>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</si>
  <si>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</si>
  <si>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</si>
  <si>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</si>
  <si>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</si>
  <si>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</si>
  <si>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</si>
  <si>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</si>
  <si>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</si>
  <si>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</si>
  <si>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</si>
  <si>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</si>
  <si>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</si>
  <si>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</si>
  <si>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</si>
  <si>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</si>
  <si>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</si>
  <si>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</si>
  <si>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</si>
  <si>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</si>
  <si>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</si>
  <si>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</si>
  <si>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</si>
  <si>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</si>
  <si>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</si>
  <si>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</si>
  <si>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</si>
  <si>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</si>
  <si>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</si>
  <si>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</si>
  <si>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</si>
  <si>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</si>
  <si>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</si>
  <si>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</si>
  <si>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</si>
  <si>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</si>
  <si>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</si>
  <si>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</si>
  <si>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</si>
  <si>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</si>
  <si>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</si>
  <si>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</si>
  <si>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</si>
  <si>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</si>
  <si>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</si>
  <si>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</si>
  <si>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</si>
  <si>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</si>
  <si>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</si>
  <si>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</si>
  <si>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</si>
  <si>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</si>
  <si>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</si>
  <si>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</si>
  <si>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</si>
  <si>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</si>
  <si>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</si>
  <si>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</si>
  <si>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</si>
  <si>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</si>
  <si>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</si>
  <si>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</si>
  <si>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</si>
  <si>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</si>
  <si>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</si>
  <si>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</si>
  <si>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</si>
  <si>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</si>
  <si>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</si>
  <si>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</si>
  <si>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</si>
  <si>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</si>
  <si>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</si>
  <si>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</si>
  <si>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</si>
  <si>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</si>
  <si>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</si>
  <si>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</si>
  <si>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</si>
  <si>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</si>
  <si>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</si>
  <si>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</si>
  <si>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</si>
  <si>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</si>
  <si>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</si>
  <si>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</si>
  <si>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</si>
  <si>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</si>
  <si>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</si>
  <si>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</si>
  <si>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</si>
  <si>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</si>
  <si>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</si>
  <si>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</si>
  <si>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</si>
  <si>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</si>
  <si>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</si>
  <si>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</si>
  <si>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</si>
  <si>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</si>
  <si>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</si>
  <si>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</si>
  <si>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</si>
  <si>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</si>
  <si>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</si>
  <si>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</si>
  <si>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</si>
  <si>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</si>
  <si>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</si>
  <si>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</si>
  <si>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</si>
  <si>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</si>
  <si>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</si>
  <si>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</si>
  <si>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</si>
  <si>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</si>
  <si>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</si>
  <si>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</si>
  <si>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</si>
  <si>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</si>
  <si>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</si>
  <si>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</si>
  <si>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</si>
  <si>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</si>
  <si>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</si>
  <si>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</si>
  <si>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</si>
  <si>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</si>
  <si>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</si>
  <si>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</si>
  <si>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</si>
  <si>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</si>
  <si>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</si>
  <si>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</si>
  <si>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</si>
  <si>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</si>
  <si>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</si>
  <si>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</si>
  <si>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</si>
  <si>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</si>
  <si>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</si>
  <si>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</si>
  <si>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</si>
  <si>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</si>
  <si>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</si>
  <si>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</si>
  <si>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</si>
  <si>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</si>
  <si>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</si>
  <si>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</si>
  <si>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</si>
  <si>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</si>
  <si>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</si>
  <si>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</si>
  <si>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</si>
  <si>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</si>
  <si>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</si>
  <si>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</si>
  <si>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</si>
  <si>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</si>
  <si>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</si>
  <si>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</si>
  <si>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</si>
  <si>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</si>
  <si>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</si>
  <si>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</si>
  <si>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</si>
  <si>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</si>
  <si>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</si>
  <si>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</si>
  <si>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</si>
  <si>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</si>
  <si>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</si>
  <si>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</si>
  <si>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</si>
  <si>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</si>
  <si>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</si>
  <si>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</si>
  <si>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</si>
  <si>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</si>
  <si>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</si>
  <si>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</si>
  <si>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</si>
  <si>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</si>
  <si>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</si>
  <si>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</si>
  <si>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</si>
  <si>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</si>
  <si>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</si>
  <si>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</si>
  <si>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</si>
  <si>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</si>
  <si>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</si>
  <si>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</si>
  <si>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</si>
  <si>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</si>
  <si>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</si>
  <si>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</si>
  <si>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</si>
  <si>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</si>
  <si>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</si>
  <si>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</si>
  <si>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</si>
  <si>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</si>
  <si>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</si>
  <si>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</si>
  <si>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</si>
  <si>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</si>
  <si>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</si>
  <si>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</si>
  <si>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</si>
  <si>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</si>
  <si>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</si>
  <si>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</si>
  <si>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</si>
  <si>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</si>
  <si>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</si>
  <si>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</si>
  <si>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</si>
  <si>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</si>
  <si>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</si>
  <si>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</si>
  <si>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</si>
  <si>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</si>
  <si>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</si>
  <si>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</si>
  <si>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</si>
  <si>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</si>
  <si>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</si>
  <si>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</si>
  <si>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</si>
  <si>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</si>
  <si>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</si>
  <si>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</si>
  <si>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</si>
  <si>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</si>
  <si>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</si>
  <si>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</si>
  <si>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</si>
  <si>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</si>
  <si>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</si>
  <si>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</si>
  <si>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</si>
  <si>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</si>
  <si>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</si>
  <si>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</si>
  <si>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</si>
  <si>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</si>
  <si>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</si>
  <si>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</si>
  <si>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</si>
  <si>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</si>
  <si>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</si>
  <si>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</si>
  <si>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</si>
  <si>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</si>
  <si>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</si>
  <si>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</si>
  <si>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</si>
  <si>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</si>
  <si>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</si>
  <si>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</si>
  <si>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</si>
  <si>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</si>
  <si>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</si>
  <si>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</si>
  <si>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</si>
  <si>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</si>
  <si>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</si>
  <si>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</si>
  <si>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</si>
  <si>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</si>
  <si>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</si>
  <si>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</si>
  <si>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</si>
  <si>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</si>
  <si>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</si>
  <si>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</si>
  <si>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</si>
  <si>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</si>
  <si>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</si>
  <si>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</si>
  <si>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</si>
  <si>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</si>
  <si>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</si>
  <si>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</si>
  <si>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</si>
  <si>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</si>
  <si>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</si>
  <si>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</si>
  <si>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</si>
  <si>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</si>
  <si>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</si>
  <si>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</si>
  <si>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</si>
  <si>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</si>
  <si>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</si>
  <si>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</si>
  <si>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</si>
  <si>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</si>
  <si>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</si>
  <si>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</si>
  <si>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</si>
  <si>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</si>
  <si>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</si>
  <si>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</si>
  <si>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</si>
  <si>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</si>
  <si>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</si>
  <si>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</si>
  <si>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</si>
  <si>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</si>
  <si>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</si>
  <si>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</si>
  <si>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</si>
  <si>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</si>
  <si>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</si>
  <si>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</si>
  <si>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</si>
  <si>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</si>
  <si>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</si>
  <si>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</si>
  <si>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</si>
  <si>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</si>
  <si>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</si>
  <si>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</si>
  <si>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</si>
  <si>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</si>
  <si>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</si>
  <si>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</si>
  <si>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</si>
  <si>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</si>
  <si>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</si>
  <si>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</si>
  <si>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</si>
  <si>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</si>
  <si>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</si>
  <si>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</si>
  <si>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</si>
  <si>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</si>
  <si>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</si>
  <si>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</si>
  <si>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</si>
  <si>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</si>
  <si>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</si>
  <si>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</si>
  <si>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</si>
  <si>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</si>
  <si>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</si>
  <si>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</si>
  <si>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</si>
  <si>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</si>
  <si>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</si>
  <si>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</si>
  <si>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</si>
  <si>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</si>
  <si>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</si>
  <si>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</si>
  <si>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</si>
  <si>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</si>
  <si>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</si>
  <si>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</si>
  <si>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</si>
  <si>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</si>
  <si>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</si>
  <si>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</si>
  <si>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</si>
  <si>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</si>
  <si>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</si>
  <si>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</si>
  <si>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</si>
  <si>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</si>
  <si>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</si>
  <si>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</si>
  <si>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</si>
  <si>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</si>
  <si>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</si>
  <si>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</si>
  <si>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</si>
  <si>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</si>
  <si>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</si>
  <si>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</si>
  <si>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</si>
  <si>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</si>
  <si>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</si>
  <si>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</si>
  <si>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</si>
  <si>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</si>
  <si>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</si>
  <si>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</si>
  <si>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</si>
  <si>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</si>
  <si>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</si>
  <si>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</si>
  <si>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</si>
  <si>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</si>
  <si>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</si>
  <si>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</si>
  <si>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</si>
  <si>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</si>
  <si>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</si>
  <si>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</si>
  <si>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</si>
  <si>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</si>
  <si>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</si>
  <si>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</si>
  <si>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</si>
  <si>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</si>
  <si>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</si>
  <si>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</si>
  <si>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</si>
  <si>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</si>
  <si>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</si>
  <si>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</si>
  <si>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</si>
  <si>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</si>
  <si>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</si>
  <si>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</si>
  <si>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</si>
  <si>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</si>
  <si>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</si>
  <si>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</si>
  <si>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</si>
  <si>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</si>
  <si>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</si>
  <si>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</si>
  <si>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</si>
  <si>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</si>
  <si>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</si>
  <si>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</si>
  <si>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</si>
  <si>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</si>
  <si>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</si>
  <si>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</si>
  <si>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</si>
  <si>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</si>
  <si>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</si>
  <si>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</si>
  <si>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</si>
  <si>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</si>
  <si>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</si>
  <si>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</si>
  <si>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</si>
  <si>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</si>
  <si>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</si>
  <si>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</si>
  <si>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</si>
  <si>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</si>
  <si>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</si>
  <si>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</si>
  <si>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</si>
  <si>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</si>
  <si>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</si>
  <si>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</si>
  <si>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</si>
  <si>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</si>
  <si>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</si>
  <si>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</si>
  <si>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</si>
  <si>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</si>
  <si>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</si>
  <si>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</si>
  <si>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</si>
  <si>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</si>
  <si>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</si>
  <si>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</si>
  <si>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</si>
  <si>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</si>
  <si>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</si>
  <si>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</si>
  <si>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</si>
  <si>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</si>
  <si>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</si>
  <si>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</si>
  <si>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</si>
  <si>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</si>
  <si>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</si>
  <si>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</si>
  <si>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</si>
  <si>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</si>
  <si>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</si>
  <si>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</si>
  <si>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</si>
  <si>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</si>
  <si>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</si>
  <si>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</si>
  <si>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</si>
  <si>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</si>
  <si>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</si>
  <si>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</si>
  <si>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</si>
  <si>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</si>
  <si>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</si>
  <si>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</si>
  <si>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</si>
  <si>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</si>
  <si>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</si>
  <si>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</si>
  <si>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</si>
  <si>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</si>
  <si>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</si>
  <si>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</si>
  <si>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</si>
  <si>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</si>
  <si>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</si>
  <si>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</si>
  <si>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</si>
  <si>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</si>
  <si>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</si>
  <si>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</si>
  <si>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</si>
  <si>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</si>
  <si>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</si>
  <si>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</si>
  <si>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</si>
  <si>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</si>
  <si>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</si>
  <si>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</si>
  <si>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</si>
  <si>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</si>
  <si>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</si>
  <si>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</si>
  <si>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</si>
  <si>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</si>
  <si>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</si>
  <si>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</si>
  <si>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</si>
  <si>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</si>
  <si>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</si>
  <si>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</si>
  <si>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</si>
  <si>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</si>
  <si>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</si>
  <si>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</si>
  <si>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</si>
  <si>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</si>
  <si>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</si>
  <si>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</si>
  <si>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</si>
  <si>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</si>
  <si>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</si>
  <si>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</si>
  <si>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</si>
  <si>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</si>
  <si>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</si>
  <si>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</si>
  <si>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</si>
  <si>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</si>
  <si>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</si>
  <si>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</si>
  <si>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</si>
  <si>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</si>
  <si>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</si>
  <si>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</si>
  <si>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</si>
  <si>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</si>
  <si>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</si>
  <si>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</si>
  <si>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</si>
  <si>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</si>
  <si>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</si>
  <si>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</si>
  <si>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</si>
  <si>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</si>
  <si>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</si>
  <si>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</si>
  <si>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</si>
  <si>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</si>
  <si>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</si>
  <si>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</si>
  <si>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</si>
  <si>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</si>
  <si>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</si>
  <si>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</si>
  <si>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</si>
  <si>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</si>
  <si>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</si>
  <si>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</si>
  <si>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</si>
  <si>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</si>
  <si>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</si>
  <si>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</si>
  <si>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</si>
  <si>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</si>
  <si>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</si>
  <si>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</si>
  <si>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</si>
  <si>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</si>
  <si>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</si>
  <si>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</si>
  <si>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</si>
  <si>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</si>
  <si>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</si>
  <si>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</si>
  <si>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</si>
  <si>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</si>
  <si>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</si>
  <si>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</si>
  <si>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</si>
  <si>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</si>
  <si>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</si>
  <si>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</si>
  <si>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</si>
  <si>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</si>
  <si>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</si>
  <si>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</si>
  <si>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</si>
  <si>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</si>
  <si>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</si>
  <si>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</si>
  <si>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</si>
  <si>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</si>
  <si>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</si>
  <si>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</si>
  <si>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</si>
  <si>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</si>
  <si>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</si>
  <si>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</si>
  <si>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</si>
  <si>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</si>
  <si>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</si>
  <si>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</si>
  <si>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</si>
  <si>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</si>
  <si>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</si>
  <si>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</si>
  <si>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</si>
  <si>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</si>
  <si>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</si>
  <si>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</si>
  <si>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</si>
  <si>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</si>
  <si>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</si>
  <si>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</si>
  <si>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</si>
  <si>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</si>
  <si>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</si>
  <si>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</si>
  <si>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</si>
  <si>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</si>
  <si>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</si>
  <si>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</si>
  <si>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</si>
  <si>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</si>
  <si>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</si>
  <si>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</si>
  <si>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</si>
  <si>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</si>
  <si>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</si>
  <si>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</si>
  <si>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</si>
  <si>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</si>
  <si>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</si>
  <si>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</si>
  <si>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</si>
  <si>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</si>
  <si>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</si>
  <si>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</si>
  <si>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</si>
  <si>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</si>
  <si>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</si>
  <si>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</si>
  <si>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</si>
  <si>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</si>
  <si>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</si>
  <si>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</si>
  <si>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</si>
  <si>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</si>
  <si>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</si>
  <si>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</si>
  <si>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</si>
  <si>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</si>
  <si>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</si>
  <si>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</si>
  <si>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</si>
  <si>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</si>
  <si>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</si>
  <si>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</si>
  <si>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</si>
  <si>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</si>
  <si>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</si>
  <si>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</si>
  <si>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</si>
  <si>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</si>
  <si>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</si>
  <si>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</si>
  <si>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</si>
  <si>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</si>
  <si>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</si>
  <si>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</si>
  <si>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</si>
  <si>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</si>
  <si>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</si>
  <si>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</si>
  <si>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</si>
  <si>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</si>
  <si>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</si>
  <si>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</si>
  <si>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</si>
  <si>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</si>
  <si>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</si>
  <si>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</si>
  <si>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</si>
  <si>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</si>
  <si>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</si>
  <si>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</si>
  <si>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</si>
  <si>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</si>
  <si>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</si>
  <si>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</si>
  <si>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</si>
  <si>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</si>
  <si>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</si>
  <si>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</si>
  <si>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</si>
  <si>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</si>
  <si>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</si>
  <si>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</si>
  <si>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</si>
  <si>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</si>
  <si>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</si>
  <si>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</si>
  <si>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</si>
  <si>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</si>
  <si>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</si>
  <si>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</si>
  <si>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</si>
  <si>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</si>
  <si>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</si>
  <si>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</si>
  <si>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</si>
  <si>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</si>
  <si>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</si>
  <si>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</si>
  <si>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</si>
  <si>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</si>
  <si>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</si>
  <si>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</si>
  <si>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</si>
  <si>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</si>
  <si>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</si>
  <si>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</si>
  <si>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</si>
  <si>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</si>
  <si>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</si>
  <si>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</si>
  <si>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</si>
  <si>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</si>
  <si>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</si>
  <si>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</si>
  <si>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</si>
  <si>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</si>
  <si>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</si>
  <si>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</si>
  <si>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</si>
  <si>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</si>
  <si>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</si>
  <si>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</si>
  <si>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</si>
  <si>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</si>
  <si>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</si>
  <si>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</si>
  <si>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</si>
  <si>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</si>
  <si>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</si>
  <si>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</si>
  <si>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</si>
  <si>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</si>
  <si>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</si>
  <si>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</si>
  <si>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</si>
  <si>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</si>
  <si>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</si>
  <si>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</si>
  <si>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</si>
  <si>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</si>
  <si>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</si>
  <si>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</si>
  <si>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</si>
  <si>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</si>
  <si>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</si>
  <si>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</si>
  <si>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</si>
  <si>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</si>
  <si>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</si>
  <si>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</si>
  <si>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</si>
  <si>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</si>
  <si>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</si>
  <si>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</si>
  <si>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</si>
  <si>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</si>
  <si>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</si>
  <si>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</si>
  <si>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</si>
  <si>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</si>
  <si>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</si>
  <si>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</si>
  <si>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</si>
  <si>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</si>
  <si>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</si>
  <si>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</si>
  <si>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</si>
  <si>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</si>
  <si>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</si>
  <si>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</si>
  <si>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</si>
  <si>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</si>
  <si>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</si>
  <si>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</si>
  <si>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</si>
  <si>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</si>
  <si>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</si>
  <si>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</si>
  <si>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</si>
  <si>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</si>
  <si>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</si>
  <si>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</si>
  <si>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</si>
  <si>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</si>
  <si>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</si>
  <si>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</si>
  <si>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</si>
  <si>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</si>
  <si>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</si>
  <si>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</si>
  <si>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</si>
  <si>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</si>
  <si>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</si>
  <si>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</si>
  <si>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</si>
  <si>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</si>
  <si>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</si>
  <si>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</si>
  <si>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</si>
  <si>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</si>
  <si>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</si>
  <si>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</si>
  <si>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</si>
  <si>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</si>
  <si>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</si>
  <si>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</si>
  <si>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</si>
  <si>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</si>
  <si>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</si>
  <si>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</si>
  <si>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</si>
  <si>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</si>
  <si>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</si>
  <si>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</si>
  <si>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</si>
  <si>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</si>
  <si>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</si>
  <si>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</si>
  <si>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</si>
  <si>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</si>
  <si>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</si>
  <si>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</si>
  <si>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</si>
  <si>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</si>
  <si>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</si>
  <si>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</si>
  <si>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</si>
  <si>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</si>
  <si>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</si>
  <si>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</si>
  <si>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</si>
  <si>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</si>
  <si>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</si>
  <si>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</si>
  <si>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</si>
  <si>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</si>
  <si>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</si>
  <si>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</si>
  <si>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</si>
  <si>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</si>
  <si>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</si>
  <si>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</si>
  <si>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</si>
  <si>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</si>
  <si>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</si>
  <si>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</si>
  <si>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</si>
  <si>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</si>
  <si>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</si>
  <si>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</si>
  <si>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</si>
  <si>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</si>
  <si>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</si>
  <si>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</si>
  <si>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</si>
  <si>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</si>
  <si>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</si>
  <si>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</si>
  <si>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</si>
  <si>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</si>
  <si>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</si>
  <si>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</si>
  <si>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</si>
  <si>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</si>
  <si>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</si>
  <si>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</si>
  <si>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</si>
  <si>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</si>
  <si>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</si>
  <si>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</si>
  <si>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</si>
  <si>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</si>
  <si>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</si>
  <si>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</si>
  <si>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</si>
  <si>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</si>
  <si>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</si>
  <si>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</si>
  <si>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</si>
  <si>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</si>
  <si>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</si>
  <si>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</si>
  <si>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</si>
  <si>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</si>
  <si>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</si>
  <si>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</si>
  <si>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</si>
  <si>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</si>
  <si>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</si>
  <si>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</si>
  <si>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</si>
  <si>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</si>
  <si>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</si>
  <si>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</si>
  <si>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</si>
  <si>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</si>
  <si>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</si>
  <si>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</si>
  <si>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</si>
  <si>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</si>
  <si>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</si>
  <si>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</si>
  <si>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</si>
  <si>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</si>
  <si>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</si>
  <si>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</si>
  <si>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</si>
  <si>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</si>
  <si>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</si>
  <si>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</si>
  <si>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</si>
  <si>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</si>
  <si>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</si>
  <si>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</si>
  <si>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</si>
  <si>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</si>
  <si>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</si>
  <si>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</si>
  <si>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</si>
  <si>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</si>
  <si>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</si>
  <si>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</si>
  <si>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</si>
  <si>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</si>
  <si>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</si>
  <si>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</si>
  <si>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</si>
  <si>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</si>
  <si>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</si>
  <si>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</si>
  <si>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</si>
  <si>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</si>
  <si>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</si>
  <si>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</si>
  <si>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</si>
  <si>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</si>
  <si>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</si>
  <si>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</si>
  <si>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</si>
  <si>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</si>
  <si>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</si>
  <si>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</si>
  <si>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</si>
  <si>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</si>
  <si>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</si>
  <si>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</si>
  <si>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</si>
  <si>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</si>
  <si>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</si>
  <si>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</si>
  <si>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</si>
  <si>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</si>
  <si>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</si>
  <si>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</si>
  <si>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</si>
  <si>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</si>
  <si>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</si>
  <si>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</si>
  <si>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</si>
  <si>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</si>
  <si>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</si>
  <si>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</si>
  <si>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</si>
  <si>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</si>
  <si>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</si>
  <si>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</si>
  <si>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</si>
  <si>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</si>
  <si>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</si>
  <si>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</si>
  <si>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</si>
  <si>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</si>
  <si>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</si>
  <si>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</si>
  <si>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</si>
  <si>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</si>
  <si>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</si>
  <si>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</si>
  <si>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</si>
  <si>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</si>
  <si>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</si>
  <si>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</si>
  <si>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</si>
  <si>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</si>
  <si>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</si>
  <si>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</si>
  <si>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</si>
  <si>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</si>
  <si>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</si>
  <si>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</si>
  <si>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</si>
  <si>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</si>
  <si>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</si>
  <si>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</si>
  <si>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</si>
  <si>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</si>
  <si>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</si>
  <si>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</si>
  <si>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</si>
  <si>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</si>
  <si>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</si>
  <si>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</si>
  <si>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</si>
  <si>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</si>
  <si>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</si>
  <si>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</si>
  <si>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</si>
  <si>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</si>
  <si>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</si>
  <si>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</si>
  <si>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</si>
  <si>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</si>
  <si>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</si>
  <si>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</si>
  <si>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</si>
  <si>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</si>
  <si>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</si>
  <si>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</si>
  <si>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</si>
  <si>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</si>
  <si>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</si>
  <si>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</si>
  <si>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</si>
  <si>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</si>
  <si>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</si>
  <si>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</si>
  <si>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</si>
  <si>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</si>
  <si>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</si>
  <si>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</si>
  <si>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</si>
  <si>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</si>
  <si>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</si>
  <si>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</si>
  <si>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</si>
  <si>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</si>
  <si>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</si>
  <si>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</si>
  <si>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</si>
  <si>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</si>
  <si>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</si>
  <si>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</si>
  <si>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</si>
  <si>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</si>
  <si>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</si>
  <si>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</si>
  <si>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</si>
  <si>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</si>
  <si>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</si>
  <si>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</si>
  <si>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</si>
  <si>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</si>
  <si>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</si>
  <si>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</si>
  <si>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</si>
  <si>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</si>
  <si>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</si>
  <si>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</si>
  <si>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</si>
  <si>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</si>
  <si>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</si>
  <si>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</si>
  <si>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</si>
  <si>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</si>
  <si>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</si>
  <si>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</si>
  <si>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</si>
  <si>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</si>
  <si>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</si>
  <si>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</si>
  <si>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</si>
  <si>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</si>
  <si>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</si>
  <si>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</si>
  <si>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</si>
  <si>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</si>
  <si>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</si>
  <si>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</si>
  <si>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</si>
  <si>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</si>
  <si>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</si>
  <si>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</si>
  <si>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</si>
  <si>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</si>
  <si>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</si>
  <si>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</si>
  <si>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</si>
  <si>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</si>
  <si>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</si>
  <si>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</si>
  <si>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</si>
  <si>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</si>
  <si>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</si>
  <si>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</si>
  <si>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</si>
  <si>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</si>
  <si>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</si>
  <si>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</si>
  <si>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</si>
  <si>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</si>
  <si>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</si>
  <si>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</si>
  <si>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</si>
  <si>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</si>
  <si>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</si>
  <si>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</si>
  <si>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</si>
  <si>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</si>
  <si>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</si>
  <si>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</si>
  <si>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</si>
  <si>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</si>
  <si>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</si>
  <si>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</si>
  <si>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</si>
  <si>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</si>
  <si>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</si>
  <si>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</si>
  <si>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</si>
  <si>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</si>
  <si>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</si>
  <si>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</si>
  <si>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</si>
  <si>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</si>
  <si>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</si>
  <si>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</si>
  <si>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</si>
  <si>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</si>
  <si>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</si>
  <si>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</si>
  <si>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</si>
  <si>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</si>
  <si>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</si>
  <si>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</si>
  <si>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</si>
  <si>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</si>
  <si>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</si>
  <si>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</si>
  <si>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</si>
  <si>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</si>
  <si>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</si>
  <si>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</si>
  <si>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</si>
  <si>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</si>
  <si>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</si>
  <si>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</si>
  <si>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</si>
  <si>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</si>
  <si>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</si>
  <si>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</si>
  <si>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</si>
  <si>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</si>
  <si>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</si>
  <si>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</si>
  <si>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</si>
  <si>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</si>
  <si>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</si>
  <si>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</si>
  <si>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</si>
  <si>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</si>
  <si>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</si>
  <si>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</si>
  <si>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</si>
  <si>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</si>
  <si>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</si>
  <si>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</si>
  <si>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</si>
  <si>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</si>
  <si>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</si>
  <si>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</si>
  <si>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</si>
  <si>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</si>
  <si>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</si>
  <si>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</si>
  <si>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</si>
  <si>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</si>
  <si>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</si>
  <si>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</si>
  <si>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</si>
  <si>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</si>
  <si>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</si>
  <si>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</si>
  <si>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</si>
  <si>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</si>
  <si>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</si>
  <si>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</si>
  <si>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</si>
  <si>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</si>
  <si>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</si>
  <si>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</si>
  <si>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</si>
  <si>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</si>
  <si>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</si>
  <si>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</si>
  <si>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</si>
  <si>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</si>
  <si>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</si>
  <si>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</si>
  <si>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</si>
  <si>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</si>
  <si>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</si>
  <si>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</si>
  <si>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</si>
  <si>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</si>
  <si>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</si>
  <si>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</si>
  <si>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</si>
  <si>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</si>
  <si>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</si>
  <si>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</si>
  <si>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</si>
  <si>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</si>
  <si>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</si>
  <si>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</si>
  <si>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</si>
  <si>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</si>
  <si>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</si>
  <si>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</si>
  <si>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</si>
  <si>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</si>
  <si>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</si>
  <si>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</si>
  <si>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</si>
  <si>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</si>
  <si>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</si>
  <si>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</si>
  <si>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</si>
  <si>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</si>
  <si>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</si>
  <si>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</si>
  <si>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</si>
  <si>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</si>
  <si>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</si>
  <si>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</si>
  <si>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</si>
  <si>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</si>
  <si>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</si>
  <si>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</si>
  <si>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</si>
  <si>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</si>
  <si>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</si>
  <si>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</si>
  <si>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</si>
  <si>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</si>
  <si>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</si>
  <si>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</si>
  <si>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</si>
  <si>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</si>
  <si>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</si>
  <si>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</si>
  <si>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</si>
  <si>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</si>
  <si>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</si>
  <si>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</si>
  <si>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</si>
  <si>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</si>
  <si>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</si>
  <si>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</si>
  <si>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</si>
  <si>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</si>
  <si>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</si>
  <si>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</si>
  <si>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</si>
  <si>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</si>
  <si>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</si>
  <si>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</si>
  <si>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</si>
  <si>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</si>
  <si>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</si>
  <si>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</si>
  <si>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</si>
  <si>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</si>
  <si>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</si>
  <si>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</si>
  <si>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</si>
  <si>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</si>
  <si>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</si>
  <si>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</si>
  <si>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</si>
  <si>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</si>
  <si>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</si>
  <si>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</si>
  <si>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</si>
  <si>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</si>
  <si>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</si>
  <si>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</si>
  <si>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</si>
  <si>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</si>
  <si>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</si>
  <si>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</si>
  <si>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</si>
  <si>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</si>
  <si>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</si>
  <si>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</si>
  <si>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</si>
  <si>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</si>
  <si>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</si>
  <si>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</si>
  <si>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</si>
  <si>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</si>
  <si>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</si>
  <si>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</si>
  <si>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</si>
  <si>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</si>
  <si>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</si>
  <si>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</si>
  <si>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</si>
  <si>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</si>
  <si>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</si>
  <si>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</si>
  <si>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</si>
  <si>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</si>
  <si>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</si>
  <si>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</si>
  <si>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</si>
  <si>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</si>
  <si>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</si>
  <si>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</si>
  <si>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</si>
  <si>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</si>
  <si>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</si>
  <si>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</si>
  <si>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</si>
  <si>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</si>
  <si>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</si>
  <si>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</si>
  <si>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</si>
  <si>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</si>
  <si>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</si>
  <si>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</si>
  <si>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</si>
  <si>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</si>
  <si>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</si>
  <si>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</si>
  <si>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</si>
  <si>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</si>
  <si>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</si>
  <si>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</si>
  <si>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</si>
  <si>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</si>
  <si>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</si>
  <si>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</si>
  <si>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</si>
  <si>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</si>
  <si>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</si>
  <si>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</si>
  <si>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</si>
  <si>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</si>
  <si>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</si>
  <si>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</si>
  <si>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</si>
  <si>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</si>
  <si>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</si>
  <si>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</si>
  <si>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</si>
  <si>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</si>
  <si>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</si>
  <si>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</si>
  <si>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</si>
  <si>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</si>
  <si>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</si>
  <si>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</si>
  <si>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</si>
  <si>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</si>
  <si>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</si>
  <si>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</si>
  <si>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</si>
  <si>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</si>
  <si>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</si>
  <si>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</si>
  <si>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</si>
  <si>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</si>
  <si>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</si>
  <si>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</si>
  <si>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</si>
  <si>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</si>
  <si>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</si>
  <si>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</si>
  <si>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</si>
  <si>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</si>
  <si>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</si>
  <si>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</si>
  <si>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</si>
  <si>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</si>
  <si>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</si>
  <si>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</si>
  <si>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</si>
  <si>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</si>
  <si>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</si>
  <si>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</si>
  <si>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</si>
  <si>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</si>
  <si>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</si>
  <si>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</si>
  <si>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</si>
  <si>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</si>
  <si>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</si>
  <si>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</si>
  <si>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</si>
  <si>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</si>
  <si>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</si>
  <si>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</si>
  <si>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</si>
  <si>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</si>
  <si>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</si>
  <si>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</si>
  <si>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</si>
  <si>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</si>
  <si>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</si>
  <si>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</si>
  <si>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</si>
  <si>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</si>
  <si>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</si>
  <si>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</si>
  <si>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</si>
  <si>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</si>
  <si>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</si>
  <si>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</si>
  <si>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</si>
  <si>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</si>
  <si>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</si>
  <si>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</si>
  <si>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</si>
  <si>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</si>
  <si>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</si>
  <si>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</si>
  <si>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</si>
  <si>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</si>
  <si>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</si>
  <si>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</si>
  <si>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</si>
  <si>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</si>
  <si>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</si>
  <si>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</si>
  <si>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</si>
  <si>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</si>
  <si>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</si>
  <si>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</si>
  <si>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</si>
  <si>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</si>
  <si>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</si>
  <si>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</si>
  <si>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</si>
  <si>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</si>
  <si>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</si>
  <si>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</si>
  <si>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</si>
  <si>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</si>
  <si>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</si>
  <si>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</si>
  <si>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</si>
  <si>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</si>
  <si>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</si>
  <si>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</si>
  <si>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</si>
  <si>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</si>
  <si>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</si>
  <si>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</si>
  <si>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</si>
  <si>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</si>
  <si>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</si>
  <si>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</si>
  <si>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</si>
  <si>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</si>
  <si>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</si>
  <si>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</si>
  <si>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</si>
  <si>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</si>
  <si>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</si>
  <si>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</si>
  <si>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</si>
  <si>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</si>
  <si>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</si>
  <si>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</si>
  <si>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</si>
  <si>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</si>
  <si>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</si>
  <si>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</si>
  <si>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</si>
  <si>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</si>
  <si>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</si>
  <si>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</si>
  <si>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</si>
  <si>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</si>
  <si>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</si>
  <si>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</si>
  <si>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</si>
  <si>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</si>
  <si>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</si>
  <si>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</si>
  <si>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</si>
  <si>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</si>
  <si>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</si>
  <si>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</si>
  <si>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</si>
  <si>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</si>
  <si>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</si>
  <si>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</si>
  <si>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</si>
  <si>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</si>
  <si>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</si>
  <si>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</si>
  <si>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</si>
  <si>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</si>
  <si>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</si>
  <si>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</si>
  <si>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</si>
  <si>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</si>
  <si>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</si>
  <si>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</si>
  <si>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</si>
  <si>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</si>
  <si>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</si>
  <si>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</si>
  <si>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</si>
  <si>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</si>
  <si>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</si>
  <si>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</si>
  <si>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</si>
  <si>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</si>
  <si>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</si>
  <si>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</si>
  <si>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</si>
  <si>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</si>
  <si>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</si>
  <si>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</si>
  <si>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</si>
  <si>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</si>
  <si>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</si>
  <si>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</si>
  <si>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</si>
  <si>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</si>
  <si>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</si>
  <si>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</si>
  <si>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</si>
  <si>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</si>
  <si>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</si>
  <si>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</si>
  <si>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</si>
  <si>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</si>
  <si>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</si>
  <si>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</si>
  <si>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</si>
  <si>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</si>
  <si>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</si>
  <si>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</si>
  <si>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</si>
  <si>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</si>
  <si>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</si>
  <si>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</si>
  <si>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</si>
  <si>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</si>
  <si>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</si>
  <si>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</si>
  <si>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</si>
  <si>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</si>
  <si>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</si>
  <si>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</si>
  <si>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</si>
  <si>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</si>
  <si>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</si>
  <si>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</si>
  <si>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</si>
  <si>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</si>
  <si>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</si>
  <si>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</si>
  <si>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</si>
  <si>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</si>
  <si>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</si>
  <si>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</si>
  <si>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</si>
  <si>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</si>
  <si>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</si>
  <si>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</si>
  <si>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</si>
  <si>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</si>
  <si>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</si>
  <si>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</si>
  <si>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</si>
  <si>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</si>
  <si>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</si>
  <si>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</si>
  <si>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</si>
  <si>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</si>
  <si>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</si>
  <si>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</si>
  <si>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</si>
  <si>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</si>
  <si>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</si>
  <si>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</si>
  <si>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</si>
  <si>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</si>
  <si>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</si>
  <si>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</si>
  <si>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</si>
  <si>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</si>
  <si>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</si>
  <si>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</si>
  <si>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</si>
  <si>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</si>
  <si>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</si>
  <si>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</si>
  <si>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</si>
  <si>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</si>
  <si>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</si>
  <si>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</si>
  <si>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</si>
  <si>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</si>
  <si>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</si>
  <si>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</si>
  <si>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</si>
  <si>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</si>
  <si>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</si>
  <si>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</si>
  <si>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</si>
  <si>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</si>
  <si>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</si>
  <si>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</si>
  <si>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</si>
  <si>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</si>
  <si>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</si>
  <si>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</si>
  <si>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</si>
  <si>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</si>
  <si>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</si>
  <si>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</si>
  <si>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</si>
  <si>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</si>
  <si>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</si>
  <si>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</si>
  <si>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</si>
  <si>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</si>
  <si>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</si>
  <si>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</si>
  <si>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</si>
  <si>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</si>
  <si>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</si>
  <si>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</si>
  <si>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</si>
  <si>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</si>
  <si>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</si>
  <si>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</si>
  <si>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</si>
  <si>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</si>
  <si>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</si>
  <si>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</si>
  <si>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</si>
  <si>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</si>
  <si>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</si>
  <si>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</si>
  <si>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</si>
  <si>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</si>
  <si>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</si>
  <si>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</si>
  <si>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</si>
  <si>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</si>
  <si>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</si>
  <si>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</si>
  <si>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</si>
  <si>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</si>
  <si>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</si>
  <si>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</si>
  <si>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</si>
  <si>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</si>
  <si>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</si>
  <si>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</si>
  <si>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</si>
  <si>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</si>
  <si>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</si>
  <si>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</si>
  <si>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</si>
  <si>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</si>
  <si>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</si>
  <si>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</si>
  <si>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</si>
  <si>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</si>
  <si>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</si>
  <si>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</si>
  <si>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</si>
  <si>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</si>
  <si>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</si>
  <si>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</si>
  <si>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</si>
  <si>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</si>
  <si>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</si>
  <si>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</si>
  <si>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</si>
  <si>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</si>
  <si>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</si>
  <si>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</si>
  <si>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</si>
  <si>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</si>
  <si>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</si>
  <si>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</si>
  <si>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</si>
  <si>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</si>
  <si>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</si>
  <si>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</si>
  <si>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</si>
  <si>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</si>
  <si>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</si>
  <si>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</si>
  <si>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</si>
  <si>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</si>
  <si>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</si>
  <si>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</si>
  <si>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</si>
  <si>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</si>
  <si>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</si>
  <si>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</si>
  <si>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</si>
  <si>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</si>
  <si>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</si>
  <si>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</si>
  <si>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</si>
  <si>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</si>
  <si>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</si>
  <si>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</si>
  <si>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</si>
  <si>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</si>
  <si>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</si>
  <si>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</si>
  <si>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</si>
  <si>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</si>
  <si>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</si>
  <si>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</si>
  <si>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</si>
  <si>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</si>
  <si>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</si>
  <si>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</si>
  <si>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</si>
  <si>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</si>
  <si>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</si>
  <si>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</si>
  <si>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</si>
  <si>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</si>
  <si>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</si>
  <si>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</si>
  <si>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</si>
  <si>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</si>
  <si>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</si>
  <si>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</si>
  <si>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</si>
  <si>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</si>
  <si>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</si>
  <si>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</si>
  <si>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</si>
  <si>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</si>
  <si>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</si>
  <si>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</si>
  <si>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</si>
  <si>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</si>
  <si>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</si>
  <si>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</si>
  <si>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</si>
  <si>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</si>
  <si>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</si>
  <si>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</si>
  <si>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</si>
  <si>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</si>
  <si>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</si>
  <si>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</si>
  <si>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</si>
  <si>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</si>
  <si>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</si>
  <si>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</si>
  <si>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</si>
  <si>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</si>
  <si>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</si>
  <si>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</si>
  <si>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</si>
  <si>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</si>
  <si>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</si>
  <si>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</si>
  <si>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</si>
  <si>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</si>
  <si>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</si>
  <si>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</si>
  <si>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</si>
  <si>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</si>
  <si>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</si>
  <si>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</si>
  <si>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</si>
  <si>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</si>
  <si>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</si>
  <si>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</si>
  <si>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</si>
  <si>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</si>
  <si>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</si>
  <si>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</si>
  <si>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</si>
  <si>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</si>
  <si>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</si>
  <si>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</si>
  <si>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</si>
  <si>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</si>
  <si>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</si>
  <si>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</si>
  <si>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</si>
  <si>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</si>
  <si>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</si>
  <si>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</si>
  <si>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</si>
  <si>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</si>
  <si>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</si>
  <si>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</si>
  <si>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</si>
  <si>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</si>
  <si>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</si>
  <si>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</si>
  <si>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</si>
  <si>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</si>
  <si>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</si>
  <si>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</si>
  <si>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</si>
  <si>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</si>
  <si>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</si>
  <si>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</si>
  <si>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</si>
  <si>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</si>
  <si>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</si>
  <si>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</si>
  <si>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</si>
  <si>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</si>
  <si>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</si>
  <si>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</si>
  <si>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</si>
  <si>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</si>
  <si>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</si>
  <si>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</si>
  <si>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</si>
  <si>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</si>
  <si>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</si>
  <si>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</si>
  <si>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</si>
  <si>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</si>
  <si>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</si>
  <si>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</si>
  <si>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</si>
  <si>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</si>
  <si>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</si>
  <si>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</si>
  <si>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</si>
  <si>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</si>
  <si>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</si>
  <si>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</si>
  <si>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</si>
  <si>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</si>
  <si>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</si>
  <si>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</si>
  <si>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</si>
  <si>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</si>
  <si>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</si>
  <si>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</si>
  <si>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</si>
  <si>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</si>
  <si>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</si>
  <si>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</si>
  <si>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</si>
  <si>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</si>
  <si>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</si>
  <si>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</si>
  <si>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</si>
  <si>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</si>
  <si>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</si>
  <si>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</si>
  <si>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</si>
  <si>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</si>
  <si>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</si>
  <si>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</si>
  <si>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</si>
  <si>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</si>
  <si>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</si>
  <si>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</si>
  <si>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</si>
  <si>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</si>
  <si>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</si>
  <si>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</si>
  <si>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</si>
  <si>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</si>
  <si>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</si>
  <si>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</si>
  <si>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</si>
  <si>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</si>
  <si>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</si>
  <si>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</si>
  <si>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</si>
  <si>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</si>
  <si>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</si>
  <si>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</si>
  <si>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</si>
  <si>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</si>
  <si>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</si>
  <si>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</si>
  <si>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</si>
  <si>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</si>
  <si>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</si>
  <si>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</si>
  <si>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</si>
  <si>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</si>
  <si>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</si>
  <si>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</si>
  <si>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</si>
  <si>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</si>
  <si>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</si>
  <si>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</si>
  <si>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</si>
  <si>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</si>
  <si>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</si>
  <si>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</si>
  <si>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</si>
  <si>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</si>
  <si>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</si>
  <si>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</si>
  <si>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</si>
  <si>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</si>
  <si>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</si>
  <si>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</si>
  <si>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</si>
  <si>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</si>
  <si>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</si>
  <si>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</si>
  <si>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</si>
  <si>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</si>
  <si>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</si>
  <si>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</si>
  <si>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</si>
  <si>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</si>
  <si>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</si>
  <si>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</si>
  <si>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</si>
  <si>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</si>
  <si>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</si>
  <si>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</si>
  <si>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</si>
  <si>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</si>
  <si>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</si>
  <si>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</si>
  <si>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</si>
  <si>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</si>
  <si>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</si>
  <si>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</si>
  <si>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</si>
  <si>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</si>
  <si>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</si>
  <si>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</si>
  <si>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</si>
  <si>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</si>
  <si>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</si>
  <si>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</si>
  <si>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</si>
  <si>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</si>
  <si>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</si>
  <si>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</si>
  <si>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</si>
  <si>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</si>
  <si>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</si>
  <si>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</si>
  <si>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</si>
  <si>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</si>
  <si>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</si>
  <si>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</si>
  <si>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</si>
  <si>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</si>
  <si>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</si>
  <si>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</si>
  <si>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</si>
  <si>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</si>
  <si>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</si>
  <si>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</si>
  <si>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</si>
  <si>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</si>
  <si>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</si>
  <si>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</si>
  <si>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</si>
  <si>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</si>
  <si>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</si>
  <si>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</si>
  <si>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</si>
  <si>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</si>
  <si>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</si>
  <si>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</si>
  <si>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</si>
  <si>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</si>
  <si>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</si>
  <si>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</si>
  <si>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</si>
  <si>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</si>
  <si>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</si>
  <si>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</si>
  <si>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</si>
  <si>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</si>
  <si>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</si>
  <si>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</si>
  <si>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</si>
  <si>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</si>
  <si>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</si>
  <si>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</si>
  <si>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</si>
  <si>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</si>
  <si>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</si>
  <si>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</si>
  <si>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</si>
  <si>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</si>
  <si>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</si>
  <si>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</si>
  <si>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</si>
  <si>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</si>
  <si>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</si>
  <si>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</si>
  <si>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</si>
  <si>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</si>
  <si>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</si>
  <si>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</si>
  <si>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</si>
  <si>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</si>
  <si>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</si>
  <si>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</si>
  <si>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</si>
  <si>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</si>
  <si>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</si>
  <si>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</si>
  <si>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</si>
  <si>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</si>
  <si>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</si>
  <si>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</si>
  <si>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</si>
  <si>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</si>
  <si>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</si>
  <si>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</si>
  <si>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</si>
  <si>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</si>
  <si>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</si>
  <si>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</si>
  <si>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</si>
  <si>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</si>
  <si>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</si>
  <si>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</si>
  <si>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</si>
  <si>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</si>
  <si>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</si>
  <si>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</si>
  <si>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</si>
  <si>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</si>
  <si>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</si>
  <si>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</si>
  <si>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</si>
  <si>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</si>
  <si>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</si>
  <si>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</si>
  <si>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</si>
  <si>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</si>
  <si>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</si>
  <si>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</si>
  <si>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</si>
  <si>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</si>
  <si>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</si>
  <si>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</si>
  <si>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</si>
  <si>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</si>
  <si>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</si>
  <si>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</si>
  <si>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</si>
  <si>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</si>
  <si>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</si>
  <si>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</si>
  <si>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</si>
  <si>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</si>
  <si>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</si>
  <si>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</si>
  <si>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</si>
  <si>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</si>
  <si>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</si>
  <si>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</si>
  <si>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</si>
  <si>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</si>
  <si>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</si>
  <si>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</si>
  <si>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</si>
  <si>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</si>
  <si>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</si>
  <si>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</si>
  <si>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</si>
  <si>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</si>
  <si>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</si>
  <si>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</si>
  <si>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</si>
  <si>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</si>
  <si>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</si>
  <si>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</si>
  <si>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</si>
  <si>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</si>
  <si>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</si>
  <si>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</si>
  <si>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</si>
  <si>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</si>
  <si>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</si>
  <si>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</si>
  <si>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</si>
  <si>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</si>
  <si>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</si>
  <si>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</si>
  <si>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</si>
  <si>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</si>
  <si>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</si>
  <si>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</si>
  <si>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</si>
  <si>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</si>
  <si>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</si>
  <si>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</si>
  <si>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</si>
  <si>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</si>
  <si>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</si>
  <si>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</si>
  <si>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</si>
  <si>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</si>
  <si>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</si>
  <si>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</si>
  <si>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</si>
  <si>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</si>
  <si>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</si>
  <si>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</si>
  <si>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</si>
  <si>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</si>
  <si>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</si>
  <si>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</si>
  <si>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</si>
  <si>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</si>
  <si>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</si>
  <si>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</si>
  <si>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</si>
  <si>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</si>
  <si>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</si>
  <si>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</si>
  <si>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</si>
  <si>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</si>
  <si>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</si>
  <si>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</si>
  <si>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</si>
  <si>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</si>
  <si>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</si>
  <si>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</si>
  <si>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</si>
  <si>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</si>
  <si>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</si>
  <si>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</si>
  <si>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</si>
  <si>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</si>
  <si>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</si>
  <si>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</si>
  <si>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</si>
  <si>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</si>
  <si>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</si>
  <si>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</si>
  <si>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</si>
  <si>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</si>
  <si>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</si>
  <si>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</si>
  <si>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</si>
  <si>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</si>
  <si>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</si>
  <si>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</si>
  <si>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</si>
  <si>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</si>
  <si>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</si>
  <si>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</si>
  <si>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</si>
  <si>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</si>
  <si>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</si>
  <si>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</si>
  <si>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</si>
  <si>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</si>
  <si>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</si>
  <si>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</si>
  <si>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</si>
  <si>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</si>
  <si>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</si>
  <si>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</si>
  <si>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</si>
  <si>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</si>
  <si>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</si>
  <si>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</si>
  <si>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</si>
  <si>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</si>
  <si>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</si>
  <si>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</si>
  <si>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</si>
  <si>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</si>
  <si>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</si>
  <si>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</si>
  <si>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</si>
  <si>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</si>
  <si>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</si>
  <si>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</si>
  <si>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</si>
  <si>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</si>
  <si>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</si>
  <si>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</si>
  <si>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</si>
  <si>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</si>
  <si>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</si>
  <si>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</si>
  <si>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</si>
  <si>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</si>
  <si>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</si>
  <si>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</si>
  <si>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</si>
  <si>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</si>
  <si>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</si>
  <si>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</si>
  <si>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</si>
  <si>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</si>
  <si>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</si>
  <si>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</si>
  <si>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</si>
  <si>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</si>
  <si>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</si>
  <si>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</si>
  <si>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</si>
  <si>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</si>
  <si>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</si>
  <si>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</si>
  <si>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</si>
  <si>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</si>
  <si>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</si>
  <si>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</si>
  <si>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</si>
  <si>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</si>
  <si>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</si>
  <si>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</si>
  <si>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</si>
  <si>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</si>
  <si>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</si>
  <si>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</si>
  <si>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</si>
  <si>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</si>
  <si>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</si>
  <si>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</si>
  <si>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</si>
  <si>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</si>
  <si>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</si>
  <si>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</si>
  <si>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</si>
  <si>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</si>
  <si>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</si>
  <si>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</si>
  <si>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</si>
  <si>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</si>
  <si>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</si>
  <si>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</si>
  <si>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</si>
  <si>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</si>
  <si>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</si>
  <si>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</si>
  <si>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</si>
  <si>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</si>
  <si>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</si>
  <si>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</si>
  <si>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</si>
  <si>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</si>
  <si>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</si>
  <si>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</si>
  <si>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</si>
  <si>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</si>
  <si>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</si>
  <si>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</si>
  <si>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</si>
  <si>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</si>
  <si>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</si>
  <si>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</si>
  <si>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</si>
  <si>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</si>
  <si>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</si>
  <si>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</si>
  <si>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</si>
  <si>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</si>
  <si>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</si>
  <si>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</si>
  <si>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</si>
  <si>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</si>
  <si>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</si>
  <si>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</si>
  <si>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</si>
  <si>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</si>
  <si>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</si>
  <si>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</si>
  <si>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</si>
  <si>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</si>
  <si>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</si>
  <si>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</si>
  <si>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</si>
  <si>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</si>
  <si>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</si>
  <si>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</si>
  <si>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</si>
  <si>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</si>
  <si>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</si>
  <si>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</si>
  <si>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</si>
  <si>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</si>
  <si>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</si>
  <si>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</si>
  <si>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</si>
  <si>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</si>
  <si>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</si>
  <si>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</si>
  <si>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</si>
  <si>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</si>
  <si>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</si>
  <si>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</si>
  <si>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</si>
  <si>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</si>
  <si>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</si>
  <si>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</si>
  <si>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</si>
  <si>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</si>
  <si>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</si>
  <si>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</si>
  <si>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</si>
  <si>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</si>
  <si>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</si>
  <si>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</si>
  <si>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</si>
  <si>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</si>
  <si>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</si>
  <si>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</si>
  <si>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</si>
  <si>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</si>
  <si>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</si>
  <si>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</si>
  <si>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</si>
  <si>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</si>
  <si>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</si>
  <si>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</si>
  <si>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</si>
  <si>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</si>
  <si>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</si>
  <si>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</si>
  <si>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</si>
  <si>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</si>
  <si>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</si>
  <si>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</si>
  <si>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</si>
  <si>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</si>
  <si>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</si>
  <si>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</si>
  <si>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</si>
  <si>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</si>
  <si>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</si>
  <si>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</si>
  <si>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</si>
  <si>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</si>
  <si>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</si>
  <si>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</si>
  <si>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</si>
  <si>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</si>
  <si>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</si>
  <si>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</si>
  <si>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</si>
  <si>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</si>
  <si>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</si>
  <si>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</si>
  <si>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</si>
  <si>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</si>
  <si>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</si>
  <si>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</si>
  <si>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</si>
  <si>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</si>
  <si>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</si>
  <si>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</si>
  <si>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</si>
  <si>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</si>
  <si>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</si>
  <si>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</si>
  <si>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</si>
  <si>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</si>
  <si>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</si>
  <si>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</si>
  <si>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</si>
  <si>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</si>
  <si>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</si>
  <si>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</si>
  <si>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</si>
  <si>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</si>
  <si>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</si>
  <si>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</si>
  <si>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</si>
  <si>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</si>
  <si>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</si>
  <si>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</si>
  <si>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</si>
  <si>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</si>
  <si>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</si>
  <si>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</si>
  <si>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</si>
  <si>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</si>
  <si>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</si>
  <si>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</si>
  <si>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</si>
  <si>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</si>
  <si>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</si>
  <si>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</si>
  <si>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</si>
  <si>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</si>
  <si>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</si>
  <si>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</si>
  <si>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</si>
  <si>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</si>
  <si>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</si>
  <si>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</si>
  <si>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</si>
  <si>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</si>
  <si>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</si>
  <si>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</si>
  <si>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</si>
  <si>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</si>
  <si>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</si>
  <si>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</si>
  <si>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</si>
  <si>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</si>
  <si>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</si>
  <si>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</si>
  <si>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</si>
  <si>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</si>
  <si>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</si>
  <si>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</si>
  <si>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</si>
  <si>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</si>
  <si>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</si>
  <si>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</si>
  <si>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</si>
  <si>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</si>
  <si>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</si>
  <si>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</si>
  <si>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</si>
  <si>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</si>
  <si>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</si>
  <si>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</si>
  <si>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</si>
  <si>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</si>
  <si>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</si>
  <si>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</si>
  <si>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</si>
  <si>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</si>
  <si>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</si>
  <si>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</si>
  <si>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</si>
  <si>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</si>
  <si>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</si>
  <si>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</si>
  <si>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</si>
  <si>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</si>
  <si>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</si>
  <si>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</si>
  <si>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</si>
  <si>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</si>
  <si>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</si>
  <si>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</si>
  <si>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</si>
  <si>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</si>
  <si>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</si>
  <si>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</si>
  <si>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</si>
  <si>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</si>
  <si>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</si>
  <si>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</si>
  <si>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</si>
  <si>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</si>
  <si>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</si>
  <si>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</si>
  <si>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</si>
  <si>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</si>
  <si>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</si>
  <si>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</si>
  <si>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</si>
  <si>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</si>
  <si>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</si>
  <si>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</si>
  <si>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</si>
  <si>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</si>
  <si>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</si>
  <si>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</si>
  <si>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</si>
  <si>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</si>
  <si>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</si>
  <si>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</si>
  <si>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</si>
  <si>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</si>
  <si>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</si>
  <si>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</si>
  <si>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</si>
  <si>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</si>
  <si>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</si>
  <si>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</si>
  <si>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</si>
  <si>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</si>
  <si>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</si>
  <si>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</si>
  <si>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</si>
  <si>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</si>
  <si>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</si>
  <si>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</si>
  <si>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</si>
  <si>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</si>
  <si>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</si>
  <si>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</si>
  <si>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</si>
  <si>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</si>
  <si>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</si>
  <si>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</si>
  <si>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</si>
  <si>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</si>
  <si>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</si>
  <si>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</si>
  <si>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</si>
  <si>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</si>
  <si>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</si>
  <si>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</si>
  <si>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</si>
  <si>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</si>
  <si>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</si>
  <si>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</si>
  <si>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</si>
  <si>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</si>
  <si>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</si>
  <si>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</si>
  <si>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</si>
  <si>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</si>
  <si>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</si>
  <si>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</si>
  <si>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</si>
  <si>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</si>
  <si>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</si>
  <si>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</si>
  <si>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</si>
  <si>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</si>
  <si>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</si>
  <si>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</si>
  <si>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</si>
  <si>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</si>
  <si>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</si>
  <si>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</si>
  <si>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</si>
  <si>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</si>
  <si>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</si>
  <si>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</si>
  <si>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</si>
  <si>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</si>
  <si>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</si>
  <si>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</si>
  <si>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</si>
  <si>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</si>
  <si>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</si>
  <si>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</si>
  <si>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</si>
  <si>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</si>
  <si>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</si>
  <si>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</si>
  <si>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</si>
  <si>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</si>
  <si>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</si>
  <si>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</si>
  <si>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</si>
  <si>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</si>
  <si>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</si>
  <si>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</si>
  <si>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</si>
  <si>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</si>
  <si>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</si>
  <si>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</si>
  <si>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</si>
  <si>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</si>
  <si>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</si>
  <si>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</si>
  <si>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</si>
  <si>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</si>
  <si>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</si>
  <si>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</si>
  <si>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</si>
  <si>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</si>
  <si>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</si>
  <si>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</si>
  <si>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</si>
  <si>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</si>
  <si>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</si>
  <si>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</si>
  <si>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</si>
  <si>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</si>
  <si>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</si>
  <si>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</si>
  <si>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</si>
  <si>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</si>
  <si>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</si>
  <si>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</si>
  <si>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</si>
  <si>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</si>
  <si>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</si>
  <si>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</si>
  <si>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</si>
  <si>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</si>
  <si>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</si>
  <si>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</si>
  <si>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</si>
  <si>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</si>
  <si>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</si>
  <si>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</si>
  <si>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</si>
  <si>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</si>
  <si>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</si>
  <si>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</si>
  <si>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</si>
  <si>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</si>
  <si>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</si>
  <si>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</si>
  <si>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</si>
  <si>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</si>
  <si>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</si>
  <si>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</si>
  <si>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</si>
  <si>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</si>
  <si>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</si>
  <si>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</si>
  <si>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</si>
  <si>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</si>
  <si>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</si>
  <si>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</si>
  <si>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</si>
  <si>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</si>
  <si>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</si>
  <si>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</si>
  <si>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</si>
  <si>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</si>
  <si>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</si>
  <si>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</si>
  <si>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</si>
  <si>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</si>
  <si>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</si>
  <si>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</si>
  <si>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</si>
  <si>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</si>
  <si>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</si>
  <si>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</si>
  <si>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</si>
  <si>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</si>
  <si>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</si>
  <si>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</si>
  <si>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</si>
  <si>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</si>
  <si>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</si>
  <si>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</si>
  <si>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</si>
  <si>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</si>
  <si>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</si>
  <si>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</si>
  <si>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</si>
  <si>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</si>
  <si>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</si>
  <si>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</si>
  <si>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</si>
  <si>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</si>
  <si>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</si>
  <si>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</si>
  <si>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</si>
  <si>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</si>
  <si>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</si>
  <si>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</si>
  <si>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</si>
  <si>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</si>
  <si>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</si>
  <si>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</si>
  <si>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</si>
  <si>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</si>
  <si>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</si>
  <si>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</si>
  <si>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</si>
  <si>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</si>
  <si>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</si>
  <si>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</si>
  <si>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</si>
  <si>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</si>
  <si>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</si>
  <si>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</si>
  <si>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</si>
  <si>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</si>
  <si>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</si>
  <si>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</si>
  <si>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</si>
  <si>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</si>
  <si>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</si>
  <si>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</si>
  <si>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</si>
  <si>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</si>
  <si>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</si>
  <si>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</si>
  <si>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</si>
  <si>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</si>
  <si>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</si>
  <si>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</si>
  <si>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</si>
  <si>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</si>
  <si>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</si>
  <si>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</si>
  <si>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</si>
  <si>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</si>
  <si>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</si>
  <si>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</si>
  <si>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</si>
  <si>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</si>
  <si>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</si>
  <si>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</si>
  <si>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</si>
  <si>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</si>
  <si>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</si>
  <si>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</si>
  <si>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</si>
  <si>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</si>
  <si>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</si>
  <si>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</si>
  <si>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</si>
  <si>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</si>
  <si>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</si>
  <si>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</si>
  <si>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</si>
  <si>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</si>
  <si>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</si>
  <si>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</si>
  <si>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</si>
  <si>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</si>
  <si>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</si>
  <si>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</si>
  <si>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</si>
  <si>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</si>
  <si>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</si>
  <si>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</si>
  <si>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</si>
  <si>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</si>
  <si>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</si>
  <si>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</si>
  <si>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</si>
  <si>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</si>
  <si>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</si>
  <si>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</si>
  <si>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</si>
  <si>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</si>
  <si>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</si>
  <si>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</si>
  <si>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</si>
  <si>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</si>
  <si>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</si>
  <si>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</si>
  <si>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</si>
  <si>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</si>
  <si>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</si>
  <si>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</si>
  <si>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</si>
  <si>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</si>
  <si>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</si>
  <si>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</si>
  <si>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</si>
  <si>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</si>
  <si>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</si>
  <si>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</si>
  <si>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</si>
  <si>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</si>
  <si>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</si>
  <si>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</si>
  <si>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</si>
  <si>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</si>
  <si>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</si>
  <si>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</si>
  <si>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</si>
  <si>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</si>
  <si>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</si>
  <si>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</si>
  <si>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</si>
  <si>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</si>
  <si>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</si>
  <si>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</si>
  <si>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</si>
  <si>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</si>
  <si>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</si>
  <si>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</si>
  <si>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</si>
  <si>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</si>
  <si>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</si>
  <si>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</si>
  <si>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</si>
  <si>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</si>
  <si>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</si>
  <si>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</si>
  <si>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</si>
  <si>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</si>
  <si>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</si>
  <si>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</si>
  <si>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</si>
  <si>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</si>
  <si>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</si>
  <si>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</si>
  <si>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</si>
  <si>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</si>
  <si>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</si>
  <si>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</si>
  <si>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</si>
  <si>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</si>
  <si>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</si>
  <si>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</si>
  <si>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</si>
  <si>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</si>
  <si>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</si>
  <si>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</si>
  <si>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</si>
  <si>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</si>
  <si>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</si>
  <si>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</si>
  <si>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</si>
  <si>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</si>
  <si>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</si>
  <si>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</si>
  <si>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</si>
  <si>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</si>
  <si>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</si>
  <si>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</si>
  <si>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</si>
  <si>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</si>
  <si>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</si>
  <si>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</si>
  <si>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</si>
  <si>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</si>
  <si>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</si>
  <si>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</si>
  <si>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</si>
  <si>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</si>
  <si>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</si>
  <si>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</si>
  <si>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</si>
  <si>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</si>
  <si>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</si>
  <si>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</si>
  <si>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</si>
  <si>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</si>
  <si>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</si>
  <si>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</si>
  <si>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</si>
  <si>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</si>
  <si>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</si>
  <si>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</si>
  <si>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</si>
  <si>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</si>
  <si>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</si>
  <si>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</si>
  <si>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</si>
  <si>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</si>
  <si>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</si>
  <si>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</si>
  <si>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</si>
  <si>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</si>
  <si>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</si>
  <si>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</si>
  <si>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</si>
  <si>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</si>
  <si>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</si>
  <si>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</si>
  <si>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</si>
  <si>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</si>
  <si>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</si>
  <si>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</si>
  <si>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</si>
  <si>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</si>
  <si>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</si>
  <si>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</si>
  <si>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</si>
  <si>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</si>
  <si>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</si>
  <si>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</si>
  <si>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</si>
  <si>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</si>
  <si>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</si>
  <si>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</si>
  <si>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</si>
  <si>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</si>
  <si>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</si>
  <si>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</si>
  <si>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</si>
  <si>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</si>
  <si>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</si>
  <si>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</si>
  <si>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</si>
  <si>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</si>
  <si>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</si>
  <si>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</si>
  <si>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</si>
  <si>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</si>
  <si>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</si>
  <si>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</si>
  <si>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</si>
  <si>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</si>
  <si>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</si>
  <si>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</si>
  <si>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</si>
  <si>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</si>
  <si>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</si>
  <si>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</si>
  <si>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</si>
  <si>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</si>
  <si>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</si>
  <si>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</si>
  <si>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</si>
  <si>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</si>
  <si>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</si>
  <si>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</si>
  <si>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</si>
  <si>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</si>
  <si>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</si>
  <si>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</si>
  <si>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</si>
  <si>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</si>
  <si>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</si>
  <si>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</si>
  <si>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</si>
  <si>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</si>
  <si>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</si>
  <si>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</si>
  <si>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</si>
  <si>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</si>
  <si>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</si>
  <si>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</si>
  <si>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</si>
  <si>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</si>
  <si>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</si>
  <si>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</si>
  <si>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</si>
  <si>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</si>
  <si>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</si>
  <si>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</si>
  <si>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</si>
  <si>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</si>
  <si>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</si>
  <si>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</si>
  <si>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</si>
  <si>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</si>
  <si>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</si>
  <si>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</si>
  <si>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</si>
  <si>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</si>
  <si>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</si>
  <si>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</si>
  <si>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</si>
  <si>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</si>
  <si>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</si>
  <si>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</si>
  <si>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</si>
  <si>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</si>
  <si>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</si>
  <si>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</si>
  <si>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</si>
  <si>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</si>
  <si>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</si>
  <si>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</si>
  <si>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</si>
  <si>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</si>
  <si>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</si>
  <si>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</si>
  <si>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</si>
  <si>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</si>
  <si>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</si>
  <si>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</si>
  <si>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</si>
  <si>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</si>
  <si>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</si>
  <si>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</si>
  <si>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</si>
  <si>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</si>
  <si>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</si>
  <si>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</si>
  <si>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</si>
  <si>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</si>
  <si>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</si>
  <si>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</si>
  <si>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</si>
  <si>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</si>
  <si>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</si>
  <si>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</si>
  <si>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</si>
  <si>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</si>
  <si>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</si>
  <si>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</si>
  <si>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</si>
  <si>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</si>
  <si>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</si>
  <si>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</si>
  <si>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</si>
  <si>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</si>
  <si>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</si>
  <si>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</si>
  <si>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</si>
  <si>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</si>
  <si>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</si>
  <si>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</si>
  <si>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</si>
  <si>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</si>
  <si>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</si>
  <si>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</si>
  <si>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</si>
  <si>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</si>
  <si>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</si>
  <si>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</si>
  <si>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</si>
  <si>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</si>
  <si>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</si>
  <si>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</si>
  <si>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</si>
  <si>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</si>
  <si>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</si>
  <si>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</si>
  <si>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</si>
  <si>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</si>
  <si>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</si>
  <si>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</si>
  <si>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</si>
  <si>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</si>
  <si>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</si>
  <si>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</si>
  <si>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</si>
  <si>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</si>
  <si>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</si>
  <si>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</si>
  <si>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</si>
  <si>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</si>
  <si>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</si>
  <si>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</si>
  <si>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</si>
  <si>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</si>
  <si>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</si>
  <si>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</si>
  <si>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</si>
  <si>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</si>
  <si>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</si>
  <si>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</si>
  <si>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</si>
  <si>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</si>
  <si>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</si>
  <si>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</si>
  <si>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</si>
  <si>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</si>
  <si>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</si>
  <si>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</si>
  <si>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</si>
  <si>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</si>
  <si>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</si>
  <si>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</si>
  <si>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</si>
  <si>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</si>
  <si>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</si>
  <si>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</si>
  <si>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</si>
  <si>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</si>
  <si>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</si>
  <si>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</si>
  <si>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</si>
  <si>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</si>
  <si>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</si>
  <si>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</si>
  <si>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</si>
  <si>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</si>
  <si>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</si>
  <si>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</si>
  <si>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</si>
  <si>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</si>
  <si>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</si>
  <si>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</si>
  <si>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</si>
  <si>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</si>
  <si>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</si>
  <si>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</si>
  <si>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</si>
  <si>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</si>
  <si>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</si>
  <si>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</si>
  <si>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</si>
  <si>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</si>
  <si>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</si>
  <si>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</si>
  <si>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</si>
  <si>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</si>
  <si>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</si>
  <si>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</si>
  <si>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</si>
  <si>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</si>
  <si>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</si>
  <si>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</si>
  <si>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</si>
  <si>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</si>
  <si>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</si>
  <si>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</si>
  <si>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</si>
  <si>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</si>
  <si>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</si>
  <si>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</si>
  <si>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</si>
  <si>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</si>
  <si>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</si>
  <si>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</si>
  <si>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</si>
  <si>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</si>
  <si>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</si>
  <si>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</si>
  <si>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</si>
  <si>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</si>
  <si>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</si>
  <si>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</si>
  <si>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</si>
  <si>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</si>
  <si>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</si>
  <si>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</si>
  <si>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</si>
  <si>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</si>
  <si>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</si>
  <si>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</si>
  <si>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</si>
  <si>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</si>
  <si>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</si>
  <si>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</si>
  <si>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</si>
  <si>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</si>
  <si>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</si>
  <si>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</si>
  <si>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</si>
  <si>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</si>
  <si>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</si>
  <si>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</si>
  <si>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</si>
  <si>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</si>
  <si>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</si>
  <si>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</si>
  <si>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</si>
  <si>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</si>
  <si>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</si>
  <si>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</si>
  <si>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</si>
  <si>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</si>
  <si>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</si>
  <si>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</si>
  <si>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</si>
  <si>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</si>
  <si>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</si>
  <si>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</si>
  <si>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</si>
  <si>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</si>
  <si>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</si>
  <si>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</si>
  <si>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</si>
  <si>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</si>
  <si>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</si>
  <si>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</si>
  <si>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</si>
  <si>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</si>
  <si>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</si>
  <si>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</si>
  <si>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</si>
  <si>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</si>
  <si>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</si>
  <si>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</si>
  <si>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</si>
  <si>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</si>
  <si>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</si>
  <si>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</si>
  <si>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</si>
  <si>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</si>
  <si>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</si>
  <si>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</si>
  <si>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</si>
  <si>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</si>
  <si>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</si>
  <si>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</si>
  <si>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</si>
  <si>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</si>
  <si>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</si>
  <si>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</si>
  <si>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</si>
  <si>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</si>
  <si>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</si>
  <si>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</si>
  <si>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</si>
  <si>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</si>
  <si>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</si>
  <si>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</si>
  <si>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</si>
  <si>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</si>
  <si>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</si>
  <si>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</si>
  <si>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</si>
  <si>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</si>
  <si>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</si>
  <si>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</si>
  <si>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</si>
  <si>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</si>
  <si>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</si>
  <si>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</si>
  <si>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</si>
  <si>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</si>
  <si>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</si>
  <si>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</si>
  <si>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</si>
  <si>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</si>
  <si>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</si>
  <si>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</si>
  <si>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</si>
  <si>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</si>
  <si>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</si>
  <si>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</si>
  <si>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</si>
  <si>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</si>
  <si>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</si>
  <si>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</si>
  <si>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</si>
  <si>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</si>
  <si>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</si>
  <si>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</si>
  <si>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</si>
  <si>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</si>
  <si>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</si>
  <si>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</si>
  <si>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</si>
  <si>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</si>
  <si>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</si>
  <si>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</si>
  <si>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</si>
  <si>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</si>
  <si>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</si>
  <si>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</si>
  <si>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</si>
  <si>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</si>
  <si>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</si>
  <si>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</si>
  <si>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</si>
  <si>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</si>
  <si>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</si>
  <si>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</si>
  <si>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</si>
  <si>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</si>
  <si>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</si>
  <si>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</si>
  <si>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</si>
  <si>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</si>
  <si>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</si>
  <si>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</si>
  <si>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</si>
  <si>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</si>
  <si>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</si>
  <si>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</si>
  <si>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</si>
  <si>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</si>
  <si>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</si>
  <si>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</si>
  <si>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</si>
  <si>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</si>
  <si>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</si>
  <si>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</si>
  <si>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</si>
  <si>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</si>
  <si>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</si>
  <si>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</si>
  <si>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</si>
  <si>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</si>
  <si>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</si>
  <si>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</si>
  <si>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</si>
  <si>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</si>
  <si>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</si>
  <si>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</si>
  <si>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</si>
  <si>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</si>
  <si>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</si>
  <si>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</si>
  <si>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</si>
  <si>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</si>
  <si>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</si>
  <si>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</si>
  <si>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</si>
  <si>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</si>
  <si>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</si>
  <si>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</si>
  <si>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</si>
  <si>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</si>
  <si>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</si>
  <si>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</si>
  <si>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</si>
  <si>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</si>
  <si>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</si>
  <si>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</si>
  <si>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</si>
  <si>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</si>
  <si>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</si>
  <si>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</si>
  <si>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</si>
  <si>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</si>
  <si>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</si>
  <si>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</si>
  <si>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</si>
  <si>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</si>
  <si>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</si>
  <si>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</si>
  <si>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</si>
  <si>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</si>
  <si>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</si>
  <si>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</si>
  <si>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</si>
  <si>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</si>
  <si>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</si>
  <si>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</si>
  <si>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</si>
  <si>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</si>
  <si>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</si>
  <si>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</si>
  <si>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</si>
  <si>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</si>
  <si>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</si>
  <si>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</si>
  <si>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</si>
  <si>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</si>
  <si>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</si>
  <si>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</si>
  <si>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</si>
  <si>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</si>
  <si>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</si>
  <si>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</si>
  <si>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</si>
  <si>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</si>
  <si>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</si>
  <si>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</si>
  <si>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</si>
  <si>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</si>
  <si>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</si>
  <si>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</si>
  <si>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</si>
  <si>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</si>
  <si>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</si>
  <si>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</si>
  <si>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</si>
  <si>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</si>
  <si>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</si>
  <si>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</si>
  <si>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</si>
  <si>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</si>
  <si>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</si>
  <si>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</si>
  <si>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</si>
  <si>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</si>
  <si>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</si>
  <si>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</si>
  <si>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</si>
  <si>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</si>
  <si>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</si>
  <si>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</si>
  <si>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</si>
  <si>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</si>
  <si>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</si>
  <si>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</si>
  <si>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</si>
  <si>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</si>
  <si>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</si>
  <si>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</si>
  <si>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</si>
  <si>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</si>
  <si>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</si>
  <si>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</si>
  <si>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</si>
  <si>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</si>
  <si>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</si>
  <si>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</si>
  <si>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</si>
  <si>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</si>
  <si>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</si>
  <si>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</si>
  <si>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</si>
  <si>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</si>
  <si>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</si>
  <si>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</si>
  <si>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</si>
  <si>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</si>
  <si>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</si>
  <si>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</si>
  <si>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</si>
  <si>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</si>
  <si>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</si>
  <si>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</si>
  <si>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</si>
  <si>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</si>
  <si>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</si>
  <si>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</si>
  <si>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</si>
  <si>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</si>
  <si>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</si>
  <si>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</si>
  <si>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</si>
  <si>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</si>
  <si>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</si>
  <si>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</si>
  <si>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</si>
  <si>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</si>
  <si>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</si>
  <si>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</si>
  <si>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</si>
  <si>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</si>
  <si>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</si>
  <si>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</si>
  <si>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</si>
  <si>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</si>
  <si>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</si>
  <si>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</si>
  <si>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</si>
  <si>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</si>
  <si>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</si>
  <si>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</si>
  <si>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</si>
  <si>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</si>
  <si>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</si>
  <si>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</si>
  <si>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</si>
  <si>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</si>
  <si>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</si>
  <si>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</si>
  <si>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</si>
  <si>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</si>
  <si>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</si>
  <si>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</si>
  <si>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</si>
  <si>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</si>
  <si>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</si>
  <si>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</si>
  <si>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</si>
  <si>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</si>
  <si>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</si>
  <si>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</si>
  <si>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</si>
  <si>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</si>
  <si>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</si>
  <si>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</si>
  <si>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</si>
  <si>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</si>
  <si>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</si>
  <si>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</si>
  <si>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</si>
  <si>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</si>
  <si>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</si>
  <si>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</si>
  <si>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</si>
  <si>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</si>
  <si>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</si>
  <si>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</si>
  <si>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</si>
  <si>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</si>
  <si>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</si>
  <si>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</si>
  <si>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</si>
  <si>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</si>
  <si>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</si>
  <si>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</si>
  <si>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</si>
  <si>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</si>
  <si>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</si>
  <si>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</si>
  <si>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</si>
  <si>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</si>
  <si>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</si>
  <si>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</si>
  <si>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</si>
  <si>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</si>
  <si>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</si>
  <si>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</si>
  <si>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</si>
  <si>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</si>
  <si>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</si>
  <si>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</si>
  <si>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</si>
  <si>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</si>
  <si>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</si>
  <si>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</si>
  <si>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</si>
  <si>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</si>
  <si>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</si>
  <si>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</si>
  <si>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</si>
  <si>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</si>
  <si>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</si>
  <si>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</si>
  <si>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</si>
  <si>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</si>
  <si>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</si>
  <si>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</si>
  <si>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</si>
  <si>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</si>
  <si>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</si>
  <si>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</si>
  <si>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</si>
  <si>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</si>
  <si>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</si>
  <si>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</si>
  <si>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</si>
  <si>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</si>
  <si>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</si>
  <si>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</si>
  <si>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</si>
  <si>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</si>
  <si>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</si>
  <si>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</si>
  <si>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</si>
  <si>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</si>
  <si>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</si>
  <si>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</si>
  <si>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</si>
  <si>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</si>
  <si>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</si>
  <si>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</si>
  <si>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</si>
  <si>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</si>
  <si>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</si>
  <si>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</si>
  <si>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</si>
  <si>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</si>
  <si>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</si>
  <si>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</si>
  <si>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</si>
  <si>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</si>
  <si>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</si>
  <si>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</si>
  <si>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</si>
  <si>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</si>
  <si>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</si>
  <si>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</si>
  <si>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</si>
  <si>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</si>
  <si>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</si>
  <si>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</si>
  <si>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</si>
  <si>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</si>
  <si>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</si>
  <si>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</si>
  <si>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</si>
  <si>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</si>
  <si>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</si>
  <si>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</si>
  <si>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</si>
  <si>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</si>
  <si>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</si>
  <si>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</si>
  <si>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</si>
  <si>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</si>
  <si>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</si>
  <si>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</si>
  <si>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</si>
  <si>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</si>
  <si>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</si>
  <si>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</si>
  <si>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</si>
  <si>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</si>
  <si>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</si>
  <si>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</si>
  <si>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</si>
  <si>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</si>
  <si>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</si>
  <si>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</si>
  <si>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</si>
  <si>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</si>
  <si>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</si>
  <si>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</si>
  <si>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</si>
  <si>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</si>
  <si>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</si>
  <si>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</si>
  <si>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</si>
  <si>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</si>
  <si>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</si>
  <si>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</si>
  <si>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</si>
  <si>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</si>
  <si>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</si>
  <si>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</si>
  <si>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</si>
  <si>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</si>
  <si>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</si>
  <si>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</si>
  <si>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</si>
  <si>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</si>
  <si>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</si>
  <si>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</si>
  <si>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</si>
  <si>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</si>
  <si>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</si>
  <si>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</si>
  <si>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</si>
  <si>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</si>
  <si>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</si>
  <si>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</si>
  <si>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</si>
  <si>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</si>
  <si>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</si>
  <si>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</si>
  <si>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</si>
  <si>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</si>
  <si>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</si>
  <si>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</si>
  <si>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</si>
  <si>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</si>
  <si>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</si>
  <si>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</si>
  <si>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</si>
  <si>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</si>
  <si>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</si>
  <si>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</si>
  <si>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</si>
  <si>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</si>
  <si>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</si>
  <si>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</si>
  <si>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</si>
  <si>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</si>
  <si>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</si>
  <si>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</si>
  <si>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</si>
  <si>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</si>
  <si>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</si>
  <si>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</si>
  <si>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</si>
  <si>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</si>
  <si>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</si>
  <si>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</si>
  <si>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</si>
  <si>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</si>
  <si>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</si>
  <si>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</si>
  <si>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</si>
  <si>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</si>
  <si>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</si>
  <si>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</si>
  <si>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</si>
  <si>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</si>
  <si>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</si>
  <si>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</si>
  <si>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</si>
  <si>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</si>
  <si>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</si>
  <si>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</si>
  <si>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</si>
  <si>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</si>
  <si>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</si>
  <si>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</si>
  <si>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</si>
  <si>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</si>
  <si>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</si>
  <si>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</si>
  <si>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</si>
  <si>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</si>
  <si>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</si>
  <si>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</si>
  <si>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</si>
  <si>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</si>
  <si>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</si>
  <si>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</si>
  <si>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</si>
  <si>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</si>
  <si>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</si>
  <si>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</si>
  <si>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</si>
  <si>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</si>
  <si>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</si>
  <si>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</si>
  <si>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</si>
  <si>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</si>
  <si>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</si>
  <si>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</si>
  <si>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</si>
  <si>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</si>
  <si>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</si>
  <si>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</si>
  <si>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</si>
  <si>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</si>
  <si>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</si>
  <si>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</si>
  <si>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</si>
  <si>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</si>
  <si>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</si>
  <si>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</si>
  <si>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</si>
  <si>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</si>
  <si>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</si>
  <si>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</si>
  <si>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</si>
  <si>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</si>
  <si>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</si>
  <si>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</si>
  <si>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</si>
  <si>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</si>
  <si>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</si>
  <si>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</si>
  <si>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</si>
  <si>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</si>
  <si>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</si>
  <si>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</si>
  <si>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</si>
  <si>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</si>
  <si>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</si>
  <si>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</si>
  <si>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</si>
  <si>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</si>
  <si>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</si>
  <si>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</si>
  <si>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</si>
  <si>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</si>
  <si>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</si>
  <si>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</si>
  <si>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</si>
  <si>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</si>
  <si>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</si>
  <si>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</si>
  <si>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</si>
  <si>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</si>
  <si>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</si>
  <si>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</si>
  <si>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</si>
  <si>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</si>
  <si>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</si>
  <si>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</si>
  <si>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</si>
  <si>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</si>
  <si>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</si>
  <si>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</si>
  <si>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</si>
  <si>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</si>
  <si>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</si>
  <si>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</si>
  <si>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</si>
  <si>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</si>
  <si>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</si>
  <si>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</si>
  <si>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</si>
  <si>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</si>
  <si>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</si>
  <si>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</si>
  <si>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</si>
  <si>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</si>
  <si>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</si>
  <si>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</si>
  <si>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</si>
  <si>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</si>
  <si>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</si>
  <si>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</si>
  <si>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</si>
  <si>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</si>
  <si>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</si>
  <si>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</si>
  <si>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</si>
  <si>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</si>
  <si>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</si>
  <si>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</si>
  <si>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</si>
  <si>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</si>
  <si>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</si>
  <si>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</si>
  <si>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</si>
  <si>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</si>
  <si>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</si>
  <si>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</si>
  <si>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</si>
  <si>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</si>
  <si>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</si>
  <si>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</si>
  <si>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</si>
  <si>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</si>
  <si>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</si>
  <si>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</si>
  <si>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</si>
  <si>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</si>
  <si>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</si>
  <si>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</si>
  <si>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</si>
  <si>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</si>
  <si>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</si>
  <si>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</si>
  <si>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</si>
  <si>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</si>
  <si>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</si>
  <si>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</si>
  <si>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</si>
  <si>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</si>
  <si>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</si>
  <si>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</si>
  <si>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</si>
  <si>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</si>
  <si>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</si>
  <si>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</si>
  <si>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</si>
  <si>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</si>
  <si>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</si>
  <si>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</si>
  <si>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</si>
  <si>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</si>
  <si>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</si>
  <si>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</si>
  <si>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</si>
  <si>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</si>
  <si>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</si>
  <si>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</si>
  <si>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</si>
  <si>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</si>
  <si>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</si>
  <si>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</si>
  <si>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</si>
  <si>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</si>
  <si>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</si>
  <si>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</si>
  <si>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</si>
  <si>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</si>
  <si>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</si>
  <si>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</si>
  <si>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</si>
  <si>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</si>
  <si>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</si>
  <si>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</si>
  <si>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</si>
  <si>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</si>
  <si>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</si>
  <si>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</si>
  <si>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</si>
  <si>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</si>
  <si>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</si>
  <si>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</si>
  <si>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</si>
  <si>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</si>
  <si>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</si>
  <si>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</si>
  <si>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</si>
  <si>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</si>
  <si>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</si>
  <si>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</si>
  <si>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</si>
  <si>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</si>
  <si>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</si>
  <si>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</si>
  <si>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</si>
  <si>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</si>
  <si>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</si>
  <si>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</si>
  <si>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</si>
  <si>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</si>
  <si>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</si>
  <si>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</si>
  <si>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</si>
  <si>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</si>
  <si>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</si>
  <si>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</si>
  <si>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</si>
  <si>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</si>
  <si>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</si>
  <si>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</si>
  <si>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</si>
  <si>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</si>
  <si>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</si>
  <si>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</si>
  <si>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</si>
  <si>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</si>
  <si>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</si>
  <si>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</si>
  <si>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</si>
  <si>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</si>
  <si>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</si>
  <si>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</si>
  <si>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</si>
  <si>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</si>
  <si>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</si>
  <si>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</si>
  <si>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</si>
  <si>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</si>
  <si>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</si>
  <si>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</si>
  <si>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</si>
  <si>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</si>
  <si>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</si>
  <si>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</si>
  <si>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</si>
  <si>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</si>
  <si>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</si>
  <si>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</si>
  <si>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</si>
  <si>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</si>
  <si>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</si>
  <si>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</si>
  <si>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</si>
  <si>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</si>
  <si>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</si>
  <si>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</si>
  <si>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</si>
  <si>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</si>
  <si>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</si>
  <si>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</si>
  <si>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</si>
  <si>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</si>
  <si>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</si>
  <si>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</si>
  <si>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</si>
  <si>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</si>
  <si>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</si>
  <si>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</si>
  <si>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</si>
  <si>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</si>
  <si>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</si>
  <si>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</si>
  <si>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</si>
  <si>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</si>
  <si>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</si>
  <si>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</si>
  <si>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</si>
  <si>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</si>
  <si>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</si>
  <si>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</si>
  <si>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</si>
  <si>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</si>
  <si>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</si>
  <si>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</si>
  <si>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</si>
  <si>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</si>
  <si>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</si>
  <si>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</si>
  <si>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</si>
  <si>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</si>
  <si>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</si>
  <si>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</si>
  <si>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</si>
  <si>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</si>
  <si>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</si>
  <si>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</si>
  <si>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</si>
  <si>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</si>
  <si>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</si>
  <si>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</si>
  <si>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</si>
  <si>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</si>
  <si>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</si>
  <si>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</si>
  <si>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</si>
  <si>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</si>
  <si>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</si>
  <si>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</si>
  <si>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</si>
  <si>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</si>
  <si>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</si>
  <si>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</si>
  <si>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</si>
  <si>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</si>
  <si>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</si>
  <si>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</si>
  <si>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</si>
  <si>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</si>
  <si>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</si>
  <si>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</si>
  <si>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</si>
  <si>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</si>
  <si>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</si>
  <si>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</si>
  <si>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</si>
  <si>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</si>
  <si>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</si>
  <si>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</si>
  <si>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</si>
  <si>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</si>
  <si>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</si>
  <si>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</si>
  <si>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</si>
  <si>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</si>
  <si>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</si>
  <si>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</si>
  <si>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</si>
  <si>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</si>
  <si>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</si>
  <si>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</si>
  <si>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</si>
  <si>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</si>
  <si>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</si>
  <si>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</si>
  <si>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</si>
  <si>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</si>
  <si>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</si>
  <si>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</si>
  <si>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</si>
  <si>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</si>
  <si>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</si>
  <si>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</si>
  <si>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</si>
  <si>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</si>
  <si>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</si>
  <si>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</si>
  <si>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</si>
  <si>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</si>
  <si>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</si>
  <si>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</si>
  <si>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</si>
  <si>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</si>
  <si>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</si>
  <si>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</si>
  <si>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</si>
  <si>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</si>
  <si>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</si>
  <si>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</si>
  <si>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</si>
  <si>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</si>
  <si>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</si>
  <si>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</si>
  <si>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</si>
  <si>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</si>
  <si>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</si>
  <si>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</si>
  <si>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</si>
  <si>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</si>
  <si>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</si>
  <si>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</si>
  <si>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</si>
  <si>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</si>
  <si>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</si>
  <si>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</si>
  <si>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</si>
  <si>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</si>
  <si>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</si>
  <si>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</si>
  <si>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</si>
  <si>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</si>
  <si>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</si>
  <si>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</si>
  <si>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</si>
  <si>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</si>
  <si>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</si>
  <si>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</si>
  <si>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</si>
  <si>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</si>
  <si>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</si>
  <si>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</si>
  <si>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</si>
  <si>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</si>
  <si>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</si>
  <si>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</si>
  <si>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</si>
  <si>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</si>
  <si>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</si>
  <si>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</si>
  <si>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</si>
  <si>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</si>
  <si>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</si>
  <si>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</si>
  <si>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</si>
  <si>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</si>
  <si>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</si>
  <si>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</si>
  <si>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</si>
  <si>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</si>
  <si>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</si>
  <si>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</si>
  <si>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</si>
  <si>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</si>
  <si>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</si>
  <si>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</si>
  <si>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</si>
  <si>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</si>
  <si>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</si>
  <si>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</si>
  <si>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</si>
  <si>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</si>
  <si>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</si>
  <si>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</si>
  <si>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</si>
  <si>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</si>
  <si>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</si>
  <si>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</si>
  <si>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</si>
  <si>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</si>
  <si>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</si>
  <si>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</si>
  <si>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</si>
  <si>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</si>
  <si>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</si>
  <si>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</si>
  <si>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</si>
  <si>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</si>
  <si>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</si>
  <si>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</si>
  <si>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</si>
  <si>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</si>
  <si>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</si>
  <si>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</si>
  <si>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</si>
  <si>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</si>
  <si>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</si>
  <si>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</si>
  <si>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</si>
  <si>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</si>
  <si>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</si>
  <si>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</si>
  <si>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</si>
  <si>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</si>
  <si>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</si>
  <si>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</si>
  <si>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</si>
  <si>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</si>
  <si>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</si>
  <si>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</si>
  <si>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</si>
  <si>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</si>
  <si>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</si>
  <si>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</si>
  <si>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</si>
  <si>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</si>
  <si>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</si>
  <si>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</si>
  <si>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</si>
  <si>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</si>
  <si>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</si>
  <si>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</si>
  <si>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</si>
  <si>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</si>
  <si>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</si>
  <si>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</si>
  <si>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</si>
  <si>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</si>
  <si>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</si>
  <si>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</si>
  <si>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</si>
  <si>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</si>
  <si>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</si>
  <si>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</si>
  <si>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</si>
  <si>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</si>
  <si>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</si>
  <si>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</si>
  <si>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</si>
  <si>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</si>
  <si>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</si>
  <si>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</si>
  <si>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</si>
  <si>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</si>
  <si>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</si>
  <si>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</si>
  <si>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</si>
  <si>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</si>
  <si>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</si>
  <si>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</si>
  <si>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</si>
  <si>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</si>
  <si>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</si>
  <si>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</si>
  <si>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</si>
  <si>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</si>
  <si>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</si>
  <si>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</si>
  <si>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</si>
  <si>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</si>
  <si>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</si>
  <si>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</si>
  <si>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</si>
  <si>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</si>
  <si>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</si>
  <si>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</si>
  <si>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</si>
  <si>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</si>
  <si>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</si>
  <si>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</si>
  <si>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</si>
  <si>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</si>
  <si>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</si>
  <si>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</si>
  <si>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</si>
  <si>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</si>
  <si>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</si>
  <si>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</si>
  <si>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</si>
  <si>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</si>
  <si>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</si>
  <si>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</si>
  <si>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</si>
  <si>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</si>
  <si>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</si>
  <si>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</si>
  <si>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</si>
  <si>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</si>
  <si>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</si>
  <si>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</si>
  <si>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</si>
  <si>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</si>
  <si>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</si>
  <si>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</si>
  <si>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</si>
  <si>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</si>
  <si>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</si>
  <si>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</si>
  <si>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</si>
  <si>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</si>
  <si>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</si>
  <si>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</si>
  <si>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</si>
  <si>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</si>
  <si>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</si>
  <si>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</si>
  <si>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</si>
  <si>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</si>
  <si>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</si>
  <si>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</si>
  <si>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</si>
  <si>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</si>
  <si>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</si>
  <si>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</si>
  <si>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</si>
  <si>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</si>
  <si>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</si>
  <si>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</si>
  <si>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</si>
  <si>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</si>
  <si>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</si>
  <si>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</si>
  <si>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</si>
  <si>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</si>
  <si>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</si>
  <si>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</si>
  <si>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</si>
  <si>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</si>
  <si>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</si>
  <si>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</si>
  <si>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</si>
  <si>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</si>
  <si>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</si>
  <si>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</si>
  <si>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</si>
  <si>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</si>
  <si>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</si>
  <si>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</si>
  <si>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</si>
  <si>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</si>
  <si>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</si>
  <si>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</si>
  <si>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</si>
  <si>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</si>
  <si>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</si>
  <si>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</si>
  <si>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</si>
  <si>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</si>
  <si>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</si>
  <si>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</si>
  <si>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</si>
  <si>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</si>
  <si>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</si>
  <si>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</si>
  <si>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</si>
  <si>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</si>
  <si>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</si>
  <si>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</si>
  <si>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</si>
  <si>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</si>
  <si>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</si>
  <si>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</si>
  <si>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</si>
  <si>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</si>
  <si>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</si>
  <si>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</si>
  <si>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</si>
  <si>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</si>
  <si>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</si>
  <si>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</si>
  <si>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</si>
  <si>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</si>
  <si>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</si>
  <si>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</si>
  <si>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</si>
  <si>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</si>
  <si>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</si>
  <si>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</si>
  <si>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</si>
  <si>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</si>
  <si>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</si>
  <si>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</si>
  <si>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</si>
  <si>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</si>
  <si>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</si>
  <si>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</si>
  <si>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</si>
  <si>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</si>
  <si>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</si>
  <si>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</si>
  <si>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</si>
  <si>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</si>
  <si>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</si>
  <si>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</si>
  <si>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</si>
  <si>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</si>
  <si>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</si>
  <si>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</si>
  <si>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</si>
  <si>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</si>
  <si>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</si>
  <si>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</si>
  <si>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</si>
  <si>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</si>
  <si>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</si>
  <si>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</si>
  <si>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</si>
  <si>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</si>
  <si>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</si>
  <si>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</si>
  <si>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</si>
  <si>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</si>
  <si>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</si>
  <si>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</si>
  <si>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</si>
  <si>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</si>
  <si>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</si>
  <si>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</si>
  <si>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</si>
  <si>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</si>
  <si>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</si>
  <si>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</si>
  <si>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</si>
  <si>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</si>
  <si>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</si>
  <si>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</si>
  <si>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</si>
  <si>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</si>
  <si>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</si>
  <si>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</si>
  <si>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</si>
  <si>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</si>
  <si>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</si>
  <si>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</si>
  <si>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</si>
  <si>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</si>
  <si>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</si>
  <si>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</si>
  <si>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</si>
  <si>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</si>
  <si>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</si>
  <si>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</si>
  <si>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</si>
  <si>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</si>
  <si>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</si>
  <si>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</si>
  <si>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</si>
  <si>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</si>
  <si>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</si>
  <si>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</si>
  <si>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</si>
  <si>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</si>
  <si>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</si>
  <si>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</si>
  <si>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</si>
  <si>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</si>
  <si>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</si>
  <si>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</si>
  <si>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</si>
  <si>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</si>
  <si>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</si>
  <si>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</si>
  <si>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</si>
  <si>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</si>
  <si>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</si>
  <si>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</si>
  <si>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</si>
  <si>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</si>
  <si>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</si>
  <si>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</si>
  <si>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</si>
  <si>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</si>
  <si>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</si>
  <si>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</si>
  <si>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</si>
  <si>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</si>
  <si>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</si>
  <si>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</si>
  <si>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</si>
  <si>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</si>
  <si>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</si>
  <si>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</si>
  <si>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</si>
  <si>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</si>
  <si>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</si>
  <si>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</si>
  <si>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</si>
  <si>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</si>
  <si>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</si>
  <si>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</si>
  <si>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</si>
  <si>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</si>
  <si>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</si>
  <si>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</si>
  <si>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</si>
  <si>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</si>
  <si>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</si>
  <si>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</si>
  <si>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</si>
  <si>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</si>
  <si>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</si>
  <si>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</si>
  <si>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</si>
  <si>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</si>
  <si>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</si>
  <si>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</si>
  <si>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</si>
  <si>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</si>
  <si>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</si>
  <si>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</si>
  <si>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</si>
  <si>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</si>
  <si>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</si>
  <si>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</si>
  <si>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</si>
  <si>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</si>
  <si>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</si>
  <si>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</si>
  <si>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</si>
  <si>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</si>
  <si>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</si>
  <si>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</si>
  <si>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</si>
  <si>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</si>
  <si>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</si>
  <si>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</si>
  <si>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</si>
  <si>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</si>
  <si>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</si>
  <si>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</si>
  <si>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</si>
  <si>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</si>
  <si>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</si>
  <si>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</si>
  <si>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</si>
  <si>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</si>
  <si>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</si>
  <si>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</si>
  <si>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</si>
  <si>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</si>
  <si>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</si>
  <si>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</si>
  <si>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</si>
  <si>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</si>
  <si>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</si>
  <si>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</si>
  <si>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</si>
  <si>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</si>
  <si>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</si>
  <si>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</si>
  <si>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</si>
  <si>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</si>
  <si>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</si>
  <si>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</si>
  <si>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</si>
  <si>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</si>
  <si>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</si>
  <si>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</si>
  <si>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</si>
  <si>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</si>
  <si>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</si>
  <si>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</si>
  <si>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</si>
  <si>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</si>
  <si>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</si>
  <si>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</si>
  <si>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</si>
  <si>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</si>
  <si>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</si>
  <si>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</si>
  <si>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</si>
  <si>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</si>
  <si>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</si>
  <si>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</si>
  <si>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</si>
  <si>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</si>
  <si>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</si>
  <si>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</si>
  <si>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</si>
  <si>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</si>
  <si>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</si>
  <si>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</si>
  <si>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</si>
  <si>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</si>
  <si>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</si>
  <si>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</si>
  <si>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</si>
  <si>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</si>
  <si>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</si>
  <si>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</si>
  <si>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</si>
  <si>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</si>
  <si>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</si>
  <si>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</si>
  <si>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</si>
  <si>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</si>
  <si>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</si>
  <si>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</si>
  <si>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</si>
  <si>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</si>
  <si>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</si>
  <si>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</si>
  <si>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</si>
  <si>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</si>
  <si>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</si>
  <si>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</si>
  <si>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</si>
  <si>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</si>
  <si>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</si>
  <si>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</si>
  <si>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</si>
  <si>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</si>
  <si>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</si>
  <si>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</si>
  <si>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</si>
  <si>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</si>
  <si>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</si>
  <si>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</si>
  <si>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</si>
  <si>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</si>
  <si>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</si>
  <si>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</si>
  <si>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</si>
  <si>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</si>
  <si>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</si>
  <si>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</si>
  <si>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</si>
  <si>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</si>
  <si>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</si>
  <si>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</si>
  <si>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</si>
  <si>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</si>
  <si>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</si>
  <si>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</si>
  <si>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</si>
  <si>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</si>
  <si>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</si>
  <si>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</si>
  <si>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</si>
  <si>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</si>
  <si>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</si>
  <si>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</si>
  <si>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</si>
  <si>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</si>
  <si>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</si>
  <si>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</si>
  <si>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</si>
  <si>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</si>
  <si>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</si>
  <si>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</si>
  <si>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</si>
  <si>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</si>
  <si>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</si>
  <si>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</si>
  <si>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</si>
  <si>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</si>
  <si>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</si>
  <si>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</si>
  <si>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</si>
  <si>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</si>
  <si>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</si>
  <si>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</si>
  <si>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</si>
  <si>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</si>
  <si>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</si>
  <si>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</si>
  <si>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</si>
  <si>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</si>
  <si>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</si>
  <si>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</si>
  <si>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</si>
  <si>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</si>
  <si>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</si>
  <si>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</si>
  <si>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</si>
  <si>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</si>
  <si>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</si>
  <si>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</si>
  <si>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</si>
  <si>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</si>
  <si>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</si>
  <si>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</si>
  <si>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</si>
  <si>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</si>
  <si>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</si>
  <si>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</si>
  <si>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</si>
  <si>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</si>
  <si>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</si>
  <si>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</si>
  <si>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</si>
  <si>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</si>
  <si>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</si>
  <si>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</si>
  <si>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</si>
  <si>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</si>
  <si>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</si>
  <si>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</si>
  <si>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</si>
  <si>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</si>
  <si>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</si>
  <si>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</si>
  <si>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</si>
  <si>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</si>
  <si>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</si>
  <si>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</si>
  <si>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</si>
  <si>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</si>
  <si>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</si>
  <si>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</si>
  <si>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</si>
  <si>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</si>
  <si>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</si>
  <si>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</si>
  <si>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</si>
  <si>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</si>
  <si>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</si>
  <si>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</si>
  <si>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</si>
  <si>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</si>
  <si>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</si>
  <si>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</si>
  <si>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</si>
  <si>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</si>
  <si>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</si>
  <si>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</si>
  <si>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</si>
  <si>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</si>
  <si>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</si>
  <si>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</si>
  <si>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</si>
  <si>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</si>
  <si>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</si>
  <si>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</si>
  <si>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</si>
  <si>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</si>
  <si>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</si>
  <si>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</si>
  <si>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</si>
  <si>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</si>
  <si>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</si>
  <si>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</si>
  <si>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</si>
  <si>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</si>
  <si>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</si>
  <si>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</si>
  <si>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</si>
  <si>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</si>
  <si>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</si>
  <si>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</si>
  <si>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</si>
  <si>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</si>
  <si>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</si>
  <si>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</si>
  <si>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</si>
  <si>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</si>
  <si>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</si>
  <si>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</si>
  <si>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</si>
  <si>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</si>
  <si>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</si>
  <si>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</si>
  <si>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</si>
  <si>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</si>
  <si>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</si>
  <si>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</si>
  <si>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</si>
  <si>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</si>
  <si>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</si>
  <si>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</si>
  <si>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</si>
  <si>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</si>
  <si>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</si>
  <si>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</si>
  <si>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</si>
  <si>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</si>
  <si>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</si>
  <si>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</si>
  <si>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</si>
  <si>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</si>
  <si>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</si>
  <si>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</si>
  <si>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</si>
  <si>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</si>
  <si>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</si>
  <si>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</si>
  <si>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</si>
  <si>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</si>
  <si>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</si>
  <si>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</si>
  <si>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</si>
  <si>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</si>
  <si>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</si>
  <si>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</si>
  <si>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</si>
  <si>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</si>
  <si>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</si>
  <si>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</si>
  <si>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</si>
  <si>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</si>
  <si>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</si>
  <si>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</si>
  <si>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</si>
  <si>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</si>
  <si>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</si>
  <si>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</si>
  <si>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</si>
  <si>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</si>
  <si>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</si>
  <si>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</si>
  <si>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</si>
  <si>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</si>
  <si>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</si>
  <si>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</si>
  <si>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</si>
  <si>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</si>
  <si>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</si>
  <si>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</si>
  <si>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</si>
  <si>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</si>
  <si>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</si>
  <si>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</si>
  <si>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</si>
  <si>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</si>
  <si>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</si>
  <si>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</si>
  <si>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</si>
  <si>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</si>
  <si>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</si>
  <si>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</si>
  <si>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</si>
  <si>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</si>
  <si>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</si>
  <si>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</si>
  <si>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</si>
  <si>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</si>
  <si>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</si>
  <si>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</si>
  <si>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</si>
  <si>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</si>
  <si>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</si>
  <si>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</si>
  <si>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</si>
  <si>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</si>
  <si>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</si>
  <si>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</si>
  <si>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</si>
  <si>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</si>
  <si>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</si>
  <si>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</si>
  <si>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</si>
  <si>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</si>
  <si>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</si>
  <si>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</si>
  <si>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</si>
  <si>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</si>
  <si>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</si>
  <si>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</si>
  <si>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</si>
  <si>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</si>
  <si>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</si>
  <si>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</si>
  <si>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</si>
  <si>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</si>
  <si>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</si>
  <si>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</si>
  <si>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</si>
  <si>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</si>
  <si>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</si>
  <si>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</si>
  <si>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</si>
  <si>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</si>
  <si>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</si>
  <si>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</si>
  <si>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</si>
  <si>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</si>
  <si>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</si>
  <si>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</si>
  <si>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</si>
  <si>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</si>
  <si>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</si>
  <si>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</si>
  <si>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</si>
  <si>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</si>
  <si>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</si>
  <si>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</si>
  <si>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</si>
  <si>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</si>
  <si>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</si>
  <si>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</si>
  <si>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</si>
  <si>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</si>
  <si>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</si>
  <si>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</si>
  <si>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</si>
  <si>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</si>
  <si>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</si>
  <si>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</si>
  <si>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</si>
  <si>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</si>
  <si>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</si>
  <si>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</si>
  <si>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</si>
  <si>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</si>
  <si>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</si>
  <si>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</si>
  <si>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</si>
  <si>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</si>
  <si>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</si>
  <si>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</si>
  <si>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</si>
  <si>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</si>
  <si>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</si>
  <si>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</si>
  <si>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</si>
  <si>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</si>
  <si>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</si>
  <si>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</si>
  <si>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</si>
  <si>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</si>
  <si>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</si>
  <si>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</si>
  <si>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</si>
  <si>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</si>
  <si>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</si>
  <si>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</si>
  <si>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</si>
  <si>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</si>
  <si>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</si>
  <si>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</si>
  <si>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</si>
  <si>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</si>
  <si>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</si>
  <si>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</si>
  <si>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</si>
  <si>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</si>
  <si>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</si>
  <si>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</si>
  <si>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</si>
  <si>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</si>
  <si>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</si>
  <si>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</si>
  <si>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</si>
  <si>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</si>
  <si>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</si>
  <si>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</si>
  <si>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</si>
  <si>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</si>
  <si>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</si>
  <si>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</si>
  <si>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</si>
  <si>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</si>
  <si>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</si>
  <si>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</si>
  <si>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</si>
  <si>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</si>
  <si>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</si>
  <si>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</si>
  <si>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</si>
  <si>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</si>
  <si>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</si>
  <si>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</si>
  <si>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</si>
  <si>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</si>
  <si>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</si>
  <si>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</si>
  <si>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</si>
  <si>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</si>
  <si>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</si>
  <si>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</si>
  <si>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</si>
  <si>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</si>
  <si>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</si>
  <si>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</si>
  <si>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</si>
  <si>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</si>
  <si>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</si>
  <si>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</si>
  <si>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</si>
  <si>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</si>
  <si>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</si>
  <si>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</si>
  <si>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</si>
  <si>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</si>
  <si>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</si>
  <si>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</si>
  <si>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</si>
  <si>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</si>
  <si>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</si>
  <si>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</si>
  <si>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</si>
  <si>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</si>
  <si>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</si>
  <si>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</si>
  <si>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</si>
  <si>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</si>
  <si>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</si>
  <si>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</si>
  <si>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</si>
  <si>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</si>
  <si>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</si>
  <si>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</si>
  <si>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</si>
  <si>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</si>
  <si>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</si>
  <si>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</si>
  <si>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</si>
  <si>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</si>
  <si>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</si>
  <si>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</si>
  <si>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</si>
  <si>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</si>
  <si>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</si>
  <si>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</si>
  <si>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</si>
  <si>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</si>
  <si>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</si>
  <si>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</si>
  <si>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</si>
  <si>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</si>
  <si>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</si>
  <si>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</si>
  <si>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</si>
  <si>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</si>
  <si>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</si>
  <si>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</si>
  <si>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</si>
  <si>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</si>
  <si>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</si>
  <si>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</si>
  <si>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</si>
  <si>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</si>
  <si>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</si>
  <si>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</si>
  <si>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</si>
  <si>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</si>
  <si>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</si>
  <si>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</si>
  <si>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</si>
  <si>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</si>
  <si>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</si>
  <si>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</si>
  <si>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</si>
  <si>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</si>
  <si>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</si>
  <si>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</si>
  <si>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</si>
  <si>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</si>
  <si>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</si>
  <si>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</si>
  <si>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</si>
  <si>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</si>
  <si>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</si>
  <si>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</si>
  <si>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</si>
  <si>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</si>
  <si>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</si>
  <si>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</si>
  <si>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</si>
  <si>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</si>
  <si>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</si>
  <si>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</si>
  <si>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</si>
  <si>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</si>
  <si>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</si>
  <si>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</si>
  <si>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</si>
  <si>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</si>
  <si>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</si>
  <si>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</si>
  <si>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</si>
  <si>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</si>
  <si>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</si>
  <si>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</si>
  <si>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</si>
  <si>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</si>
  <si>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</si>
  <si>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</si>
  <si>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</si>
  <si>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</si>
  <si>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</si>
  <si>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</si>
  <si>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</si>
  <si>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</si>
  <si>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</si>
  <si>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</si>
  <si>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</si>
  <si>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</si>
  <si>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</si>
  <si>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</si>
  <si>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</si>
  <si>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</si>
  <si>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</si>
  <si>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</si>
  <si>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</si>
  <si>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</si>
  <si>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</si>
  <si>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</si>
  <si>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</si>
  <si>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</si>
  <si>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</si>
  <si>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</si>
  <si>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</si>
  <si>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</si>
  <si>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</si>
  <si>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</si>
  <si>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</si>
  <si>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</si>
  <si>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</si>
  <si>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</si>
  <si>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</si>
  <si>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</si>
  <si>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</si>
  <si>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</si>
  <si>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</si>
  <si>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</si>
  <si>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</si>
  <si>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</si>
  <si>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</si>
  <si>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</si>
  <si>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</si>
  <si>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</si>
  <si>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</si>
  <si>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</si>
  <si>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</si>
  <si>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</si>
  <si>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</si>
  <si>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</si>
  <si>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</si>
  <si>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</si>
  <si>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</si>
  <si>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</si>
  <si>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</si>
  <si>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</si>
  <si>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</si>
  <si>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</si>
  <si>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</si>
  <si>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</si>
  <si>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</si>
  <si>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</si>
  <si>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</si>
  <si>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</si>
  <si>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</si>
  <si>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</si>
  <si>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</si>
  <si>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</si>
  <si>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</si>
  <si>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</si>
  <si>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</si>
  <si>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</si>
  <si>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</si>
  <si>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</si>
  <si>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</si>
  <si>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</si>
  <si>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</si>
  <si>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</si>
  <si>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</si>
  <si>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</si>
  <si>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</si>
  <si>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</si>
  <si>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</si>
  <si>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</si>
  <si>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</si>
  <si>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</si>
  <si>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</si>
  <si>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</si>
  <si>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</si>
  <si>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</si>
  <si>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</si>
  <si>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</si>
  <si>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</si>
  <si>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</si>
  <si>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</si>
  <si>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</si>
  <si>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</si>
  <si>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</si>
  <si>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</si>
  <si>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</si>
  <si>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</si>
  <si>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</si>
  <si>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</si>
  <si>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</si>
  <si>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</si>
  <si>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</si>
  <si>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</si>
  <si>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</si>
  <si>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</si>
  <si>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</si>
  <si>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</si>
  <si>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</si>
  <si>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</si>
  <si>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</si>
  <si>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</si>
  <si>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</si>
  <si>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</si>
  <si>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</si>
  <si>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</si>
  <si>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</si>
  <si>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</si>
  <si>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</si>
  <si>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</si>
  <si>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</si>
  <si>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</si>
  <si>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</si>
  <si>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</si>
  <si>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</si>
  <si>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</si>
  <si>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</si>
  <si>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</si>
  <si>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</si>
  <si>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</si>
  <si>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</si>
  <si>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</si>
  <si>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</si>
  <si>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</si>
  <si>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</si>
  <si>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</si>
  <si>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</si>
  <si>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</si>
  <si>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</si>
  <si>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</si>
  <si>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</si>
  <si>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</si>
  <si>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</si>
  <si>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</si>
  <si>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</si>
  <si>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</si>
  <si>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</si>
  <si>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</si>
  <si>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</si>
  <si>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</si>
  <si>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</si>
  <si>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</si>
  <si>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</si>
  <si>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</si>
  <si>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</si>
  <si>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</si>
  <si>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</si>
  <si>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</si>
  <si>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</si>
  <si>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</si>
  <si>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</si>
  <si>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</si>
  <si>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</si>
  <si>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</si>
  <si>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</si>
  <si>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</si>
  <si>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</si>
  <si>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</si>
  <si>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</si>
  <si>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</si>
  <si>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</si>
  <si>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</si>
  <si>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</si>
  <si>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</si>
  <si>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</si>
  <si>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</si>
  <si>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</si>
  <si>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</si>
  <si>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</si>
  <si>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</si>
  <si>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</si>
  <si>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</si>
  <si>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</si>
  <si>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</si>
  <si>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</si>
  <si>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</si>
  <si>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</si>
  <si>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</si>
  <si>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</si>
  <si>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</si>
  <si>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</si>
  <si>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</si>
  <si>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</si>
  <si>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</si>
  <si>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</si>
  <si>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</si>
  <si>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</si>
  <si>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</si>
  <si>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</si>
  <si>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</si>
  <si>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</si>
  <si>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</si>
  <si>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</si>
  <si>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</si>
  <si>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</si>
  <si>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</si>
  <si>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</si>
  <si>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</si>
  <si>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</si>
  <si>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</si>
  <si>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</si>
  <si>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</si>
  <si>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</si>
  <si>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</si>
  <si>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</si>
  <si>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</si>
  <si>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</si>
  <si>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</si>
  <si>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</si>
  <si>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</si>
  <si>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</si>
  <si>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</si>
  <si>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</si>
  <si>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</si>
  <si>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</si>
  <si>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</si>
  <si>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</si>
  <si>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</si>
  <si>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</si>
  <si>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</si>
  <si>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</si>
  <si>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</si>
  <si>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</si>
  <si>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</si>
  <si>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</si>
  <si>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</si>
  <si>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</si>
  <si>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</si>
  <si>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</si>
  <si>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</si>
  <si>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</si>
  <si>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</si>
  <si>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</si>
  <si>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</si>
  <si>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</si>
  <si>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</si>
  <si>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</si>
  <si>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</si>
  <si>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</si>
  <si>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</si>
  <si>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</si>
  <si>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</si>
  <si>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</si>
  <si>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</si>
  <si>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</si>
  <si>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</si>
  <si>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</si>
  <si>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</si>
  <si>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</si>
  <si>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</si>
  <si>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</si>
  <si>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</si>
  <si>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</si>
  <si>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</si>
  <si>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</si>
  <si>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</si>
  <si>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</si>
  <si>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</si>
  <si>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</si>
  <si>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</si>
  <si>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</si>
  <si>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</si>
  <si>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</si>
  <si>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</si>
  <si>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</si>
  <si>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</si>
  <si>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</si>
  <si>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</si>
  <si>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</si>
  <si>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</si>
  <si>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</si>
  <si>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</si>
  <si>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</si>
  <si>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</si>
  <si>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</si>
  <si>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</si>
  <si>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</si>
  <si>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</si>
  <si>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</si>
  <si>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</si>
  <si>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</si>
  <si>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</si>
  <si>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</si>
  <si>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</si>
  <si>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</si>
  <si>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</si>
  <si>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</si>
  <si>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</si>
  <si>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</si>
  <si>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</si>
  <si>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</si>
  <si>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</si>
  <si>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</si>
  <si>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</si>
  <si>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</si>
  <si>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</si>
  <si>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</si>
  <si>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</si>
  <si>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</si>
  <si>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</si>
  <si>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</si>
  <si>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</si>
  <si>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</si>
  <si>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</si>
  <si>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</si>
  <si>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</si>
  <si>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</si>
  <si>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</si>
  <si>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</si>
  <si>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</si>
  <si>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</si>
  <si>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</si>
  <si>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</si>
  <si>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</si>
  <si>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</si>
  <si>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</si>
  <si>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</si>
  <si>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</si>
  <si>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</si>
  <si>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</si>
  <si>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</si>
  <si>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</si>
  <si>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</si>
  <si>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</si>
  <si>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</si>
  <si>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</si>
  <si>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</si>
  <si>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</si>
  <si>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</si>
  <si>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</si>
  <si>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</si>
  <si>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</si>
  <si>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</si>
  <si>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</si>
  <si>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</si>
  <si>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</si>
  <si>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</si>
  <si>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</si>
  <si>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</si>
  <si>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</si>
  <si>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</si>
  <si>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</si>
  <si>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</si>
  <si>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</si>
  <si>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</si>
  <si>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</si>
  <si>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</si>
  <si>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</si>
  <si>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</si>
  <si>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</si>
  <si>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</si>
  <si>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</si>
  <si>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</si>
  <si>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</si>
  <si>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</si>
  <si>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</si>
  <si>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</si>
  <si>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</si>
  <si>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</si>
  <si>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</si>
  <si>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</si>
  <si>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</si>
  <si>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</si>
  <si>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</si>
  <si>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</si>
  <si>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</si>
  <si>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</si>
  <si>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</si>
  <si>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</si>
  <si>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</si>
  <si>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</si>
  <si>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</si>
  <si>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</si>
  <si>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</si>
  <si>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</si>
  <si>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</si>
  <si>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</si>
  <si>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</si>
  <si>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</si>
  <si>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</si>
  <si>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</si>
  <si>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</si>
  <si>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</si>
  <si>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</si>
  <si>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</si>
  <si>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</si>
  <si>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</si>
  <si>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</si>
  <si>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</si>
  <si>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</si>
  <si>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</si>
  <si>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</si>
  <si>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</si>
  <si>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</si>
  <si>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</si>
  <si>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</si>
  <si>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</si>
  <si>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</si>
  <si>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</si>
  <si>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</si>
  <si>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</si>
  <si>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</si>
  <si>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</si>
  <si>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</si>
  <si>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</si>
  <si>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</si>
  <si>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</si>
  <si>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</si>
  <si>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</si>
  <si>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</si>
  <si>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</si>
  <si>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</si>
  <si>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</si>
  <si>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</si>
  <si>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</si>
  <si>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</si>
  <si>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</si>
  <si>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</si>
  <si>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</si>
  <si>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</si>
  <si>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</si>
  <si>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</si>
  <si>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</si>
  <si>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</si>
  <si>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</si>
  <si>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</si>
  <si>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</si>
  <si>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</si>
  <si>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</si>
  <si>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</si>
  <si>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</si>
  <si>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</si>
  <si>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</si>
  <si>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</si>
  <si>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</si>
  <si>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</si>
  <si>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</si>
  <si>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</si>
  <si>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</si>
  <si>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</si>
  <si>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</si>
  <si>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</si>
  <si>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</si>
  <si>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</si>
  <si>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</si>
  <si>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</si>
  <si>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</si>
  <si>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</si>
  <si>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</si>
  <si>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</si>
  <si>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</si>
  <si>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</si>
  <si>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</si>
  <si>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</si>
  <si>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</si>
  <si>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</si>
  <si>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</si>
  <si>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</si>
  <si>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</si>
  <si>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</si>
  <si>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</si>
  <si>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</si>
  <si>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</si>
  <si>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</si>
  <si>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</si>
  <si>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</si>
  <si>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</si>
  <si>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</si>
  <si>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</si>
  <si>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</si>
  <si>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</si>
  <si>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</si>
  <si>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</si>
  <si>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</si>
  <si>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</si>
  <si>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</si>
  <si>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</si>
  <si>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</si>
  <si>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</si>
  <si>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</si>
  <si>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</si>
  <si>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</si>
  <si>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</si>
  <si>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</si>
  <si>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</si>
  <si>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</si>
  <si>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</si>
  <si>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</si>
  <si>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</si>
  <si>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</si>
  <si>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</si>
  <si>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</si>
  <si>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</si>
  <si>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</si>
  <si>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</si>
  <si>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</si>
  <si>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</si>
  <si>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</si>
  <si>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</si>
  <si>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</si>
  <si>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</si>
  <si>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</si>
  <si>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</si>
  <si>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</si>
  <si>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</si>
  <si>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</si>
  <si>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</si>
  <si>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</si>
  <si>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</si>
  <si>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</si>
  <si>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</si>
  <si>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</si>
  <si>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</si>
  <si>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</si>
  <si>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</si>
  <si>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</si>
  <si>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</si>
  <si>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</si>
  <si>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</si>
  <si>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</si>
  <si>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</si>
  <si>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</si>
  <si>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</si>
  <si>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</si>
  <si>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</si>
  <si>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</si>
  <si>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</si>
  <si>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</si>
  <si>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</si>
  <si>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</si>
  <si>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</si>
  <si>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</si>
  <si>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</si>
  <si>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</si>
  <si>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</si>
  <si>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</si>
  <si>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</si>
  <si>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</si>
  <si>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</si>
  <si>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</si>
  <si>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</si>
  <si>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</si>
  <si>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</si>
  <si>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</si>
  <si>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</si>
  <si>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</si>
  <si>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</si>
  <si>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</si>
  <si>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</si>
  <si>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</si>
  <si>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</si>
  <si>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</si>
  <si>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</si>
  <si>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</si>
  <si>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</si>
  <si>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</si>
  <si>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</si>
  <si>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</si>
  <si>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</si>
  <si>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</si>
  <si>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</si>
  <si>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</si>
  <si>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</si>
  <si>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</si>
  <si>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</si>
  <si>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</si>
  <si>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</si>
  <si>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</si>
  <si>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</si>
  <si>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</si>
  <si>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</si>
  <si>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</si>
  <si>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</si>
  <si>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</si>
  <si>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</si>
  <si>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</si>
  <si>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</si>
  <si>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</si>
  <si>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</si>
  <si>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</si>
  <si>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</si>
  <si>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</si>
  <si>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</si>
  <si>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</si>
  <si>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</si>
  <si>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</si>
  <si>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</si>
  <si>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</si>
  <si>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</si>
  <si>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</si>
  <si>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</si>
  <si>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</si>
  <si>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</si>
  <si>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</si>
  <si>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</si>
  <si>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</si>
  <si>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</si>
  <si>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</si>
  <si>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</si>
  <si>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</si>
  <si>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</si>
  <si>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</si>
  <si>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</si>
  <si>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</si>
  <si>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</si>
  <si>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</si>
  <si>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</si>
  <si>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</si>
  <si>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</si>
  <si>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</si>
  <si>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</si>
  <si>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</si>
  <si>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</si>
  <si>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</si>
  <si>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</si>
  <si>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</si>
  <si>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</si>
  <si>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</si>
  <si>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</si>
  <si>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</si>
  <si>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</si>
  <si>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</si>
  <si>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</si>
  <si>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</si>
  <si>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</si>
  <si>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</si>
  <si>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</si>
  <si>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</si>
  <si>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</si>
  <si>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</si>
  <si>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</si>
  <si>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</si>
  <si>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</si>
  <si>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</si>
  <si>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</si>
  <si>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</si>
  <si>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</si>
  <si>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</si>
  <si>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</si>
  <si>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</si>
  <si>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</si>
  <si>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</si>
  <si>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</si>
  <si>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</si>
  <si>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</si>
  <si>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</si>
  <si>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</si>
  <si>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</si>
  <si>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</si>
  <si>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</si>
  <si>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</si>
  <si>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</si>
  <si>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</si>
  <si>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</si>
  <si>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</si>
  <si>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</si>
  <si>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</si>
  <si>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</si>
  <si>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</si>
  <si>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</si>
  <si>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</si>
  <si>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</si>
  <si>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</si>
  <si>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</si>
  <si>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</si>
  <si>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</si>
  <si>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</si>
  <si>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</si>
  <si>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</si>
  <si>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</si>
  <si>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</si>
  <si>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</si>
  <si>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</si>
  <si>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</si>
  <si>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</si>
  <si>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</si>
  <si>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</si>
  <si>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</si>
  <si>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</si>
  <si>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</si>
  <si>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</si>
  <si>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</si>
  <si>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</si>
  <si>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</si>
  <si>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</si>
  <si>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</si>
  <si>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</si>
  <si>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</si>
  <si>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</si>
  <si>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</si>
  <si>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</si>
  <si>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</si>
  <si>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</si>
  <si>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</si>
  <si>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</si>
  <si>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</si>
  <si>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</si>
  <si>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</si>
  <si>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</si>
  <si>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</si>
  <si>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</si>
  <si>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</si>
  <si>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</si>
  <si>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</si>
  <si>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</si>
  <si>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</si>
  <si>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</si>
  <si>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</si>
  <si>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</si>
  <si>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</si>
  <si>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</si>
  <si>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</si>
  <si>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</si>
  <si>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</si>
  <si>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</si>
  <si>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</si>
  <si>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</si>
  <si>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</si>
  <si>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</si>
  <si>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</si>
  <si>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</si>
  <si>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</si>
  <si>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</si>
  <si>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</si>
  <si>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</si>
  <si>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</si>
  <si>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</si>
  <si>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</si>
  <si>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</si>
  <si>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</si>
  <si>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</si>
  <si>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</si>
  <si>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</si>
  <si>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</si>
  <si>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</si>
  <si>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</si>
  <si>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</si>
  <si>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</si>
  <si>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</si>
  <si>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</si>
  <si>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</si>
  <si>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</si>
  <si>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</si>
  <si>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</si>
  <si>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</si>
  <si>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</si>
  <si>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</si>
  <si>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</si>
  <si>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</si>
  <si>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</si>
  <si>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</si>
  <si>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</si>
  <si>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</si>
  <si>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</si>
  <si>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</si>
  <si>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</si>
  <si>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</si>
  <si>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</si>
  <si>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</si>
  <si>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</si>
  <si>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</si>
  <si>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</si>
  <si>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</si>
  <si>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</si>
  <si>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</si>
  <si>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</si>
  <si>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</si>
  <si>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</si>
  <si>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</si>
  <si>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</si>
  <si>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</si>
  <si>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</si>
  <si>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</si>
  <si>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</si>
  <si>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</si>
  <si>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</si>
  <si>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</si>
  <si>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</si>
  <si>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</si>
  <si>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</si>
  <si>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</si>
  <si>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</si>
  <si>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</si>
  <si>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</si>
  <si>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</si>
  <si>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</si>
  <si>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</si>
  <si>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</si>
  <si>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</si>
  <si>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</si>
  <si>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</si>
  <si>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</si>
  <si>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</si>
  <si>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</si>
  <si>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</si>
  <si>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</si>
  <si>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</si>
  <si>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</si>
  <si>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</si>
  <si>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</si>
  <si>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</si>
  <si>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</si>
  <si>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</si>
  <si>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</si>
  <si>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</si>
  <si>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</si>
  <si>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</si>
  <si>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</si>
  <si>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</si>
  <si>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</si>
  <si>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</si>
  <si>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</si>
  <si>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</si>
  <si>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</si>
  <si>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</si>
  <si>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</si>
  <si>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</si>
  <si>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</si>
  <si>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</si>
  <si>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</si>
  <si>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</si>
  <si>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</si>
  <si>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</si>
  <si>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</si>
  <si>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</si>
  <si>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</si>
  <si>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</si>
  <si>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</si>
  <si>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</si>
  <si>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</si>
  <si>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</si>
  <si>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</si>
  <si>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</si>
  <si>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</si>
  <si>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</si>
  <si>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</si>
  <si>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</si>
  <si>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</si>
  <si>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</si>
  <si>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</si>
  <si>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</si>
  <si>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</si>
  <si>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</si>
  <si>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</si>
  <si>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</si>
  <si>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</si>
  <si>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</si>
  <si>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</si>
  <si>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</si>
  <si>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</si>
  <si>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</si>
  <si>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</si>
  <si>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</si>
  <si>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</si>
  <si>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</si>
  <si>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</si>
  <si>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</si>
  <si>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</si>
  <si>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</si>
  <si>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</si>
  <si>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</si>
  <si>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</si>
  <si>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</si>
  <si>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</si>
  <si>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</si>
  <si>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</si>
  <si>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</si>
  <si>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</si>
  <si>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</si>
  <si>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</si>
  <si>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</si>
  <si>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</si>
  <si>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</si>
  <si>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</si>
  <si>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</si>
  <si>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</si>
  <si>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</si>
  <si>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</si>
  <si>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</si>
  <si>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</si>
  <si>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</si>
  <si>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</si>
  <si>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</si>
  <si>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</si>
  <si>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</si>
  <si>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</si>
  <si>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</si>
  <si>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</si>
  <si>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</si>
  <si>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</si>
  <si>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</si>
  <si>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</si>
  <si>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</si>
  <si>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</si>
  <si>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</si>
  <si>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</si>
  <si>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</si>
  <si>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</si>
  <si>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</si>
  <si>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</si>
  <si>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</si>
  <si>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</si>
  <si>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</si>
  <si>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</si>
  <si>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</si>
  <si>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</si>
  <si>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</si>
  <si>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</si>
  <si>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</si>
  <si>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</si>
  <si>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</si>
  <si>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</si>
  <si>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</si>
  <si>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</si>
  <si>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</si>
  <si>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</si>
  <si>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</si>
  <si>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</si>
  <si>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</si>
  <si>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</si>
  <si>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</si>
  <si>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</si>
  <si>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</si>
  <si>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</si>
  <si>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</si>
  <si>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</si>
  <si>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</si>
  <si>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</si>
  <si>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</si>
  <si>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</si>
  <si>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</si>
  <si>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</si>
  <si>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</si>
  <si>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</si>
  <si>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</si>
  <si>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</si>
  <si>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</si>
  <si>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</si>
  <si>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</si>
  <si>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</si>
  <si>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</si>
  <si>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</si>
  <si>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</si>
  <si>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</si>
  <si>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</si>
  <si>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</si>
  <si>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</si>
  <si>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</si>
  <si>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</si>
  <si>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</si>
  <si>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</si>
  <si>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</si>
  <si>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</si>
  <si>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</si>
  <si>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</si>
  <si>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</si>
  <si>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</si>
  <si>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</si>
  <si>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</si>
  <si>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</si>
  <si>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</si>
  <si>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</si>
  <si>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</si>
  <si>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</si>
  <si>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</si>
  <si>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</si>
  <si>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</si>
  <si>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</si>
  <si>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</si>
  <si>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</si>
  <si>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</si>
  <si>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</si>
  <si>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</si>
  <si>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</si>
  <si>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</si>
  <si>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</si>
  <si>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</si>
  <si>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</si>
  <si>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</si>
  <si>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</si>
  <si>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</si>
  <si>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</si>
  <si>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</si>
  <si>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</si>
  <si>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</si>
  <si>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</si>
  <si>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</si>
  <si>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</si>
  <si>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</si>
  <si>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</si>
  <si>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</si>
  <si>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</si>
  <si>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</si>
  <si>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</si>
  <si>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</si>
  <si>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</si>
  <si>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</si>
  <si>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</si>
  <si>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</si>
  <si>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</si>
  <si>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</si>
  <si>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</si>
  <si>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</si>
  <si>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</si>
  <si>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</si>
  <si>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</si>
  <si>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</si>
  <si>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</si>
  <si>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</si>
  <si>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</si>
  <si>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</si>
  <si>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</si>
  <si>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</si>
  <si>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</si>
  <si>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</si>
  <si>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</si>
  <si>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</si>
  <si>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</si>
  <si>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</si>
  <si>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</si>
  <si>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</si>
  <si>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</si>
  <si>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</si>
  <si>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</si>
  <si>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</si>
  <si>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</si>
  <si>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</si>
  <si>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</si>
  <si>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</si>
  <si>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</si>
  <si>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</si>
  <si>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</si>
  <si>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</si>
  <si>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</si>
  <si>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</si>
  <si>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</si>
  <si>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</si>
  <si>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</si>
  <si>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</si>
  <si>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</si>
  <si>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</si>
  <si>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</si>
  <si>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</si>
  <si>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</si>
  <si>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</si>
  <si>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</si>
  <si>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</si>
  <si>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</si>
  <si>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</si>
  <si>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</si>
  <si>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</si>
  <si>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</si>
  <si>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</si>
  <si>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</si>
  <si>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</si>
  <si>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</si>
  <si>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</si>
  <si>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</si>
  <si>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</si>
  <si>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</si>
  <si>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</si>
  <si>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</si>
  <si>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</si>
  <si>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</si>
  <si>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</si>
  <si>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</si>
  <si>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</si>
  <si>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</si>
  <si>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</si>
  <si>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</si>
  <si>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</si>
  <si>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</si>
  <si>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</si>
  <si>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</si>
  <si>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</si>
  <si>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</si>
  <si>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</si>
  <si>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</si>
  <si>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</si>
  <si>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</si>
  <si>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</si>
  <si>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</si>
  <si>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</si>
  <si>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</si>
  <si>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</si>
  <si>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</si>
  <si>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</si>
  <si>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</si>
  <si>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</si>
  <si>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</si>
  <si>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</si>
  <si>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</si>
  <si>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</si>
  <si>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</si>
  <si>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</si>
  <si>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</si>
  <si>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</si>
  <si>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</si>
  <si>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</si>
  <si>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</si>
  <si>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</si>
  <si>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</si>
  <si>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</si>
  <si>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</si>
  <si>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</si>
  <si>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</si>
  <si>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</si>
  <si>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</si>
  <si>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</si>
  <si>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</si>
  <si>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</si>
  <si>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</si>
  <si>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</si>
  <si>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</si>
  <si>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</si>
  <si>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</si>
  <si>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</si>
  <si>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</si>
  <si>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</si>
  <si>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</si>
  <si>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</si>
  <si>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</si>
  <si>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</si>
  <si>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</si>
  <si>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</si>
  <si>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</si>
  <si>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</si>
  <si>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</si>
  <si>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</si>
  <si>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</si>
  <si>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</si>
  <si>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</si>
  <si>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</si>
  <si>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</si>
  <si>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</si>
  <si>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</si>
  <si>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</si>
  <si>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</si>
  <si>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</si>
  <si>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</si>
  <si>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</si>
  <si>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</si>
  <si>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</si>
  <si>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</si>
  <si>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</si>
  <si>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</si>
  <si>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</si>
  <si>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</si>
  <si>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</si>
  <si>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</si>
  <si>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</si>
  <si>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</si>
  <si>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</si>
  <si>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</si>
  <si>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</si>
  <si>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</si>
  <si>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</si>
  <si>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</si>
  <si>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</si>
  <si>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</si>
  <si>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</si>
  <si>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</si>
  <si>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</si>
  <si>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</si>
  <si>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</si>
  <si>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</si>
  <si>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</si>
  <si>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</si>
  <si>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</si>
  <si>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</si>
  <si>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</si>
  <si>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</si>
  <si>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</si>
  <si>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</si>
  <si>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</si>
  <si>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</si>
  <si>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</si>
  <si>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</si>
  <si>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</si>
  <si>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</si>
  <si>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</si>
  <si>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</si>
  <si>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</si>
  <si>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</si>
  <si>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</si>
  <si>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</si>
  <si>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</si>
  <si>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</si>
  <si>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</si>
  <si>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</si>
  <si>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</si>
  <si>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</si>
  <si>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</si>
  <si>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</si>
  <si>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</si>
  <si>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</si>
  <si>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</si>
  <si>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</si>
  <si>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</si>
  <si>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</si>
  <si>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</si>
  <si>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</si>
  <si>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</si>
  <si>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</si>
  <si>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</si>
  <si>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</si>
  <si>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</si>
  <si>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</si>
  <si>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</si>
  <si>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</si>
  <si>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</si>
  <si>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</si>
  <si>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</si>
  <si>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</si>
  <si>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</si>
  <si>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</si>
  <si>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</si>
  <si>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</si>
  <si>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</si>
  <si>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</si>
  <si>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</si>
  <si>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</si>
  <si>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</si>
  <si>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</si>
  <si>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</si>
  <si>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</si>
  <si>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</si>
  <si>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</si>
  <si>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</si>
  <si>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</si>
  <si>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</si>
  <si>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</si>
  <si>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</si>
  <si>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</si>
  <si>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</si>
  <si>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</si>
  <si>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</si>
  <si>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</si>
  <si>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</si>
  <si>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</si>
  <si>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</si>
  <si>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</si>
  <si>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</si>
  <si>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</si>
  <si>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</si>
  <si>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</si>
  <si>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</si>
  <si>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</si>
  <si>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</si>
  <si>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</si>
  <si>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</si>
  <si>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</si>
  <si>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</si>
  <si>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</si>
  <si>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</si>
  <si>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</si>
  <si>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</si>
  <si>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</si>
  <si>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</si>
  <si>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</si>
  <si>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</si>
  <si>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</si>
  <si>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</si>
  <si>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</si>
  <si>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</si>
  <si>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</si>
  <si>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</si>
  <si>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</si>
  <si>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</si>
  <si>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</si>
  <si>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</si>
  <si>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</si>
  <si>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</si>
  <si>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</si>
  <si>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</si>
  <si>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</si>
  <si>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</si>
  <si>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</si>
  <si>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</si>
  <si>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</si>
  <si>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</si>
  <si>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</si>
  <si>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</si>
  <si>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</si>
  <si>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</si>
  <si>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</si>
  <si>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</si>
  <si>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</si>
  <si>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</si>
  <si>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</si>
  <si>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</si>
  <si>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</si>
  <si>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</si>
  <si>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</si>
  <si>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</si>
  <si>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</si>
  <si>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</si>
  <si>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</si>
  <si>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</si>
  <si>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</si>
  <si>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</si>
  <si>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</si>
  <si>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</si>
  <si>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</si>
  <si>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</si>
  <si>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</si>
  <si>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</si>
  <si>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</si>
  <si>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</si>
  <si>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</si>
  <si>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</si>
  <si>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</si>
  <si>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</si>
  <si>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</si>
  <si>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</si>
  <si>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</si>
  <si>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</si>
  <si>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</si>
  <si>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</si>
  <si>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</si>
  <si>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</si>
  <si>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</si>
  <si>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</si>
  <si>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</si>
  <si>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</si>
  <si>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</si>
  <si>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</si>
  <si>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</si>
  <si>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</si>
  <si>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</si>
  <si>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</si>
  <si>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</si>
  <si>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</si>
  <si>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</si>
  <si>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</si>
  <si>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</si>
  <si>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</si>
  <si>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</si>
  <si>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</si>
  <si>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</si>
  <si>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</si>
  <si>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</si>
  <si>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</si>
  <si>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</si>
  <si>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</si>
  <si>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</si>
  <si>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</si>
  <si>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</si>
  <si>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</si>
  <si>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</si>
  <si>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</si>
  <si>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</si>
  <si>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</si>
  <si>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</si>
  <si>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</si>
  <si>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</si>
  <si>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</si>
  <si>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</si>
  <si>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</si>
  <si>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</si>
  <si>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</si>
  <si>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</si>
  <si>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</si>
  <si>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</si>
  <si>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</si>
  <si>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</si>
  <si>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</si>
  <si>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</si>
  <si>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</si>
  <si>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</si>
  <si>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</si>
  <si>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</si>
  <si>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</si>
  <si>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</si>
  <si>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</si>
  <si>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</si>
  <si>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</si>
  <si>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</si>
  <si>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</si>
  <si>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</si>
  <si>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</si>
  <si>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</si>
  <si>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</si>
  <si>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</si>
  <si>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</si>
  <si>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</si>
  <si>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</si>
  <si>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</si>
  <si>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</si>
  <si>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</si>
  <si>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</si>
  <si>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</si>
  <si>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</si>
  <si>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</si>
  <si>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</si>
  <si>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</si>
  <si>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</si>
  <si>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</si>
  <si>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</si>
  <si>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</si>
  <si>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</si>
  <si>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</si>
  <si>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</si>
  <si>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</si>
  <si>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</si>
  <si>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</si>
  <si>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</si>
  <si>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</si>
  <si>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</si>
  <si>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</si>
  <si>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</si>
  <si>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</si>
  <si>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</si>
  <si>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</si>
  <si>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</si>
  <si>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</si>
  <si>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</si>
  <si>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</si>
  <si>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</si>
  <si>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</si>
  <si>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</si>
  <si>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</si>
  <si>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</si>
  <si>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</si>
  <si>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</si>
  <si>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</si>
  <si>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</si>
  <si>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</si>
  <si>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</si>
  <si>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</si>
  <si>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</si>
  <si>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</si>
  <si>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</si>
  <si>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</si>
  <si>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</si>
  <si>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</si>
  <si>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</si>
  <si>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</si>
  <si>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</si>
  <si>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</si>
  <si>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</si>
  <si>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</si>
  <si>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</si>
  <si>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</si>
  <si>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</si>
  <si>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</si>
  <si>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</si>
  <si>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</si>
  <si>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</si>
  <si>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</si>
  <si>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</si>
  <si>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</si>
  <si>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</si>
  <si>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</si>
  <si>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</si>
  <si>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</si>
  <si>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</si>
  <si>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</si>
  <si>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</si>
  <si>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</si>
  <si>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</si>
  <si>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</si>
  <si>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</si>
  <si>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</si>
  <si>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</si>
  <si>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</si>
  <si>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</si>
  <si>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</si>
  <si>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</si>
  <si>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</si>
  <si>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</si>
  <si>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</si>
  <si>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</si>
  <si>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</si>
  <si>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</si>
  <si>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</si>
  <si>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</si>
  <si>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</si>
  <si>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</si>
  <si>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</si>
  <si>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</si>
  <si>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</si>
  <si>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</si>
  <si>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</si>
  <si>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</si>
  <si>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</si>
  <si>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</si>
  <si>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</si>
  <si>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</si>
  <si>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</si>
  <si>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</si>
  <si>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</si>
  <si>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</si>
  <si>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</si>
  <si>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</si>
  <si>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</si>
  <si>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</si>
  <si>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</si>
  <si>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</si>
  <si>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</si>
  <si>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</si>
  <si>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</si>
  <si>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</si>
  <si>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</si>
  <si>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</si>
  <si>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</si>
  <si>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</si>
  <si>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</si>
  <si>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</si>
  <si>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</si>
  <si>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</si>
  <si>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</si>
  <si>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</si>
  <si>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</si>
  <si>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</si>
  <si>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</si>
  <si>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</si>
  <si>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</si>
  <si>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</si>
  <si>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</si>
  <si>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</si>
  <si>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</si>
  <si>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</si>
  <si>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</si>
  <si>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</si>
  <si>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</si>
  <si>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</si>
  <si>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</si>
  <si>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</si>
  <si>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</si>
  <si>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</si>
  <si>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</si>
  <si>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</si>
  <si>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</si>
  <si>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</si>
  <si>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</si>
  <si>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</si>
  <si>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</si>
  <si>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</si>
  <si>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</si>
  <si>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</si>
  <si>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</si>
  <si>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</si>
  <si>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</si>
  <si>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</si>
  <si>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</si>
  <si>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</si>
  <si>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</si>
  <si>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</si>
  <si>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</si>
  <si>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</si>
  <si>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</si>
  <si>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</si>
  <si>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</si>
  <si>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</si>
  <si>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</si>
  <si>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</si>
  <si>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</si>
  <si>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</si>
  <si>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</si>
  <si>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</si>
  <si>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</si>
  <si>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</si>
  <si>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</si>
  <si>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</si>
  <si>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</si>
  <si>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</si>
  <si>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</si>
  <si>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</si>
  <si>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</si>
  <si>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</si>
  <si>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</si>
  <si>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</si>
  <si>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</si>
  <si>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</si>
  <si>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</si>
  <si>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</si>
  <si>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</si>
  <si>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</si>
  <si>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</si>
  <si>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</si>
  <si>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</si>
  <si>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</si>
  <si>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</si>
  <si>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</si>
  <si>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</si>
  <si>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</si>
  <si>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</si>
  <si>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</si>
  <si>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</si>
  <si>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</si>
  <si>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</si>
  <si>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</si>
  <si>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</si>
  <si>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</si>
  <si>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</si>
  <si>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</si>
  <si>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</si>
  <si>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</si>
  <si>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</si>
  <si>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</si>
  <si>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</si>
  <si>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</si>
  <si>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</si>
  <si>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</si>
  <si>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</si>
  <si>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</si>
  <si>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</si>
  <si>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</si>
  <si>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</si>
  <si>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</si>
  <si>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</si>
  <si>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</si>
  <si>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</si>
  <si>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</si>
  <si>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</si>
  <si>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</si>
  <si>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</si>
  <si>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</si>
  <si>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</si>
  <si>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</si>
  <si>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</si>
  <si>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</si>
  <si>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</si>
  <si>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</si>
  <si>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</si>
  <si>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</si>
  <si>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</si>
  <si>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</si>
  <si>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</si>
  <si>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</si>
  <si>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</si>
  <si>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</si>
  <si>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</si>
  <si>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</si>
  <si>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</si>
  <si>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</si>
  <si>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</si>
  <si>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</si>
  <si>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</si>
  <si>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</si>
  <si>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</si>
  <si>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</si>
  <si>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</si>
  <si>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</si>
  <si>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</si>
  <si>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</si>
  <si>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</si>
  <si>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</si>
  <si>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</si>
  <si>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</si>
  <si>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</si>
  <si>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</si>
  <si>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</si>
  <si>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</si>
  <si>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</si>
  <si>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</si>
  <si>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</si>
  <si>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</si>
  <si>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</si>
  <si>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</si>
  <si>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</si>
  <si>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</si>
  <si>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</si>
  <si>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</si>
  <si>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</si>
  <si>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</si>
  <si>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</si>
  <si>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</si>
  <si>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</si>
  <si>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</si>
  <si>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</si>
  <si>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</si>
  <si>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</si>
  <si>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</si>
  <si>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</si>
  <si>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</si>
  <si>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</si>
  <si>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</si>
  <si>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</si>
  <si>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</si>
  <si>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</si>
  <si>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</si>
  <si>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</si>
  <si>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</si>
  <si>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</si>
  <si>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</si>
  <si>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</si>
  <si>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</si>
  <si>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</si>
  <si>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</si>
  <si>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</si>
  <si>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</si>
  <si>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</si>
  <si>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</si>
  <si>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</si>
  <si>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</si>
  <si>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</si>
  <si>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</si>
  <si>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</si>
  <si>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</si>
  <si>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</si>
  <si>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</si>
  <si>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</si>
  <si>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</si>
  <si>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</si>
  <si>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</si>
  <si>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</si>
  <si>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</si>
  <si>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</si>
  <si>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</si>
  <si>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</si>
  <si>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</si>
  <si>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</si>
  <si>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</si>
  <si>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</si>
  <si>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</si>
  <si>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</si>
  <si>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</si>
  <si>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</si>
  <si>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</si>
  <si>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</si>
  <si>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</si>
  <si>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</si>
  <si>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</si>
  <si>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</si>
  <si>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</si>
  <si>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</si>
  <si>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</si>
  <si>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</si>
  <si>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</si>
  <si>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</si>
  <si>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</si>
  <si>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</si>
  <si>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</si>
  <si>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</si>
  <si>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</si>
  <si>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</si>
  <si>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</si>
  <si>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</si>
  <si>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</si>
  <si>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</si>
  <si>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</si>
  <si>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</si>
  <si>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</si>
  <si>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</si>
  <si>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</si>
  <si>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</si>
  <si>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</si>
  <si>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</si>
  <si>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</si>
  <si>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</si>
  <si>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</si>
  <si>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</si>
  <si>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</si>
  <si>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</si>
  <si>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</si>
  <si>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</si>
  <si>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</si>
  <si>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</si>
  <si>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</si>
  <si>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</si>
  <si>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</si>
  <si>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</si>
  <si>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</si>
  <si>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</si>
  <si>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</si>
  <si>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</si>
  <si>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</si>
  <si>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</si>
  <si>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</si>
  <si>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</si>
  <si>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</si>
  <si>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</si>
  <si>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</si>
  <si>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</si>
  <si>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</si>
  <si>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</si>
  <si>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</si>
  <si>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</si>
  <si>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</si>
  <si>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</si>
  <si>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</si>
  <si>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</si>
  <si>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</si>
  <si>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</si>
  <si>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</si>
  <si>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</si>
  <si>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</si>
  <si>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</si>
  <si>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</si>
  <si>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</si>
  <si>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</si>
  <si>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</si>
  <si>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</si>
  <si>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</si>
  <si>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</si>
  <si>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</si>
  <si>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</si>
  <si>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</si>
  <si>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</si>
  <si>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</si>
  <si>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</si>
  <si>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</si>
  <si>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</si>
  <si>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</si>
  <si>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</si>
  <si>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</si>
  <si>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</si>
  <si>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</si>
  <si>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</si>
  <si>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</si>
  <si>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</si>
  <si>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</si>
  <si>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</si>
  <si>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</si>
  <si>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</si>
  <si>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</si>
  <si>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</si>
  <si>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</si>
  <si>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</si>
  <si>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</si>
  <si>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</si>
  <si>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</si>
  <si>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</si>
  <si>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</si>
  <si>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</si>
  <si>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</si>
  <si>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</si>
  <si>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</si>
  <si>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</si>
  <si>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</si>
  <si>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</si>
  <si>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</si>
  <si>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</si>
  <si>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</si>
  <si>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</si>
  <si>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</si>
  <si>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</si>
  <si>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</si>
  <si>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</si>
  <si>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</si>
  <si>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</si>
  <si>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</si>
  <si>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</si>
  <si>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</si>
  <si>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</si>
  <si>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</si>
  <si>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</si>
  <si>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</si>
  <si>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</si>
  <si>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</si>
  <si>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</si>
  <si>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</si>
  <si>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</si>
  <si>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</si>
  <si>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</si>
  <si>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</si>
  <si>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</si>
  <si>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</si>
  <si>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</si>
  <si>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</si>
  <si>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</si>
  <si>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</si>
  <si>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</si>
  <si>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</si>
  <si>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</si>
  <si>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</si>
  <si>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</si>
  <si>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</si>
  <si>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</si>
  <si>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</si>
  <si>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</si>
  <si>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</si>
  <si>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</si>
  <si>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</si>
  <si>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</si>
  <si>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</si>
  <si>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</si>
  <si>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</si>
  <si>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</si>
  <si>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</si>
  <si>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</si>
  <si>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</si>
  <si>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</si>
  <si>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</si>
  <si>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</si>
  <si>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</si>
  <si>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</si>
  <si>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</si>
  <si>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</si>
  <si>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</si>
  <si>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</si>
  <si>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</si>
  <si>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</si>
  <si>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</si>
  <si>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</si>
  <si>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</si>
  <si>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</si>
  <si>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</si>
  <si>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</si>
  <si>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</si>
  <si>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</si>
  <si>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</si>
  <si>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</si>
  <si>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</si>
  <si>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</si>
  <si>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</si>
  <si>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</si>
  <si>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</si>
  <si>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</si>
  <si>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</si>
  <si>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</si>
  <si>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</si>
  <si>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</si>
  <si>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</si>
  <si>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</si>
  <si>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</si>
  <si>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</si>
  <si>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</si>
  <si>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</si>
  <si>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</si>
  <si>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</si>
  <si>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</si>
  <si>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</si>
  <si>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</si>
  <si>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</si>
  <si>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</si>
  <si>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</si>
  <si>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</si>
  <si>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</si>
  <si>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</si>
  <si>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</si>
  <si>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</si>
  <si>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</si>
  <si>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</si>
  <si>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</si>
  <si>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</si>
  <si>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</si>
  <si>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</si>
  <si>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</si>
  <si>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</si>
  <si>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</si>
  <si>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</si>
  <si>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</si>
  <si>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</si>
  <si>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</si>
  <si>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</si>
  <si>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</si>
  <si>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</si>
  <si>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</si>
  <si>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</si>
  <si>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</si>
  <si>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</si>
  <si>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</si>
  <si>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</si>
  <si>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</si>
  <si>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</si>
  <si>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</si>
  <si>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</si>
  <si>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</si>
  <si>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</si>
  <si>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</si>
  <si>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</si>
  <si>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</si>
  <si>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</si>
  <si>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</si>
  <si>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</si>
  <si>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</si>
  <si>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</si>
  <si>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</si>
  <si>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</si>
  <si>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</si>
  <si>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</si>
  <si>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</si>
  <si>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</si>
  <si>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</si>
  <si>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</si>
  <si>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</si>
  <si>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</si>
  <si>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</si>
  <si>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</si>
  <si>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</si>
  <si>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</si>
  <si>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</si>
  <si>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</si>
  <si>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</si>
  <si>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</si>
  <si>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</si>
  <si>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</si>
  <si>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</si>
  <si>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</si>
  <si>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</si>
  <si>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</si>
  <si>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</si>
  <si>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</si>
  <si>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</si>
  <si>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</si>
  <si>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</si>
  <si>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</si>
  <si>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</si>
  <si>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</si>
  <si>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</si>
  <si>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</si>
  <si>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</si>
  <si>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</si>
  <si>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</si>
  <si>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</si>
  <si>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</si>
  <si>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</si>
  <si>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</si>
  <si>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</si>
  <si>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</si>
  <si>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</si>
  <si>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</si>
  <si>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</si>
  <si>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</si>
  <si>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</si>
  <si>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</si>
  <si>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</si>
  <si>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</si>
  <si>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</si>
  <si>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</si>
  <si>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</si>
  <si>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</si>
  <si>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</si>
  <si>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</si>
  <si>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</si>
  <si>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</si>
  <si>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</si>
  <si>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</si>
  <si>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</si>
  <si>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</si>
  <si>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</si>
  <si>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</si>
  <si>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</si>
  <si>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</si>
  <si>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</si>
  <si>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</si>
  <si>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</si>
  <si>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</si>
  <si>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</si>
  <si>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</si>
  <si>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</si>
  <si>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</si>
  <si>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</si>
  <si>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</si>
  <si>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</si>
  <si>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</si>
  <si>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</si>
  <si>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</si>
  <si>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</si>
  <si>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</si>
  <si>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</si>
  <si>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</si>
  <si>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</si>
  <si>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</si>
  <si>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</si>
  <si>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</si>
  <si>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</si>
  <si>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</si>
  <si>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</si>
  <si>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</si>
  <si>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</si>
  <si>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</si>
  <si>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</si>
  <si>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</si>
  <si>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</si>
  <si>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</si>
  <si>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</si>
  <si>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</si>
  <si>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</si>
  <si>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</si>
  <si>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</si>
  <si>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</si>
  <si>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</si>
  <si>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</si>
  <si>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</si>
  <si>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</si>
  <si>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</si>
  <si>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</si>
  <si>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</si>
  <si>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</si>
  <si>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</si>
  <si>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</si>
  <si>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</si>
  <si>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</si>
  <si>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</si>
  <si>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</si>
  <si>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</si>
  <si>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</si>
  <si>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</si>
  <si>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</si>
  <si>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</si>
  <si>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</si>
  <si>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</si>
  <si>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</si>
  <si>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</si>
  <si>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</si>
  <si>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</si>
  <si>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</si>
  <si>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</si>
  <si>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</si>
  <si>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</si>
  <si>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</si>
  <si>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</si>
  <si>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</si>
  <si>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</si>
  <si>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</si>
  <si>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</si>
  <si>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</si>
  <si>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</si>
  <si>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</si>
  <si>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</si>
  <si>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</si>
  <si>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</si>
  <si>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</si>
  <si>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</si>
  <si>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</si>
  <si>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</si>
  <si>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</si>
  <si>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</si>
  <si>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</si>
  <si>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</si>
  <si>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</si>
  <si>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</si>
  <si>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</si>
  <si>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</si>
  <si>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</si>
  <si>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</si>
  <si>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</si>
  <si>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</si>
  <si>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</si>
  <si>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</si>
  <si>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</si>
  <si>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</si>
  <si>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</si>
  <si>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</si>
  <si>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</si>
  <si>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</si>
  <si>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</si>
  <si>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</si>
  <si>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</si>
  <si>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</si>
  <si>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</si>
  <si>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</si>
  <si>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</si>
  <si>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</si>
  <si>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</si>
  <si>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</si>
  <si>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</si>
  <si>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</si>
  <si>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</si>
  <si>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</si>
  <si>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</si>
  <si>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</si>
  <si>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</si>
  <si>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</si>
  <si>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</si>
  <si>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</si>
  <si>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</si>
  <si>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</si>
  <si>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</si>
  <si>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</si>
  <si>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</si>
  <si>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</si>
  <si>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</si>
  <si>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</si>
  <si>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</si>
  <si>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</si>
  <si>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</si>
  <si>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</si>
  <si>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</si>
  <si>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</si>
  <si>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</si>
  <si>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</si>
  <si>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</si>
  <si>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</si>
  <si>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</si>
  <si>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</si>
  <si>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</si>
  <si>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</si>
  <si>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</si>
  <si>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</si>
  <si>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</si>
  <si>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</si>
  <si>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</si>
  <si>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</si>
  <si>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</si>
  <si>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</si>
  <si>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</si>
  <si>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</si>
  <si>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</si>
  <si>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</si>
  <si>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</si>
  <si>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</si>
  <si>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</si>
  <si>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</si>
  <si>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</si>
  <si>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</si>
  <si>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</si>
  <si>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</si>
  <si>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</si>
  <si>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</si>
  <si>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</si>
  <si>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</si>
  <si>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</si>
  <si>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</si>
  <si>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</si>
  <si>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</si>
  <si>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</si>
  <si>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</si>
  <si>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</si>
  <si>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</si>
  <si>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</si>
  <si>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</si>
  <si>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</si>
  <si>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</si>
  <si>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</si>
  <si>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</si>
  <si>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</si>
  <si>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</si>
  <si>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</si>
  <si>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</si>
  <si>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</si>
  <si>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</si>
  <si>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</si>
  <si>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</si>
  <si>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</si>
  <si>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</si>
  <si>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</si>
  <si>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</si>
  <si>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</si>
  <si>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</si>
  <si>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</si>
  <si>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</si>
  <si>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</si>
  <si>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</si>
  <si>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</si>
  <si>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</si>
  <si>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</si>
  <si>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</si>
  <si>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</si>
  <si>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</si>
  <si>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</si>
  <si>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</si>
  <si>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</si>
  <si>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</si>
  <si>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</si>
  <si>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</si>
  <si>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</si>
  <si>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</si>
  <si>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</si>
  <si>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</si>
  <si>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</si>
  <si>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</si>
  <si>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</si>
  <si>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</si>
  <si>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</si>
  <si>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</si>
  <si>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</si>
  <si>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</si>
  <si>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</si>
  <si>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</si>
  <si>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</si>
  <si>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</si>
  <si>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</si>
  <si>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</si>
  <si>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</si>
  <si>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</si>
  <si>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</si>
  <si>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</si>
  <si>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</si>
  <si>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</si>
  <si>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</si>
  <si>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</si>
  <si>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</si>
  <si>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</si>
  <si>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</si>
  <si>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</si>
  <si>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</si>
  <si>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</si>
  <si>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</si>
  <si>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</si>
  <si>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</si>
  <si>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</si>
  <si>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</si>
  <si>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</si>
  <si>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</si>
  <si>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</si>
  <si>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</si>
  <si>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</si>
  <si>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</si>
  <si>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</si>
  <si>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</si>
  <si>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</si>
  <si>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</si>
  <si>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</si>
  <si>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</si>
  <si>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</si>
  <si>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</si>
  <si>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</si>
  <si>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</si>
  <si>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</si>
  <si>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</si>
  <si>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</si>
  <si>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</si>
  <si>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</si>
  <si>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</si>
  <si>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</si>
  <si>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</si>
  <si>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</si>
  <si>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</si>
  <si>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</si>
  <si>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</si>
  <si>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</si>
  <si>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</si>
  <si>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</si>
  <si>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</si>
  <si>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</si>
  <si>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</si>
  <si>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</si>
  <si>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</si>
  <si>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</si>
  <si>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</si>
  <si>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</si>
  <si>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</si>
  <si>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</si>
  <si>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</si>
  <si>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</si>
  <si>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</si>
  <si>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</si>
  <si>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</si>
  <si>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</si>
  <si>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</si>
  <si>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</si>
  <si>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</si>
  <si>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</si>
  <si>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</si>
  <si>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</si>
  <si>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</si>
  <si>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</si>
  <si>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</si>
  <si>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</si>
  <si>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</si>
  <si>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</si>
  <si>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</si>
  <si>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</si>
  <si>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</si>
  <si>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</si>
  <si>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</si>
  <si>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</si>
  <si>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</si>
  <si>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</si>
  <si>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</si>
  <si>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</si>
  <si>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</si>
  <si>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</si>
  <si>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</si>
  <si>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</si>
  <si>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</si>
  <si>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</si>
  <si>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</si>
  <si>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</si>
  <si>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</si>
  <si>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</si>
  <si>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</si>
  <si>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</si>
  <si>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</si>
  <si>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</si>
  <si>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</si>
  <si>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</si>
  <si>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</si>
  <si>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</si>
  <si>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</si>
  <si>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</si>
  <si>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</si>
  <si>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</si>
  <si>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</si>
  <si>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</si>
  <si>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</si>
  <si>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</si>
  <si>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</si>
  <si>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</si>
  <si>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</si>
  <si>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</si>
  <si>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</si>
  <si>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</si>
  <si>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</si>
  <si>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</si>
  <si>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</si>
  <si>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</si>
  <si>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</si>
  <si>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</si>
  <si>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</si>
  <si>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</si>
  <si>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</si>
  <si>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</si>
  <si>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</si>
  <si>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</si>
  <si>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</si>
  <si>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</si>
  <si>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</si>
  <si>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</si>
  <si>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</si>
  <si>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</si>
  <si>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</si>
  <si>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</si>
  <si>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</si>
  <si>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</si>
  <si>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</si>
  <si>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</si>
  <si>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</si>
  <si>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</si>
  <si>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</si>
  <si>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</si>
  <si>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</si>
  <si>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</si>
  <si>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</si>
  <si>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</si>
  <si>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</si>
  <si>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</si>
  <si>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</si>
  <si>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</si>
  <si>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</si>
  <si>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</si>
  <si>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</si>
  <si>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</si>
  <si>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</si>
  <si>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</si>
  <si>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</si>
  <si>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</si>
  <si>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</si>
  <si>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</si>
  <si>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</si>
  <si>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</si>
  <si>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</si>
  <si>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</si>
  <si>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</si>
  <si>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</si>
  <si>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</si>
  <si>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</si>
  <si>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</si>
  <si>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</si>
  <si>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</si>
  <si>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</si>
  <si>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</si>
  <si>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</si>
  <si>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</si>
  <si>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</si>
  <si>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</si>
  <si>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</si>
  <si>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</si>
  <si>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</si>
  <si>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</si>
  <si>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</si>
  <si>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</si>
  <si>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</si>
  <si>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</si>
  <si>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</si>
  <si>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</si>
  <si>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</si>
  <si>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</si>
  <si>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</si>
  <si>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</si>
  <si>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</si>
  <si>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</si>
  <si>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</si>
  <si>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</si>
  <si>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</si>
  <si>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</si>
  <si>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</si>
  <si>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</si>
  <si>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</si>
  <si>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</si>
  <si>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</si>
  <si>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</si>
  <si>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</si>
  <si>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</si>
  <si>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</si>
  <si>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</si>
  <si>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</si>
  <si>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</si>
  <si>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</si>
  <si>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</si>
  <si>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</si>
  <si>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</si>
  <si>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</si>
  <si>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</si>
  <si>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</si>
  <si>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</si>
  <si>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</si>
  <si>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</si>
  <si>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</si>
  <si>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</si>
  <si>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</si>
  <si>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</si>
  <si>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</si>
  <si>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</si>
  <si>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</si>
  <si>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</si>
  <si>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</si>
  <si>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</si>
  <si>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</si>
  <si>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</si>
  <si>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</si>
  <si>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</si>
  <si>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</si>
  <si>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</si>
  <si>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</si>
  <si>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</si>
  <si>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</si>
  <si>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</si>
  <si>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</si>
  <si>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</si>
  <si>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</si>
  <si>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</si>
  <si>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</si>
  <si>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</si>
  <si>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</si>
  <si>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</si>
  <si>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</si>
  <si>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</si>
  <si>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</si>
  <si>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</si>
  <si>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</si>
  <si>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</si>
  <si>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</si>
  <si>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</si>
  <si>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</si>
  <si>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</si>
  <si>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</si>
  <si>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</si>
  <si>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</si>
  <si>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</si>
  <si>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</si>
  <si>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</si>
  <si>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</si>
  <si>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</si>
  <si>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</si>
  <si>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</si>
  <si>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</si>
  <si>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</si>
  <si>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</si>
  <si>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</si>
  <si>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</si>
  <si>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</si>
  <si>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</si>
  <si>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</si>
  <si>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</si>
  <si>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</si>
  <si>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</si>
  <si>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</si>
  <si>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</si>
  <si>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</si>
  <si>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</si>
  <si>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</si>
  <si>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</si>
  <si>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</si>
  <si>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</si>
  <si>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</si>
  <si>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</si>
  <si>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</si>
  <si>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</si>
  <si>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</si>
  <si>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</si>
  <si>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</si>
  <si>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</si>
  <si>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</si>
  <si>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</si>
  <si>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</si>
  <si>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</si>
  <si>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</si>
  <si>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</si>
  <si>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</si>
  <si>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</si>
  <si>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</si>
  <si>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</si>
  <si>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</si>
  <si>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</si>
  <si>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</si>
  <si>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</si>
  <si>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</si>
  <si>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</si>
  <si>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</si>
  <si>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</si>
  <si>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</si>
  <si>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</si>
  <si>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</si>
  <si>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</si>
  <si>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</si>
  <si>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</si>
  <si>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</si>
  <si>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</si>
  <si>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</si>
  <si>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</si>
  <si>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</si>
  <si>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</si>
  <si>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</si>
  <si>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</si>
  <si>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</si>
  <si>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</si>
  <si>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</si>
  <si>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</si>
  <si>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</si>
  <si>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</si>
  <si>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</si>
  <si>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</si>
  <si>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</si>
  <si>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</si>
  <si>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</si>
  <si>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</si>
  <si>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</si>
  <si>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</si>
  <si>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</si>
  <si>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</si>
  <si>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</si>
  <si>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</si>
  <si>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</si>
  <si>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</si>
  <si>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</si>
  <si>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</si>
  <si>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</si>
  <si>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</si>
  <si>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</si>
  <si>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</si>
  <si>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</si>
  <si>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</si>
  <si>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</si>
  <si>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</si>
  <si>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</si>
  <si>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</si>
  <si>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</si>
  <si>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</si>
  <si>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</si>
  <si>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</si>
  <si>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</si>
  <si>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</si>
  <si>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</si>
  <si>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</si>
  <si>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</si>
  <si>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</si>
  <si>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</si>
  <si>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</si>
  <si>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</si>
  <si>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</si>
  <si>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</si>
  <si>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</si>
  <si>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</si>
  <si>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</si>
  <si>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</si>
  <si>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</si>
  <si>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</si>
  <si>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</si>
  <si>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</si>
  <si>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</si>
  <si>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</si>
  <si>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</si>
  <si>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</si>
  <si>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</si>
  <si>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</si>
  <si>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</si>
  <si>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</si>
  <si>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</si>
  <si>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</si>
  <si>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</si>
  <si>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</si>
  <si>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</si>
  <si>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</si>
  <si>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</si>
  <si>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</si>
  <si>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</si>
  <si>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</si>
  <si>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</si>
  <si>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</si>
  <si>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</si>
  <si>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</si>
  <si>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</si>
  <si>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</si>
  <si>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</si>
  <si>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</si>
  <si>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</si>
  <si>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</si>
  <si>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</si>
  <si>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</si>
  <si>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</si>
  <si>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</si>
  <si>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</si>
  <si>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</si>
  <si>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</si>
  <si>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</si>
  <si>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</si>
  <si>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</si>
  <si>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</si>
  <si>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</si>
  <si>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</si>
  <si>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</si>
  <si>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</si>
  <si>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</si>
  <si>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</si>
  <si>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</si>
  <si>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</si>
  <si>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</si>
  <si>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</si>
  <si>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</si>
  <si>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</si>
  <si>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</si>
  <si>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</si>
  <si>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</si>
  <si>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</si>
  <si>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</si>
  <si>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</si>
  <si>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</si>
  <si>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</si>
  <si>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</si>
  <si>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</si>
  <si>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</si>
  <si>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</si>
  <si>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</si>
  <si>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</si>
  <si>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</si>
  <si>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</si>
  <si>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</si>
  <si>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</si>
  <si>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</si>
  <si>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</si>
  <si>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</si>
  <si>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</si>
  <si>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</si>
  <si>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</si>
  <si>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</si>
  <si>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</si>
  <si>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</si>
  <si>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</si>
  <si>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</si>
  <si>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</si>
  <si>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</si>
  <si>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</si>
  <si>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</si>
  <si>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</si>
  <si>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</si>
  <si>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</si>
  <si>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</si>
  <si>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</si>
  <si>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</si>
  <si>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</si>
  <si>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</si>
  <si>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</si>
  <si>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</si>
  <si>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</si>
  <si>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</si>
  <si>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</si>
  <si>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</si>
  <si>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</si>
  <si>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</si>
  <si>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</si>
  <si>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</si>
  <si>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</si>
  <si>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</si>
  <si>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</si>
  <si>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</si>
  <si>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</si>
  <si>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</si>
  <si>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</si>
  <si>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</si>
  <si>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</si>
  <si>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</si>
  <si>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</si>
  <si>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</si>
  <si>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</si>
  <si>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</si>
  <si>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</si>
  <si>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</si>
  <si>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</si>
  <si>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</si>
  <si>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</si>
  <si>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</si>
  <si>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</si>
  <si>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</si>
  <si>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</si>
  <si>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</si>
  <si>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</si>
  <si>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</si>
  <si>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</si>
  <si>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</si>
  <si>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</si>
  <si>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</si>
  <si>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</si>
  <si>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</si>
  <si>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</si>
  <si>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</si>
  <si>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</si>
  <si>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</si>
  <si>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</si>
  <si>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</si>
  <si>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</si>
  <si>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</si>
  <si>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</si>
  <si>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</si>
  <si>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</si>
  <si>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</si>
  <si>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</si>
  <si>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</si>
  <si>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</si>
  <si>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</si>
  <si>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</si>
  <si>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</si>
  <si>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</si>
  <si>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</si>
  <si>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</si>
  <si>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</si>
  <si>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</si>
  <si>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</si>
  <si>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</si>
  <si>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</si>
  <si>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</si>
  <si>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</si>
  <si>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</si>
  <si>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</si>
  <si>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</si>
  <si>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</si>
  <si>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</si>
  <si>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</si>
  <si>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</si>
  <si>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</si>
  <si>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</si>
  <si>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</si>
  <si>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</si>
  <si>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</si>
  <si>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</si>
  <si>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</si>
  <si>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</si>
  <si>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</si>
  <si>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</si>
  <si>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</si>
  <si>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</si>
  <si>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</si>
  <si>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</si>
  <si>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</si>
  <si>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</si>
  <si>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</si>
  <si>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</si>
  <si>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</si>
  <si>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</si>
  <si>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</si>
  <si>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</si>
  <si>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</si>
  <si>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</si>
  <si>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</si>
  <si>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</si>
  <si>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</si>
  <si>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</si>
  <si>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</si>
  <si>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</si>
  <si>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</si>
  <si>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</si>
  <si>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</si>
  <si>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</si>
  <si>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</si>
  <si>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</si>
  <si>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</si>
  <si>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</si>
  <si>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</si>
  <si>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</si>
  <si>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</si>
  <si>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</si>
  <si>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</si>
  <si>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</si>
  <si>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</si>
  <si>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</si>
  <si>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</si>
  <si>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</si>
  <si>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</si>
  <si>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</si>
  <si>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</si>
  <si>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</si>
  <si>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</si>
  <si>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</si>
  <si>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</si>
  <si>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</si>
  <si>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</si>
  <si>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</si>
  <si>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</si>
  <si>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</si>
  <si>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</si>
  <si>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</si>
  <si>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</si>
  <si>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</si>
  <si>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</si>
  <si>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</si>
  <si>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</si>
  <si>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</si>
  <si>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</si>
  <si>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</si>
  <si>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</si>
  <si>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</si>
  <si>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</si>
  <si>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</si>
  <si>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</si>
  <si>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</si>
  <si>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</si>
  <si>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</si>
  <si>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</si>
  <si>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</si>
  <si>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</si>
  <si>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</si>
  <si>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</si>
  <si>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</si>
  <si>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</si>
  <si>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</si>
  <si>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</si>
  <si>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</si>
  <si>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</si>
  <si>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</si>
  <si>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</si>
  <si>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</si>
  <si>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</si>
  <si>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</si>
  <si>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</si>
  <si>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</si>
  <si>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</si>
  <si>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</si>
  <si>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</si>
  <si>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</si>
  <si>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</si>
  <si>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</si>
  <si>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</si>
  <si>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</si>
  <si>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</si>
  <si>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</si>
  <si>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</si>
  <si>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</si>
  <si>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</si>
  <si>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</si>
  <si>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</si>
  <si>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</si>
  <si>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</si>
  <si>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</si>
  <si>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</si>
  <si>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</si>
  <si>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</si>
  <si>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</si>
  <si>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</si>
  <si>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</si>
  <si>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</si>
  <si>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</si>
  <si>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</si>
  <si>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</si>
  <si>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</si>
  <si>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</si>
  <si>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</si>
  <si>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</si>
  <si>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</si>
  <si>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</si>
  <si>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</si>
  <si>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</si>
  <si>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</si>
  <si>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</si>
  <si>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</si>
  <si>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</si>
  <si>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</si>
  <si>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</si>
  <si>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</si>
  <si>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</si>
  <si>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</si>
  <si>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</si>
  <si>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</si>
  <si>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</si>
  <si>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</si>
  <si>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</si>
  <si>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</si>
  <si>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</si>
  <si>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</si>
  <si>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</si>
  <si>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</si>
  <si>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</si>
  <si>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</si>
  <si>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</si>
  <si>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</si>
  <si>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</si>
  <si>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</si>
  <si>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</si>
  <si>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</si>
  <si>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</si>
  <si>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</si>
  <si>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</si>
  <si>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</si>
  <si>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</si>
  <si>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</si>
  <si>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</si>
  <si>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</si>
  <si>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</si>
  <si>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</si>
  <si>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</si>
  <si>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</si>
  <si>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</si>
  <si>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</si>
  <si>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</si>
  <si>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</si>
  <si>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</si>
  <si>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</si>
  <si>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</si>
  <si>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</si>
  <si>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</si>
  <si>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</si>
  <si>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</si>
  <si>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</si>
  <si>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</si>
  <si>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</si>
  <si>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</si>
  <si>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</si>
  <si>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</si>
  <si>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</si>
  <si>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</si>
  <si>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</si>
  <si>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</si>
  <si>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</si>
  <si>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</si>
  <si>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</si>
  <si>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</si>
  <si>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</si>
  <si>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</si>
  <si>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</si>
  <si>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</si>
  <si>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</si>
  <si>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</si>
  <si>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</si>
  <si>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</si>
  <si>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</si>
  <si>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</si>
  <si>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</si>
  <si>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</si>
  <si>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</si>
  <si>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</si>
  <si>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</si>
  <si>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</si>
  <si>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</si>
  <si>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</si>
  <si>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</si>
  <si>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</si>
  <si>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</si>
  <si>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</si>
  <si>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</si>
  <si>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</si>
  <si>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</si>
  <si>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</si>
  <si>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</si>
  <si>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</si>
  <si>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</si>
  <si>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</si>
  <si>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</si>
  <si>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</si>
  <si>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</si>
  <si>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</si>
  <si>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</si>
  <si>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</si>
  <si>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</si>
  <si>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</si>
  <si>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</si>
  <si>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</si>
  <si>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</si>
  <si>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</si>
  <si>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</si>
  <si>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</si>
  <si>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</si>
  <si>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</si>
  <si>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</si>
  <si>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</si>
  <si>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</si>
  <si>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</si>
  <si>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</si>
  <si>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</si>
  <si>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</si>
  <si>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</si>
  <si>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</si>
  <si>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</si>
  <si>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</si>
  <si>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</si>
  <si>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</si>
  <si>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</si>
  <si>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</si>
  <si>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</si>
  <si>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</si>
  <si>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</si>
  <si>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</si>
  <si>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</si>
  <si>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</si>
  <si>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</si>
  <si>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</si>
  <si>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</si>
  <si>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</si>
  <si>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</si>
  <si>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</si>
  <si>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</si>
  <si>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</si>
  <si>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</si>
  <si>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</si>
  <si>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</si>
  <si>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</si>
  <si>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</si>
  <si>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</si>
  <si>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</si>
  <si>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</si>
  <si>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</si>
  <si>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</si>
  <si>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</si>
  <si>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</si>
  <si>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</si>
  <si>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</si>
  <si>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</si>
  <si>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</si>
  <si>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</si>
  <si>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</si>
  <si>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</si>
  <si>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</si>
  <si>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</si>
  <si>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</si>
  <si>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</si>
  <si>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</si>
  <si>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</si>
  <si>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</si>
  <si>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</si>
  <si>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</si>
  <si>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</si>
  <si>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</si>
  <si>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</si>
  <si>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</si>
  <si>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</si>
  <si>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</si>
  <si>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</si>
  <si>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</si>
  <si>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</si>
  <si>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</si>
  <si>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</si>
  <si>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</si>
  <si>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</si>
  <si>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</si>
  <si>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</si>
  <si>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</si>
  <si>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</si>
  <si>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</si>
  <si>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</si>
  <si>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</si>
  <si>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</si>
  <si>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</si>
  <si>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</si>
  <si>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</si>
  <si>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</si>
  <si>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</si>
  <si>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</si>
  <si>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</si>
  <si>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</si>
  <si>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</si>
  <si>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</si>
  <si>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</si>
  <si>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</si>
  <si>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</si>
  <si>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</si>
  <si>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</si>
  <si>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</si>
  <si>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</si>
  <si>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</si>
  <si>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</si>
  <si>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</si>
  <si>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</si>
  <si>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</si>
  <si>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</si>
  <si>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</si>
  <si>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</si>
  <si>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</si>
  <si>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</si>
  <si>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</si>
  <si>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</si>
  <si>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</si>
  <si>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</si>
  <si>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</si>
  <si>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</si>
  <si>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</si>
  <si>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</si>
  <si>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</si>
  <si>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</si>
  <si>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</si>
  <si>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</si>
  <si>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</si>
  <si>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</si>
  <si>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</si>
  <si>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</si>
  <si>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</si>
  <si>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</si>
  <si>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</si>
  <si>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</si>
  <si>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</si>
  <si>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</si>
  <si>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</si>
  <si>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</si>
  <si>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</si>
  <si>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</si>
  <si>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</si>
  <si>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</si>
  <si>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</si>
  <si>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</si>
  <si>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</si>
  <si>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</si>
  <si>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</si>
  <si>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</si>
  <si>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</si>
  <si>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</si>
  <si>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</si>
  <si>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</si>
  <si>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</si>
  <si>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</si>
  <si>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</si>
  <si>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</si>
  <si>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</si>
  <si>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</si>
  <si>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</si>
  <si>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</si>
  <si>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</si>
  <si>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</si>
  <si>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</si>
  <si>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</si>
  <si>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</si>
  <si>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</si>
  <si>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</si>
  <si>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</si>
  <si>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</si>
  <si>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</si>
  <si>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</si>
  <si>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</si>
  <si>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</si>
  <si>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</si>
  <si>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</si>
  <si>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</si>
  <si>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</si>
  <si>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</si>
  <si>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</si>
  <si>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</si>
  <si>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</si>
  <si>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</si>
  <si>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</si>
  <si>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</si>
  <si>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</si>
  <si>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</si>
  <si>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</si>
  <si>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</si>
  <si>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</si>
  <si>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</si>
  <si>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</si>
  <si>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</si>
  <si>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</si>
  <si>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</si>
  <si>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</si>
  <si>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</si>
  <si>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</si>
  <si>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</si>
  <si>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</si>
  <si>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</si>
  <si>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</si>
  <si>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</si>
  <si>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</si>
  <si>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</si>
  <si>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</si>
  <si>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</si>
  <si>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</si>
  <si>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</si>
  <si>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</si>
  <si>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</si>
  <si>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</si>
  <si>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</si>
  <si>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</si>
  <si>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</si>
  <si>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</si>
  <si>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Category</t>
  </si>
  <si>
    <t>Count of state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</si>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</sst>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171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[Homework_01_Excel.xlsx]Sheet2!PivotTable1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3-424C-9E68-ADB3D197138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3-424C-9E68-ADB3D197138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3-424C-9E68-ADB3D197138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A3-424C-9E68-ADB3D197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1231"/>
        <c:axId val="1962342927"/>
      </c:barChart>
      <c:catAx>
        <c:axId val="669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42927"/>
        <c:crosses val="autoZero"/>
        <c:auto val="1"/>
        <c:lblAlgn val="ctr"/>
        <c:lblOffset val="100"/>
        <c:noMultiLvlLbl val="0"/>
      </c:catAx>
      <c:valAx>
        <c:axId val="196234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925687765802119"/>
          <c:y val="0.43859879464092516"/>
          <c:w val="9.2089990612013659E-2"/>
          <c:h val="0.37180207391004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[Homework_01_Excel.xlsx]Sheet3!PivotTable2</c:name>
    <c:fmtId val="2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0-4E9C-8EC6-D5555C71197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10-4E9C-8EC6-D5555C71197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10-4E9C-8EC6-D5555C71197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10-4E9C-8EC6-D5555C71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295983"/>
        <c:axId val="334101631"/>
      </c:barChart>
      <c:catAx>
        <c:axId val="3052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101631"/>
        <c:crosses val="autoZero"/>
        <c:auto val="1"/>
        <c:lblAlgn val="ctr"/>
        <c:lblOffset val="100"/>
        <c:noMultiLvlLbl val="0"/>
      </c:catAx>
      <c:valAx>
        <c:axId val="3341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29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[Homework_01_Excel.xlsx]Sheet4!PivotTable3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0-4A62-8C46-AED6F302A86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0-4A62-8C46-AED6F302A86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10-4A62-8C46-AED6F302A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862671"/>
        <c:axId val="1956293775"/>
      </c:lineChart>
      <c:catAx>
        <c:axId val="30686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293775"/>
        <c:crosses val="autoZero"/>
        <c:auto val="1"/>
        <c:lblAlgn val="ctr"/>
        <c:lblOffset val="100"/>
        <c:noMultiLvlLbl val="0"/>
      </c:catAx>
      <c:valAx>
        <c:axId val="195629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6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A2-4F76-AB08-6082B7810FC1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A2-4F76-AB08-6082B7810FC1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A2-4F76-AB08-6082B7810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651167"/>
        <c:axId val="19477253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A2-4F76-AB08-6082B7810F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0A2-4F76-AB08-6082B7810FC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0A2-4F76-AB08-6082B7810F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0A2-4F76-AB08-6082B7810FC1}"/>
                  </c:ext>
                </c:extLst>
              </c15:ser>
            </c15:filteredLineSeries>
          </c:ext>
        </c:extLst>
      </c:lineChart>
      <c:catAx>
        <c:axId val="195665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25391"/>
        <c:crosses val="autoZero"/>
        <c:auto val="1"/>
        <c:lblAlgn val="ctr"/>
        <c:lblOffset val="100"/>
        <c:noMultiLvlLbl val="0"/>
      </c:catAx>
      <c:valAx>
        <c:axId val="1947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65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/>
    <cx:plotArea>
      <cx:plotAreaRegion>
        <cx:series layoutId="boxWhisker" uniqueId="{52506B02-7CFF-4547-9B36-D377042C1186}">
          <cx:tx>
            <cx:txData>
              <cx:f>_xlchart.v1.7</cx:f>
              <cx:v>backers_count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boxWhisker" uniqueId="{B22168AD-7978-48EB-A21F-FF543C87FB8F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74612</xdr:colOff>
      <xdr:row>1</xdr:row>
      <xdr:rowOff>169861</xdr:rowOff>
    </xdr:from>
    <xdr:to>
      <xdr:col>19</xdr:col>
      <xdr:colOff>302559</xdr:colOff>
      <xdr:row>28</xdr:row>
      <xdr:rowOff>112059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A5451-D418-420B-BAFC-C417BD615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106363</xdr:colOff>
      <xdr:row>1</xdr:row>
      <xdr:rowOff>131761</xdr:rowOff>
    </xdr:from>
    <xdr:to>
      <xdr:col>21</xdr:col>
      <xdr:colOff>142875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102A3-B221-423A-BAEE-0E781F09E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449262</xdr:colOff>
      <xdr:row>2</xdr:row>
      <xdr:rowOff>125412</xdr:rowOff>
    </xdr:from>
    <xdr:to>
      <xdr:col>14</xdr:col>
      <xdr:colOff>533400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0568D-4471-4774-8CEC-1BD802BE7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8283</xdr:colOff>
      <xdr:row>14</xdr:row>
      <xdr:rowOff>21811</xdr:rowOff>
    </xdr:from>
    <xdr:to>
      <xdr:col>7</xdr:col>
      <xdr:colOff>1154457</xdr:colOff>
      <xdr:row>35</xdr:row>
      <xdr:rowOff>107674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9F23E4-FA6E-474E-B445-6B8FEF46D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8</xdr:row>
      <xdr:rowOff>39686</xdr:rowOff>
    </xdr:from>
    <xdr:to>
      <xdr:col>12</xdr:col>
      <xdr:colOff>358775</xdr:colOff>
      <xdr:row>32</xdr:row>
      <xdr:rowOff>104774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9EC752E-CF78-49A6-996B-8C0CB384B4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76975" y="1487486"/>
              <a:ext cx="4568825" cy="44084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196850</xdr:colOff>
      <xdr:row>34</xdr:row>
      <xdr:rowOff>84137</xdr:rowOff>
    </xdr:from>
    <xdr:to>
      <xdr:col>12</xdr:col>
      <xdr:colOff>415925</xdr:colOff>
      <xdr:row>49</xdr:row>
      <xdr:rowOff>106362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F199252-8A50-4C05-88A6-45D7E61815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0950" y="6237287"/>
              <a:ext cx="4572000" cy="273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celyn Flores" id="{0ECF4BF8-A618-47F4-AF37-60BB17FF4ACE}" userId="9829d45a5a965a81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celyn Flores" refreshedDate="44051.664639351853" createdVersion="6" refreshedVersion="6" minRefreshableVersion="3" recordCount="4114" xr:uid="{389033E0-60A8-45DA-8278-92505D21800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4DCFD-E3AF-4992-8021-CB792CBDB102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3"/>
        <item x="0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2CCA0-2D10-45F2-9661-7F608D0FB0DC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80E8-2D99-439E-BF13-DA902D49630A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0-08-08T21:00:45.01" personId="{0ECF4BF8-A618-47F4-AF37-60BB17FF4ACE}" id="{BB02E292-94CE-4253-AEAC-5969290E464F}">
    <text>I filtered this to match the screenshot to show that I knew how to do this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B8" sqref="B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31.08984375" bestFit="1" customWidth="1"/>
    <col min="12" max="12" width="29.179687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9.7265625" bestFit="1" customWidth="1"/>
    <col min="18" max="18" width="22.6328125" bestFit="1" customWidth="1"/>
    <col min="19" max="19" width="12.54296875" bestFit="1" customWidth="1"/>
    <col min="20" max="20" width="18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>(J2/60/60/24)+DATE(1970,1,1)</f>
        <v>42177.007071759261</v>
      </c>
      <c r="L2" s="11">
        <f>(I2/60/60/24)+DATE(1970,1,1)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 s="7">
        <f>IFERROR(E2/N2, 0)</f>
        <v>63.917582417582416</v>
      </c>
      <c r="S2" t="str">
        <f>LEFT(P2, SEARCH("/", P2,1)-1)</f>
        <v>film &amp; video</v>
      </c>
      <c r="T2" t="str">
        <f>RIGHT(P2,LEN(P2)-SEARCH("/",P2,SEARCH("/",P2)))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ref="K3:L3" si="0">(J3/60/60/24)+DATE(1970,1,1)</f>
        <v>42766.600497685184</v>
      </c>
      <c r="L3" s="11">
        <f t="shared" ref="L3:L66" si="1">(I3/60/60/24)+DATE(1970,1,1)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(E3/D3)*100</f>
        <v>142.60827250608273</v>
      </c>
      <c r="R3" s="7">
        <f t="shared" ref="R3:R66" si="3">IFERROR(E3/N3, 0)</f>
        <v>185.48101265822785</v>
      </c>
      <c r="S3" t="str">
        <f t="shared" ref="S3:S66" si="4">LEFT(P3, SEARCH("/", P3,1)-1)</f>
        <v>film &amp; video</v>
      </c>
      <c r="T3" t="str">
        <f t="shared" ref="T3:T66" si="5">RIGHT(P3,LEN(P3)-SEARCH("/",P3,SEARCH("/",P3)))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ref="K4:L4" si="6">(J4/60/60/24)+DATE(1970,1,1)</f>
        <v>42405.702349537038</v>
      </c>
      <c r="L4" s="11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ref="K5:L5" si="7">(J5/60/60/24)+DATE(1970,1,1)</f>
        <v>41828.515127314815</v>
      </c>
      <c r="L5" s="11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ref="K6:L6" si="8">(J6/60/60/24)+DATE(1970,1,1)</f>
        <v>42327.834247685183</v>
      </c>
      <c r="L6" s="11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ref="K7:L7" si="9">(J7/60/60/24)+DATE(1970,1,1)</f>
        <v>42563.932951388888</v>
      </c>
      <c r="L7" s="11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ref="K8:L8" si="10">(J8/60/60/24)+DATE(1970,1,1)</f>
        <v>41794.072337962964</v>
      </c>
      <c r="L8" s="11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ref="K9:L9" si="11">(J9/60/60/24)+DATE(1970,1,1)</f>
        <v>42516.047071759262</v>
      </c>
      <c r="L9" s="11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ref="K10:L10" si="12">(J10/60/60/24)+DATE(1970,1,1)</f>
        <v>42468.94458333333</v>
      </c>
      <c r="L10" s="11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ref="K11:L11" si="13">(J11/60/60/24)+DATE(1970,1,1)</f>
        <v>42447.103518518517</v>
      </c>
      <c r="L11" s="11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ref="K12:L12" si="14">(J12/60/60/24)+DATE(1970,1,1)</f>
        <v>41780.068043981482</v>
      </c>
      <c r="L12" s="11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ref="K13:L13" si="15">(J13/60/60/24)+DATE(1970,1,1)</f>
        <v>42572.778495370367</v>
      </c>
      <c r="L13" s="11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ref="K14:L14" si="16">(J14/60/60/24)+DATE(1970,1,1)</f>
        <v>41791.713252314818</v>
      </c>
      <c r="L14" s="11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ref="K15:L15" si="17">(J15/60/60/24)+DATE(1970,1,1)</f>
        <v>42508.677187499998</v>
      </c>
      <c r="L15" s="11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ref="K16:L16" si="18">(J16/60/60/24)+DATE(1970,1,1)</f>
        <v>41808.02648148148</v>
      </c>
      <c r="L16" s="11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ref="K17:L17" si="19">(J17/60/60/24)+DATE(1970,1,1)</f>
        <v>42256.391875000001</v>
      </c>
      <c r="L17" s="11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ref="K18:L18" si="20">(J18/60/60/24)+DATE(1970,1,1)</f>
        <v>41760.796423611115</v>
      </c>
      <c r="L18" s="11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ref="K19:L19" si="21">(J19/60/60/24)+DATE(1970,1,1)</f>
        <v>41917.731736111113</v>
      </c>
      <c r="L19" s="11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ref="K20:L20" si="22">(J20/60/60/24)+DATE(1970,1,1)</f>
        <v>41869.542314814818</v>
      </c>
      <c r="L20" s="11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ref="K21:L21" si="23">(J21/60/60/24)+DATE(1970,1,1)</f>
        <v>42175.816365740742</v>
      </c>
      <c r="L21" s="11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ref="K22:L22" si="24">(J22/60/60/24)+DATE(1970,1,1)</f>
        <v>42200.758240740746</v>
      </c>
      <c r="L22" s="11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ref="K23:L23" si="25">(J23/60/60/24)+DATE(1970,1,1)</f>
        <v>41878.627187500002</v>
      </c>
      <c r="L23" s="11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ref="K24:L24" si="26">(J24/60/60/24)+DATE(1970,1,1)</f>
        <v>41989.91134259259</v>
      </c>
      <c r="L24" s="11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ref="K25:L25" si="27">(J25/60/60/24)+DATE(1970,1,1)</f>
        <v>42097.778946759259</v>
      </c>
      <c r="L25" s="11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ref="K26:L26" si="28">(J26/60/60/24)+DATE(1970,1,1)</f>
        <v>42229.820173611108</v>
      </c>
      <c r="L26" s="11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ref="K27:L27" si="29">(J27/60/60/24)+DATE(1970,1,1)</f>
        <v>42318.025011574078</v>
      </c>
      <c r="L27" s="11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ref="K28:L28" si="30">(J28/60/60/24)+DATE(1970,1,1)</f>
        <v>41828.515555555554</v>
      </c>
      <c r="L28" s="11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ref="K29:L29" si="31">(J29/60/60/24)+DATE(1970,1,1)</f>
        <v>41929.164733796293</v>
      </c>
      <c r="L29" s="11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ref="K30:L30" si="32">(J30/60/60/24)+DATE(1970,1,1)</f>
        <v>42324.96393518518</v>
      </c>
      <c r="L30" s="11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ref="K31:L31" si="33">(J31/60/60/24)+DATE(1970,1,1)</f>
        <v>41812.67324074074</v>
      </c>
      <c r="L31" s="11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ref="K32:L32" si="34">(J32/60/60/24)+DATE(1970,1,1)</f>
        <v>41842.292997685188</v>
      </c>
      <c r="L32" s="11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ref="K33:L33" si="35">(J33/60/60/24)+DATE(1970,1,1)</f>
        <v>42376.79206018518</v>
      </c>
      <c r="L33" s="11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ref="K34:L34" si="36">(J34/60/60/24)+DATE(1970,1,1)</f>
        <v>42461.627511574072</v>
      </c>
      <c r="L34" s="11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ref="K35:L35" si="37">(J35/60/60/24)+DATE(1970,1,1)</f>
        <v>42286.660891203705</v>
      </c>
      <c r="L35" s="11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ref="K36:L36" si="38">(J36/60/60/24)+DATE(1970,1,1)</f>
        <v>41841.321770833332</v>
      </c>
      <c r="L36" s="11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ref="K37:L37" si="39">(J37/60/60/24)+DATE(1970,1,1)</f>
        <v>42098.291828703703</v>
      </c>
      <c r="L37" s="11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ref="K38:L38" si="40">(J38/60/60/24)+DATE(1970,1,1)</f>
        <v>42068.307002314818</v>
      </c>
      <c r="L38" s="11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ref="K39:L39" si="41">(J39/60/60/24)+DATE(1970,1,1)</f>
        <v>42032.693043981482</v>
      </c>
      <c r="L39" s="11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ref="K40:L40" si="42">(J40/60/60/24)+DATE(1970,1,1)</f>
        <v>41375.057222222218</v>
      </c>
      <c r="L40" s="11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ref="K41:L41" si="43">(J41/60/60/24)+DATE(1970,1,1)</f>
        <v>41754.047083333331</v>
      </c>
      <c r="L41" s="11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ref="K42:L42" si="44">(J42/60/60/24)+DATE(1970,1,1)</f>
        <v>41789.21398148148</v>
      </c>
      <c r="L42" s="11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ref="K43:L43" si="45">(J43/60/60/24)+DATE(1970,1,1)</f>
        <v>41887.568912037037</v>
      </c>
      <c r="L43" s="11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ref="K44:L44" si="46">(J44/60/60/24)+DATE(1970,1,1)</f>
        <v>41971.639189814814</v>
      </c>
      <c r="L44" s="11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ref="K45:L45" si="47">(J45/60/60/24)+DATE(1970,1,1)</f>
        <v>41802.790347222224</v>
      </c>
      <c r="L45" s="11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ref="K46:L46" si="48">(J46/60/60/24)+DATE(1970,1,1)</f>
        <v>41874.098807870374</v>
      </c>
      <c r="L46" s="11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ref="K47:L47" si="49">(J47/60/60/24)+DATE(1970,1,1)</f>
        <v>42457.623923611114</v>
      </c>
      <c r="L47" s="11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ref="K48:L48" si="50">(J48/60/60/24)+DATE(1970,1,1)</f>
        <v>42323.964976851858</v>
      </c>
      <c r="L48" s="11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ref="K49:L49" si="51">(J49/60/60/24)+DATE(1970,1,1)</f>
        <v>41932.819525462961</v>
      </c>
      <c r="L49" s="11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ref="K50:L50" si="52">(J50/60/60/24)+DATE(1970,1,1)</f>
        <v>42033.516898148147</v>
      </c>
      <c r="L50" s="11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ref="K51:L51" si="53">(J51/60/60/24)+DATE(1970,1,1)</f>
        <v>42271.176446759258</v>
      </c>
      <c r="L51" s="11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ref="K52:L52" si="54">(J52/60/60/24)+DATE(1970,1,1)</f>
        <v>41995.752986111111</v>
      </c>
      <c r="L52" s="11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ref="K53:L53" si="55">(J53/60/60/24)+DATE(1970,1,1)</f>
        <v>42196.928668981483</v>
      </c>
      <c r="L53" s="11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ref="K54:L54" si="56">(J54/60/60/24)+DATE(1970,1,1)</f>
        <v>41807.701921296299</v>
      </c>
      <c r="L54" s="11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ref="K55:L55" si="57">(J55/60/60/24)+DATE(1970,1,1)</f>
        <v>41719.549131944441</v>
      </c>
      <c r="L55" s="11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ref="K56:L56" si="58">(J56/60/60/24)+DATE(1970,1,1)</f>
        <v>42333.713206018518</v>
      </c>
      <c r="L56" s="11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ref="K57:L57" si="59">(J57/60/60/24)+DATE(1970,1,1)</f>
        <v>42496.968935185185</v>
      </c>
      <c r="L57" s="11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ref="K58:L58" si="60">(J58/60/60/24)+DATE(1970,1,1)</f>
        <v>42149.548888888887</v>
      </c>
      <c r="L58" s="11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ref="K59:L59" si="61">(J59/60/60/24)+DATE(1970,1,1)</f>
        <v>42089.83289351852</v>
      </c>
      <c r="L59" s="11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ref="K60:L60" si="62">(J60/60/60/24)+DATE(1970,1,1)</f>
        <v>41932.745046296295</v>
      </c>
      <c r="L60" s="11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ref="K61:L61" si="63">(J61/60/60/24)+DATE(1970,1,1)</f>
        <v>42230.23583333334</v>
      </c>
      <c r="L61" s="11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ref="K62:L62" si="64">(J62/60/60/24)+DATE(1970,1,1)</f>
        <v>41701.901817129627</v>
      </c>
      <c r="L62" s="11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ref="K63:L63" si="65">(J63/60/60/24)+DATE(1970,1,1)</f>
        <v>41409.814317129632</v>
      </c>
      <c r="L63" s="11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ref="K64:L64" si="66">(J64/60/60/24)+DATE(1970,1,1)</f>
        <v>41311.799513888887</v>
      </c>
      <c r="L64" s="11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ref="K65:L65" si="67">(J65/60/60/24)+DATE(1970,1,1)</f>
        <v>41612.912187499998</v>
      </c>
      <c r="L65" s="11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ref="K66:L66" si="68">(J66/60/60/24)+DATE(1970,1,1)</f>
        <v>41433.01829861111</v>
      </c>
      <c r="L66" s="11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ref="K67:L67" si="69">(J67/60/60/24)+DATE(1970,1,1)</f>
        <v>41835.821226851855</v>
      </c>
      <c r="L67" s="11">
        <f t="shared" ref="L67:L130" si="70">(I67/60/60/24)+DATE(1970,1,1)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71">(E67/D67)*100</f>
        <v>107.52857142857141</v>
      </c>
      <c r="R67" s="7">
        <f t="shared" ref="R67:R130" si="72">IFERROR(E67/N67, 0)</f>
        <v>132.05263157894737</v>
      </c>
      <c r="S67" t="str">
        <f t="shared" ref="S67:S130" si="73">LEFT(P67, SEARCH("/", P67,1)-1)</f>
        <v>film &amp; video</v>
      </c>
      <c r="T67" t="str">
        <f t="shared" ref="T67:T130" si="74">RIGHT(P67,LEN(P67)-SEARCH("/",P67,SEARCH("/",P67)))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ref="K68:L68" si="75">(J68/60/60/24)+DATE(1970,1,1)</f>
        <v>42539.849768518514</v>
      </c>
      <c r="L68" s="11">
        <f t="shared" si="70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71"/>
        <v>118.6</v>
      </c>
      <c r="R68" s="7">
        <f t="shared" si="72"/>
        <v>91.230769230769226</v>
      </c>
      <c r="S68" t="str">
        <f t="shared" si="73"/>
        <v>film &amp; video</v>
      </c>
      <c r="T68" t="str">
        <f t="shared" si="74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ref="K69:L69" si="76">(J69/60/60/24)+DATE(1970,1,1)</f>
        <v>41075.583379629628</v>
      </c>
      <c r="L69" s="11">
        <f t="shared" si="70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71"/>
        <v>116.25000000000001</v>
      </c>
      <c r="R69" s="7">
        <f t="shared" si="72"/>
        <v>116.25</v>
      </c>
      <c r="S69" t="str">
        <f t="shared" si="73"/>
        <v>film &amp; video</v>
      </c>
      <c r="T69" t="str">
        <f t="shared" si="74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ref="K70:L70" si="77">(J70/60/60/24)+DATE(1970,1,1)</f>
        <v>41663.569340277776</v>
      </c>
      <c r="L70" s="11">
        <f t="shared" si="70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71"/>
        <v>127.16666666666667</v>
      </c>
      <c r="R70" s="7">
        <f t="shared" si="72"/>
        <v>21.194444444444443</v>
      </c>
      <c r="S70" t="str">
        <f t="shared" si="73"/>
        <v>film &amp; video</v>
      </c>
      <c r="T70" t="str">
        <f t="shared" si="74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ref="K71:L71" si="78">(J71/60/60/24)+DATE(1970,1,1)</f>
        <v>40786.187789351854</v>
      </c>
      <c r="L71" s="11">
        <f t="shared" si="70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71"/>
        <v>110.9423</v>
      </c>
      <c r="R71" s="7">
        <f t="shared" si="72"/>
        <v>62.327134831460668</v>
      </c>
      <c r="S71" t="str">
        <f t="shared" si="73"/>
        <v>film &amp; video</v>
      </c>
      <c r="T71" t="str">
        <f t="shared" si="74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ref="K72:L72" si="79">(J72/60/60/24)+DATE(1970,1,1)</f>
        <v>40730.896354166667</v>
      </c>
      <c r="L72" s="11">
        <f t="shared" si="70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71"/>
        <v>127.2</v>
      </c>
      <c r="R72" s="7">
        <f t="shared" si="72"/>
        <v>37.411764705882355</v>
      </c>
      <c r="S72" t="str">
        <f t="shared" si="73"/>
        <v>film &amp; video</v>
      </c>
      <c r="T72" t="str">
        <f t="shared" si="74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ref="K73:L73" si="80">(J73/60/60/24)+DATE(1970,1,1)</f>
        <v>40997.271493055552</v>
      </c>
      <c r="L73" s="11">
        <f t="shared" si="70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71"/>
        <v>123.94444444444443</v>
      </c>
      <c r="R73" s="7">
        <f t="shared" si="72"/>
        <v>69.71875</v>
      </c>
      <c r="S73" t="str">
        <f t="shared" si="73"/>
        <v>film &amp; video</v>
      </c>
      <c r="T73" t="str">
        <f t="shared" si="74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ref="K74:L74" si="81">(J74/60/60/24)+DATE(1970,1,1)</f>
        <v>41208.010196759256</v>
      </c>
      <c r="L74" s="11">
        <f t="shared" si="70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71"/>
        <v>108.40909090909091</v>
      </c>
      <c r="R74" s="7">
        <f t="shared" si="72"/>
        <v>58.170731707317074</v>
      </c>
      <c r="S74" t="str">
        <f t="shared" si="73"/>
        <v>film &amp; video</v>
      </c>
      <c r="T74" t="str">
        <f t="shared" si="74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ref="K75:L75" si="82">(J75/60/60/24)+DATE(1970,1,1)</f>
        <v>40587.75675925926</v>
      </c>
      <c r="L75" s="11">
        <f t="shared" si="70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71"/>
        <v>100</v>
      </c>
      <c r="R75" s="7">
        <f t="shared" si="72"/>
        <v>50</v>
      </c>
      <c r="S75" t="str">
        <f t="shared" si="73"/>
        <v>film &amp; video</v>
      </c>
      <c r="T75" t="str">
        <f t="shared" si="74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ref="K76:L76" si="83">(J76/60/60/24)+DATE(1970,1,1)</f>
        <v>42360.487210648149</v>
      </c>
      <c r="L76" s="11">
        <f t="shared" si="70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71"/>
        <v>112.93199999999999</v>
      </c>
      <c r="R76" s="7">
        <f t="shared" si="72"/>
        <v>19.471034482758618</v>
      </c>
      <c r="S76" t="str">
        <f t="shared" si="73"/>
        <v>film &amp; video</v>
      </c>
      <c r="T76" t="str">
        <f t="shared" si="74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ref="K77:L77" si="84">(J77/60/60/24)+DATE(1970,1,1)</f>
        <v>41357.209166666667</v>
      </c>
      <c r="L77" s="11">
        <f t="shared" si="70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71"/>
        <v>115.42857142857143</v>
      </c>
      <c r="R77" s="7">
        <f t="shared" si="72"/>
        <v>85.957446808510639</v>
      </c>
      <c r="S77" t="str">
        <f t="shared" si="73"/>
        <v>film &amp; video</v>
      </c>
      <c r="T77" t="str">
        <f t="shared" si="74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ref="K78:L78" si="85">(J78/60/60/24)+DATE(1970,1,1)</f>
        <v>40844.691643518519</v>
      </c>
      <c r="L78" s="11">
        <f t="shared" si="70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71"/>
        <v>153.33333333333334</v>
      </c>
      <c r="R78" s="7">
        <f t="shared" si="72"/>
        <v>30.666666666666668</v>
      </c>
      <c r="S78" t="str">
        <f t="shared" si="73"/>
        <v>film &amp; video</v>
      </c>
      <c r="T78" t="str">
        <f t="shared" si="74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ref="K79:L79" si="86">(J79/60/60/24)+DATE(1970,1,1)</f>
        <v>40997.144872685189</v>
      </c>
      <c r="L79" s="11">
        <f t="shared" si="70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71"/>
        <v>392.5</v>
      </c>
      <c r="R79" s="7">
        <f t="shared" si="72"/>
        <v>60.384615384615387</v>
      </c>
      <c r="S79" t="str">
        <f t="shared" si="73"/>
        <v>film &amp; video</v>
      </c>
      <c r="T79" t="str">
        <f t="shared" si="74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ref="K80:L80" si="87">(J80/60/60/24)+DATE(1970,1,1)</f>
        <v>42604.730567129634</v>
      </c>
      <c r="L80" s="11">
        <f t="shared" si="70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71"/>
        <v>2702</v>
      </c>
      <c r="R80" s="7">
        <f t="shared" si="72"/>
        <v>38.6</v>
      </c>
      <c r="S80" t="str">
        <f t="shared" si="73"/>
        <v>film &amp; video</v>
      </c>
      <c r="T80" t="str">
        <f t="shared" si="74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ref="K81:L81" si="88">(J81/60/60/24)+DATE(1970,1,1)</f>
        <v>41724.776539351849</v>
      </c>
      <c r="L81" s="11">
        <f t="shared" si="70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71"/>
        <v>127</v>
      </c>
      <c r="R81" s="7">
        <f t="shared" si="72"/>
        <v>40.268292682926827</v>
      </c>
      <c r="S81" t="str">
        <f t="shared" si="73"/>
        <v>film &amp; video</v>
      </c>
      <c r="T81" t="str">
        <f t="shared" si="74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ref="K82:L82" si="89">(J82/60/60/24)+DATE(1970,1,1)</f>
        <v>41583.083981481483</v>
      </c>
      <c r="L82" s="11">
        <f t="shared" si="70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71"/>
        <v>107.25</v>
      </c>
      <c r="R82" s="7">
        <f t="shared" si="72"/>
        <v>273.82978723404256</v>
      </c>
      <c r="S82" t="str">
        <f t="shared" si="73"/>
        <v>film &amp; video</v>
      </c>
      <c r="T82" t="str">
        <f t="shared" si="74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ref="K83:L83" si="90">(J83/60/60/24)+DATE(1970,1,1)</f>
        <v>41100.158877314818</v>
      </c>
      <c r="L83" s="11">
        <f t="shared" si="70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71"/>
        <v>198</v>
      </c>
      <c r="R83" s="7">
        <f t="shared" si="72"/>
        <v>53.035714285714285</v>
      </c>
      <c r="S83" t="str">
        <f t="shared" si="73"/>
        <v>film &amp; video</v>
      </c>
      <c r="T83" t="str">
        <f t="shared" si="74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ref="K84:L84" si="91">(J84/60/60/24)+DATE(1970,1,1)</f>
        <v>40795.820150462961</v>
      </c>
      <c r="L84" s="11">
        <f t="shared" si="70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71"/>
        <v>100.01249999999999</v>
      </c>
      <c r="R84" s="7">
        <f t="shared" si="72"/>
        <v>40.005000000000003</v>
      </c>
      <c r="S84" t="str">
        <f t="shared" si="73"/>
        <v>film &amp; video</v>
      </c>
      <c r="T84" t="str">
        <f t="shared" si="74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ref="K85:L85" si="92">(J85/60/60/24)+DATE(1970,1,1)</f>
        <v>42042.615613425922</v>
      </c>
      <c r="L85" s="11">
        <f t="shared" si="70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71"/>
        <v>102.49999999999999</v>
      </c>
      <c r="R85" s="7">
        <f t="shared" si="72"/>
        <v>15.76923076923077</v>
      </c>
      <c r="S85" t="str">
        <f t="shared" si="73"/>
        <v>film &amp; video</v>
      </c>
      <c r="T85" t="str">
        <f t="shared" si="74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ref="K86:L86" si="93">(J86/60/60/24)+DATE(1970,1,1)</f>
        <v>40648.757939814815</v>
      </c>
      <c r="L86" s="11">
        <f t="shared" si="70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71"/>
        <v>100</v>
      </c>
      <c r="R86" s="7">
        <f t="shared" si="72"/>
        <v>71.428571428571431</v>
      </c>
      <c r="S86" t="str">
        <f t="shared" si="73"/>
        <v>film &amp; video</v>
      </c>
      <c r="T86" t="str">
        <f t="shared" si="74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ref="K87:L87" si="94">(J87/60/60/24)+DATE(1970,1,1)</f>
        <v>40779.125428240739</v>
      </c>
      <c r="L87" s="11">
        <f t="shared" si="70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71"/>
        <v>125.49999999999999</v>
      </c>
      <c r="R87" s="7">
        <f t="shared" si="72"/>
        <v>71.714285714285708</v>
      </c>
      <c r="S87" t="str">
        <f t="shared" si="73"/>
        <v>film &amp; video</v>
      </c>
      <c r="T87" t="str">
        <f t="shared" si="74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ref="K88:L88" si="95">(J88/60/60/24)+DATE(1970,1,1)</f>
        <v>42291.556076388893</v>
      </c>
      <c r="L88" s="11">
        <f t="shared" si="70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71"/>
        <v>106.46666666666667</v>
      </c>
      <c r="R88" s="7">
        <f t="shared" si="72"/>
        <v>375.76470588235293</v>
      </c>
      <c r="S88" t="str">
        <f t="shared" si="73"/>
        <v>film &amp; video</v>
      </c>
      <c r="T88" t="str">
        <f t="shared" si="74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ref="K89:L89" si="96">(J89/60/60/24)+DATE(1970,1,1)</f>
        <v>40322.53938657407</v>
      </c>
      <c r="L89" s="11">
        <f t="shared" si="70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71"/>
        <v>104.60000000000001</v>
      </c>
      <c r="R89" s="7">
        <f t="shared" si="72"/>
        <v>104.6</v>
      </c>
      <c r="S89" t="str">
        <f t="shared" si="73"/>
        <v>film &amp; video</v>
      </c>
      <c r="T89" t="str">
        <f t="shared" si="74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ref="K90:L90" si="97">(J90/60/60/24)+DATE(1970,1,1)</f>
        <v>41786.65892361111</v>
      </c>
      <c r="L90" s="11">
        <f t="shared" si="70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71"/>
        <v>102.85714285714285</v>
      </c>
      <c r="R90" s="7">
        <f t="shared" si="72"/>
        <v>60</v>
      </c>
      <c r="S90" t="str">
        <f t="shared" si="73"/>
        <v>film &amp; video</v>
      </c>
      <c r="T90" t="str">
        <f t="shared" si="74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ref="K91:L91" si="98">(J91/60/60/24)+DATE(1970,1,1)</f>
        <v>41402.752222222225</v>
      </c>
      <c r="L91" s="11">
        <f t="shared" si="70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71"/>
        <v>115.06666666666668</v>
      </c>
      <c r="R91" s="7">
        <f t="shared" si="72"/>
        <v>123.28571428571429</v>
      </c>
      <c r="S91" t="str">
        <f t="shared" si="73"/>
        <v>film &amp; video</v>
      </c>
      <c r="T91" t="str">
        <f t="shared" si="74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ref="K92:L92" si="99">(J92/60/60/24)+DATE(1970,1,1)</f>
        <v>40706.297442129631</v>
      </c>
      <c r="L92" s="11">
        <f t="shared" si="70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71"/>
        <v>100.4</v>
      </c>
      <c r="R92" s="7">
        <f t="shared" si="72"/>
        <v>31.375</v>
      </c>
      <c r="S92" t="str">
        <f t="shared" si="73"/>
        <v>film &amp; video</v>
      </c>
      <c r="T92" t="str">
        <f t="shared" si="74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ref="K93:L93" si="100">(J93/60/60/24)+DATE(1970,1,1)</f>
        <v>40619.402361111112</v>
      </c>
      <c r="L93" s="11">
        <f t="shared" si="70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71"/>
        <v>120</v>
      </c>
      <c r="R93" s="7">
        <f t="shared" si="72"/>
        <v>78.260869565217391</v>
      </c>
      <c r="S93" t="str">
        <f t="shared" si="73"/>
        <v>film &amp; video</v>
      </c>
      <c r="T93" t="str">
        <f t="shared" si="74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ref="K94:L94" si="101">(J94/60/60/24)+DATE(1970,1,1)</f>
        <v>42721.198877314819</v>
      </c>
      <c r="L94" s="11">
        <f t="shared" si="70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71"/>
        <v>105.2</v>
      </c>
      <c r="R94" s="7">
        <f t="shared" si="72"/>
        <v>122.32558139534883</v>
      </c>
      <c r="S94" t="str">
        <f t="shared" si="73"/>
        <v>film &amp; video</v>
      </c>
      <c r="T94" t="str">
        <f t="shared" si="74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ref="K95:L95" si="102">(J95/60/60/24)+DATE(1970,1,1)</f>
        <v>41065.858067129629</v>
      </c>
      <c r="L95" s="11">
        <f t="shared" si="70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71"/>
        <v>110.60000000000001</v>
      </c>
      <c r="R95" s="7">
        <f t="shared" si="72"/>
        <v>73.733333333333334</v>
      </c>
      <c r="S95" t="str">
        <f t="shared" si="73"/>
        <v>film &amp; video</v>
      </c>
      <c r="T95" t="str">
        <f t="shared" si="74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ref="K96:L96" si="103">(J96/60/60/24)+DATE(1970,1,1)</f>
        <v>41716.717847222222</v>
      </c>
      <c r="L96" s="11">
        <f t="shared" si="70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71"/>
        <v>104</v>
      </c>
      <c r="R96" s="7">
        <f t="shared" si="72"/>
        <v>21.666666666666668</v>
      </c>
      <c r="S96" t="str">
        <f t="shared" si="73"/>
        <v>film &amp; video</v>
      </c>
      <c r="T96" t="str">
        <f t="shared" si="74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ref="K97:L97" si="104">(J97/60/60/24)+DATE(1970,1,1)</f>
        <v>40935.005104166667</v>
      </c>
      <c r="L97" s="11">
        <f t="shared" si="70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71"/>
        <v>131.42857142857142</v>
      </c>
      <c r="R97" s="7">
        <f t="shared" si="72"/>
        <v>21.904761904761905</v>
      </c>
      <c r="S97" t="str">
        <f t="shared" si="73"/>
        <v>film &amp; video</v>
      </c>
      <c r="T97" t="str">
        <f t="shared" si="74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ref="K98:L98" si="105">(J98/60/60/24)+DATE(1970,1,1)</f>
        <v>40324.662511574075</v>
      </c>
      <c r="L98" s="11">
        <f t="shared" si="70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71"/>
        <v>114.66666666666667</v>
      </c>
      <c r="R98" s="7">
        <f t="shared" si="72"/>
        <v>50.588235294117645</v>
      </c>
      <c r="S98" t="str">
        <f t="shared" si="73"/>
        <v>film &amp; video</v>
      </c>
      <c r="T98" t="str">
        <f t="shared" si="74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ref="K99:L99" si="106">(J99/60/60/24)+DATE(1970,1,1)</f>
        <v>40706.135208333333</v>
      </c>
      <c r="L99" s="11">
        <f t="shared" si="70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71"/>
        <v>106.25</v>
      </c>
      <c r="R99" s="7">
        <f t="shared" si="72"/>
        <v>53.125</v>
      </c>
      <c r="S99" t="str">
        <f t="shared" si="73"/>
        <v>film &amp; video</v>
      </c>
      <c r="T99" t="str">
        <f t="shared" si="74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ref="K100:L100" si="107">(J100/60/60/24)+DATE(1970,1,1)</f>
        <v>41214.79483796296</v>
      </c>
      <c r="L100" s="11">
        <f t="shared" si="70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71"/>
        <v>106.25</v>
      </c>
      <c r="R100" s="7">
        <f t="shared" si="72"/>
        <v>56.666666666666664</v>
      </c>
      <c r="S100" t="str">
        <f t="shared" si="73"/>
        <v>film &amp; video</v>
      </c>
      <c r="T100" t="str">
        <f t="shared" si="74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ref="K101:L101" si="108">(J101/60/60/24)+DATE(1970,1,1)</f>
        <v>41631.902766203704</v>
      </c>
      <c r="L101" s="11">
        <f t="shared" si="70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71"/>
        <v>106.01933333333334</v>
      </c>
      <c r="R101" s="7">
        <f t="shared" si="72"/>
        <v>40.776666666666664</v>
      </c>
      <c r="S101" t="str">
        <f t="shared" si="73"/>
        <v>film &amp; video</v>
      </c>
      <c r="T101" t="str">
        <f t="shared" si="74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ref="K102:L102" si="109">(J102/60/60/24)+DATE(1970,1,1)</f>
        <v>41197.753310185188</v>
      </c>
      <c r="L102" s="11">
        <f t="shared" si="70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71"/>
        <v>100</v>
      </c>
      <c r="R102" s="7">
        <f t="shared" si="72"/>
        <v>192.30769230769232</v>
      </c>
      <c r="S102" t="str">
        <f t="shared" si="73"/>
        <v>film &amp; video</v>
      </c>
      <c r="T102" t="str">
        <f t="shared" si="74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ref="K103:L103" si="110">(J103/60/60/24)+DATE(1970,1,1)</f>
        <v>41274.776736111111</v>
      </c>
      <c r="L103" s="11">
        <f t="shared" si="70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71"/>
        <v>100</v>
      </c>
      <c r="R103" s="7">
        <f t="shared" si="72"/>
        <v>100</v>
      </c>
      <c r="S103" t="str">
        <f t="shared" si="73"/>
        <v>film &amp; video</v>
      </c>
      <c r="T103" t="str">
        <f t="shared" si="74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ref="K104:L104" si="111">(J104/60/60/24)+DATE(1970,1,1)</f>
        <v>40505.131168981483</v>
      </c>
      <c r="L104" s="11">
        <f t="shared" si="70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71"/>
        <v>127.75000000000001</v>
      </c>
      <c r="R104" s="7">
        <f t="shared" si="72"/>
        <v>117.92307692307692</v>
      </c>
      <c r="S104" t="str">
        <f t="shared" si="73"/>
        <v>film &amp; video</v>
      </c>
      <c r="T104" t="str">
        <f t="shared" si="74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ref="K105:L105" si="112">(J105/60/60/24)+DATE(1970,1,1)</f>
        <v>41682.805902777778</v>
      </c>
      <c r="L105" s="11">
        <f t="shared" si="70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71"/>
        <v>105.15384615384616</v>
      </c>
      <c r="R105" s="7">
        <f t="shared" si="72"/>
        <v>27.897959183673468</v>
      </c>
      <c r="S105" t="str">
        <f t="shared" si="73"/>
        <v>film &amp; video</v>
      </c>
      <c r="T105" t="str">
        <f t="shared" si="74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ref="K106:L106" si="113">(J106/60/60/24)+DATE(1970,1,1)</f>
        <v>40612.695208333331</v>
      </c>
      <c r="L106" s="11">
        <f t="shared" si="70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71"/>
        <v>120</v>
      </c>
      <c r="R106" s="7">
        <f t="shared" si="72"/>
        <v>60</v>
      </c>
      <c r="S106" t="str">
        <f t="shared" si="73"/>
        <v>film &amp; video</v>
      </c>
      <c r="T106" t="str">
        <f t="shared" si="74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ref="K107:L107" si="114">(J107/60/60/24)+DATE(1970,1,1)</f>
        <v>42485.724768518514</v>
      </c>
      <c r="L107" s="11">
        <f t="shared" si="70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71"/>
        <v>107.40909090909089</v>
      </c>
      <c r="R107" s="7">
        <f t="shared" si="72"/>
        <v>39.383333333333333</v>
      </c>
      <c r="S107" t="str">
        <f t="shared" si="73"/>
        <v>film &amp; video</v>
      </c>
      <c r="T107" t="str">
        <f t="shared" si="74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ref="K108:L108" si="115">(J108/60/60/24)+DATE(1970,1,1)</f>
        <v>40987.776631944449</v>
      </c>
      <c r="L108" s="11">
        <f t="shared" si="70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71"/>
        <v>100.49999999999999</v>
      </c>
      <c r="R108" s="7">
        <f t="shared" si="72"/>
        <v>186.11111111111111</v>
      </c>
      <c r="S108" t="str">
        <f t="shared" si="73"/>
        <v>film &amp; video</v>
      </c>
      <c r="T108" t="str">
        <f t="shared" si="74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ref="K109:L109" si="116">(J109/60/60/24)+DATE(1970,1,1)</f>
        <v>40635.982488425929</v>
      </c>
      <c r="L109" s="11">
        <f t="shared" si="70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71"/>
        <v>102.46666666666667</v>
      </c>
      <c r="R109" s="7">
        <f t="shared" si="72"/>
        <v>111.37681159420291</v>
      </c>
      <c r="S109" t="str">
        <f t="shared" si="73"/>
        <v>film &amp; video</v>
      </c>
      <c r="T109" t="str">
        <f t="shared" si="74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ref="K110:L110" si="117">(J110/60/60/24)+DATE(1970,1,1)</f>
        <v>41365.613078703704</v>
      </c>
      <c r="L110" s="11">
        <f t="shared" si="70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71"/>
        <v>246.66666666666669</v>
      </c>
      <c r="R110" s="7">
        <f t="shared" si="72"/>
        <v>78.723404255319153</v>
      </c>
      <c r="S110" t="str">
        <f t="shared" si="73"/>
        <v>film &amp; video</v>
      </c>
      <c r="T110" t="str">
        <f t="shared" si="74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ref="K111:L111" si="118">(J111/60/60/24)+DATE(1970,1,1)</f>
        <v>40570.025810185187</v>
      </c>
      <c r="L111" s="11">
        <f t="shared" si="70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71"/>
        <v>219.49999999999997</v>
      </c>
      <c r="R111" s="7">
        <f t="shared" si="72"/>
        <v>46.702127659574465</v>
      </c>
      <c r="S111" t="str">
        <f t="shared" si="73"/>
        <v>film &amp; video</v>
      </c>
      <c r="T111" t="str">
        <f t="shared" si="74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ref="K112:L112" si="119">(J112/60/60/24)+DATE(1970,1,1)</f>
        <v>41557.949687500004</v>
      </c>
      <c r="L112" s="11">
        <f t="shared" si="70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71"/>
        <v>130.76923076923077</v>
      </c>
      <c r="R112" s="7">
        <f t="shared" si="72"/>
        <v>65.384615384615387</v>
      </c>
      <c r="S112" t="str">
        <f t="shared" si="73"/>
        <v>film &amp; video</v>
      </c>
      <c r="T112" t="str">
        <f t="shared" si="74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ref="K113:L113" si="120">(J113/60/60/24)+DATE(1970,1,1)</f>
        <v>42125.333182870367</v>
      </c>
      <c r="L113" s="11">
        <f t="shared" si="70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71"/>
        <v>154.57142857142858</v>
      </c>
      <c r="R113" s="7">
        <f t="shared" si="72"/>
        <v>102.0754716981132</v>
      </c>
      <c r="S113" t="str">
        <f t="shared" si="73"/>
        <v>film &amp; video</v>
      </c>
      <c r="T113" t="str">
        <f t="shared" si="74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ref="K114:L114" si="121">(J114/60/60/24)+DATE(1970,1,1)</f>
        <v>41718.043032407404</v>
      </c>
      <c r="L114" s="11">
        <f t="shared" si="70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71"/>
        <v>104</v>
      </c>
      <c r="R114" s="7">
        <f t="shared" si="72"/>
        <v>64.197530864197532</v>
      </c>
      <c r="S114" t="str">
        <f t="shared" si="73"/>
        <v>film &amp; video</v>
      </c>
      <c r="T114" t="str">
        <f t="shared" si="74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ref="K115:L115" si="122">(J115/60/60/24)+DATE(1970,1,1)</f>
        <v>40753.758425925924</v>
      </c>
      <c r="L115" s="11">
        <f t="shared" si="70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71"/>
        <v>141</v>
      </c>
      <c r="R115" s="7">
        <f t="shared" si="72"/>
        <v>90.384615384615387</v>
      </c>
      <c r="S115" t="str">
        <f t="shared" si="73"/>
        <v>film &amp; video</v>
      </c>
      <c r="T115" t="str">
        <f t="shared" si="74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ref="K116:L116" si="123">(J116/60/60/24)+DATE(1970,1,1)</f>
        <v>40861.27416666667</v>
      </c>
      <c r="L116" s="11">
        <f t="shared" si="70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71"/>
        <v>103.33333333333334</v>
      </c>
      <c r="R116" s="7">
        <f t="shared" si="72"/>
        <v>88.571428571428569</v>
      </c>
      <c r="S116" t="str">
        <f t="shared" si="73"/>
        <v>film &amp; video</v>
      </c>
      <c r="T116" t="str">
        <f t="shared" si="74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ref="K117:L117" si="124">(J117/60/60/24)+DATE(1970,1,1)</f>
        <v>40918.738935185182</v>
      </c>
      <c r="L117" s="11">
        <f t="shared" si="70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71"/>
        <v>140.44444444444443</v>
      </c>
      <c r="R117" s="7">
        <f t="shared" si="72"/>
        <v>28.727272727272727</v>
      </c>
      <c r="S117" t="str">
        <f t="shared" si="73"/>
        <v>film &amp; video</v>
      </c>
      <c r="T117" t="str">
        <f t="shared" si="74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ref="K118:L118" si="125">(J118/60/60/24)+DATE(1970,1,1)</f>
        <v>40595.497164351851</v>
      </c>
      <c r="L118" s="11">
        <f t="shared" si="70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71"/>
        <v>113.65714285714286</v>
      </c>
      <c r="R118" s="7">
        <f t="shared" si="72"/>
        <v>69.78947368421052</v>
      </c>
      <c r="S118" t="str">
        <f t="shared" si="73"/>
        <v>film &amp; video</v>
      </c>
      <c r="T118" t="str">
        <f t="shared" si="74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ref="K119:L119" si="126">(J119/60/60/24)+DATE(1970,1,1)</f>
        <v>40248.834999999999</v>
      </c>
      <c r="L119" s="11">
        <f t="shared" si="70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71"/>
        <v>100.49377777777779</v>
      </c>
      <c r="R119" s="7">
        <f t="shared" si="72"/>
        <v>167.48962962962963</v>
      </c>
      <c r="S119" t="str">
        <f t="shared" si="73"/>
        <v>film &amp; video</v>
      </c>
      <c r="T119" t="str">
        <f t="shared" si="74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ref="K120:L120" si="127">(J120/60/60/24)+DATE(1970,1,1)</f>
        <v>40723.053657407407</v>
      </c>
      <c r="L120" s="11">
        <f t="shared" si="70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71"/>
        <v>113.03159999999998</v>
      </c>
      <c r="R120" s="7">
        <f t="shared" si="72"/>
        <v>144.91230769230768</v>
      </c>
      <c r="S120" t="str">
        <f t="shared" si="73"/>
        <v>film &amp; video</v>
      </c>
      <c r="T120" t="str">
        <f t="shared" si="74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ref="K121:L121" si="128">(J121/60/60/24)+DATE(1970,1,1)</f>
        <v>40739.069282407407</v>
      </c>
      <c r="L121" s="11">
        <f t="shared" si="70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71"/>
        <v>104.55692307692308</v>
      </c>
      <c r="R121" s="7">
        <f t="shared" si="72"/>
        <v>91.840540540540545</v>
      </c>
      <c r="S121" t="str">
        <f t="shared" si="73"/>
        <v>film &amp; video</v>
      </c>
      <c r="T121" t="str">
        <f t="shared" si="74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ref="K122:L122" si="129">(J122/60/60/24)+DATE(1970,1,1)</f>
        <v>42616.049849537041</v>
      </c>
      <c r="L122" s="11">
        <f t="shared" si="70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71"/>
        <v>1.4285714285714287E-2</v>
      </c>
      <c r="R122" s="7">
        <f t="shared" si="72"/>
        <v>10</v>
      </c>
      <c r="S122" t="str">
        <f t="shared" si="73"/>
        <v>film &amp; video</v>
      </c>
      <c r="T122" t="str">
        <f t="shared" si="74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ref="K123:L123" si="130">(J123/60/60/24)+DATE(1970,1,1)</f>
        <v>42096.704976851848</v>
      </c>
      <c r="L123" s="11">
        <f t="shared" si="70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71"/>
        <v>3.3333333333333333E-2</v>
      </c>
      <c r="R123" s="7">
        <f t="shared" si="72"/>
        <v>1</v>
      </c>
      <c r="S123" t="str">
        <f t="shared" si="73"/>
        <v>film &amp; video</v>
      </c>
      <c r="T123" t="str">
        <f t="shared" si="74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ref="K124:L124" si="131">(J124/60/60/24)+DATE(1970,1,1)</f>
        <v>42593.431793981479</v>
      </c>
      <c r="L124" s="11">
        <f t="shared" si="70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71"/>
        <v>0</v>
      </c>
      <c r="R124" s="7">
        <f t="shared" si="72"/>
        <v>0</v>
      </c>
      <c r="S124" t="str">
        <f t="shared" si="73"/>
        <v>film &amp; video</v>
      </c>
      <c r="T124" t="str">
        <f t="shared" si="74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ref="K125:L125" si="132">(J125/60/60/24)+DATE(1970,1,1)</f>
        <v>41904.781990740739</v>
      </c>
      <c r="L125" s="11">
        <f t="shared" si="70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71"/>
        <v>0.27454545454545454</v>
      </c>
      <c r="R125" s="7">
        <f t="shared" si="72"/>
        <v>25.166666666666668</v>
      </c>
      <c r="S125" t="str">
        <f t="shared" si="73"/>
        <v>film &amp; video</v>
      </c>
      <c r="T125" t="str">
        <f t="shared" si="74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ref="K126:L126" si="133">(J126/60/60/24)+DATE(1970,1,1)</f>
        <v>42114.928726851853</v>
      </c>
      <c r="L126" s="11">
        <f t="shared" si="70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71"/>
        <v>0</v>
      </c>
      <c r="R126" s="7">
        <f t="shared" si="72"/>
        <v>0</v>
      </c>
      <c r="S126" t="str">
        <f t="shared" si="73"/>
        <v>film &amp; video</v>
      </c>
      <c r="T126" t="str">
        <f t="shared" si="74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ref="K127:L127" si="134">(J127/60/60/24)+DATE(1970,1,1)</f>
        <v>42709.993981481486</v>
      </c>
      <c r="L127" s="11">
        <f t="shared" si="70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71"/>
        <v>14.000000000000002</v>
      </c>
      <c r="R127" s="7">
        <f t="shared" si="72"/>
        <v>11.666666666666666</v>
      </c>
      <c r="S127" t="str">
        <f t="shared" si="73"/>
        <v>film &amp; video</v>
      </c>
      <c r="T127" t="str">
        <f t="shared" si="74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ref="K128:L128" si="135">(J128/60/60/24)+DATE(1970,1,1)</f>
        <v>42135.589548611111</v>
      </c>
      <c r="L128" s="11">
        <f t="shared" si="70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71"/>
        <v>5.548</v>
      </c>
      <c r="R128" s="7">
        <f t="shared" si="72"/>
        <v>106.69230769230769</v>
      </c>
      <c r="S128" t="str">
        <f t="shared" si="73"/>
        <v>film &amp; video</v>
      </c>
      <c r="T128" t="str">
        <f t="shared" si="74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ref="K129:L129" si="136">(J129/60/60/24)+DATE(1970,1,1)</f>
        <v>42067.62431712963</v>
      </c>
      <c r="L129" s="11">
        <f t="shared" si="70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71"/>
        <v>2.375</v>
      </c>
      <c r="R129" s="7">
        <f t="shared" si="72"/>
        <v>47.5</v>
      </c>
      <c r="S129" t="str">
        <f t="shared" si="73"/>
        <v>film &amp; video</v>
      </c>
      <c r="T129" t="str">
        <f t="shared" si="74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ref="K130:L130" si="137">(J130/60/60/24)+DATE(1970,1,1)</f>
        <v>42628.22792824074</v>
      </c>
      <c r="L130" s="11">
        <f t="shared" si="70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71"/>
        <v>1.867</v>
      </c>
      <c r="R130" s="7">
        <f t="shared" si="72"/>
        <v>311.16666666666669</v>
      </c>
      <c r="S130" t="str">
        <f t="shared" si="73"/>
        <v>film &amp; video</v>
      </c>
      <c r="T130" t="str">
        <f t="shared" si="74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ref="K131:L131" si="138">(J131/60/60/24)+DATE(1970,1,1)</f>
        <v>41882.937303240738</v>
      </c>
      <c r="L131" s="11">
        <f t="shared" ref="L131:L194" si="139">(I131/60/60/24)+DATE(1970,1,1)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40">(E131/D131)*100</f>
        <v>0</v>
      </c>
      <c r="R131" s="7">
        <f t="shared" ref="R131:R194" si="141">IFERROR(E131/N131, 0)</f>
        <v>0</v>
      </c>
      <c r="S131" t="str">
        <f t="shared" ref="S131:S194" si="142">LEFT(P131, SEARCH("/", P131,1)-1)</f>
        <v>film &amp; video</v>
      </c>
      <c r="T131" t="str">
        <f t="shared" ref="T131:T194" si="143">RIGHT(P131,LEN(P131)-SEARCH("/",P131,SEARCH("/",P131)))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ref="K132:L132" si="144">(J132/60/60/24)+DATE(1970,1,1)</f>
        <v>41778.915416666663</v>
      </c>
      <c r="L132" s="11">
        <f t="shared" si="13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140"/>
        <v>0</v>
      </c>
      <c r="R132" s="7">
        <f t="shared" si="141"/>
        <v>0</v>
      </c>
      <c r="S132" t="str">
        <f t="shared" si="142"/>
        <v>film &amp; video</v>
      </c>
      <c r="T132" t="str">
        <f t="shared" si="143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ref="K133:L133" si="145">(J133/60/60/24)+DATE(1970,1,1)</f>
        <v>42541.837511574078</v>
      </c>
      <c r="L133" s="11">
        <f t="shared" si="139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140"/>
        <v>0</v>
      </c>
      <c r="R133" s="7">
        <f t="shared" si="141"/>
        <v>0</v>
      </c>
      <c r="S133" t="str">
        <f t="shared" si="142"/>
        <v>film &amp; video</v>
      </c>
      <c r="T133" t="str">
        <f t="shared" si="143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ref="K134:L134" si="146">(J134/60/60/24)+DATE(1970,1,1)</f>
        <v>41905.812581018516</v>
      </c>
      <c r="L134" s="11">
        <f t="shared" si="13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140"/>
        <v>9.5687499999999996</v>
      </c>
      <c r="R134" s="7">
        <f t="shared" si="141"/>
        <v>94.506172839506178</v>
      </c>
      <c r="S134" t="str">
        <f t="shared" si="142"/>
        <v>film &amp; video</v>
      </c>
      <c r="T134" t="str">
        <f t="shared" si="143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ref="K135:L135" si="147">(J135/60/60/24)+DATE(1970,1,1)</f>
        <v>42491.80768518518</v>
      </c>
      <c r="L135" s="11">
        <f t="shared" si="13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140"/>
        <v>0</v>
      </c>
      <c r="R135" s="7">
        <f t="shared" si="141"/>
        <v>0</v>
      </c>
      <c r="S135" t="str">
        <f t="shared" si="142"/>
        <v>film &amp; video</v>
      </c>
      <c r="T135" t="str">
        <f t="shared" si="143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ref="K136:L136" si="148">(J136/60/60/24)+DATE(1970,1,1)</f>
        <v>42221.909930555557</v>
      </c>
      <c r="L136" s="11">
        <f t="shared" si="13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140"/>
        <v>0</v>
      </c>
      <c r="R136" s="7">
        <f t="shared" si="141"/>
        <v>0</v>
      </c>
      <c r="S136" t="str">
        <f t="shared" si="142"/>
        <v>film &amp; video</v>
      </c>
      <c r="T136" t="str">
        <f t="shared" si="143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ref="K137:L137" si="149">(J137/60/60/24)+DATE(1970,1,1)</f>
        <v>41788.381909722222</v>
      </c>
      <c r="L137" s="11">
        <f t="shared" si="13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140"/>
        <v>13.433333333333334</v>
      </c>
      <c r="R137" s="7">
        <f t="shared" si="141"/>
        <v>80.599999999999994</v>
      </c>
      <c r="S137" t="str">
        <f t="shared" si="142"/>
        <v>film &amp; video</v>
      </c>
      <c r="T137" t="str">
        <f t="shared" si="143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ref="K138:L138" si="150">(J138/60/60/24)+DATE(1970,1,1)</f>
        <v>42096.410115740742</v>
      </c>
      <c r="L138" s="11">
        <f t="shared" si="13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140"/>
        <v>0</v>
      </c>
      <c r="R138" s="7">
        <f t="shared" si="141"/>
        <v>0</v>
      </c>
      <c r="S138" t="str">
        <f t="shared" si="142"/>
        <v>film &amp; video</v>
      </c>
      <c r="T138" t="str">
        <f t="shared" si="143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ref="K139:L139" si="151">(J139/60/60/24)+DATE(1970,1,1)</f>
        <v>42239.573993055557</v>
      </c>
      <c r="L139" s="11">
        <f t="shared" si="13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40"/>
        <v>0</v>
      </c>
      <c r="R139" s="7">
        <f t="shared" si="141"/>
        <v>0</v>
      </c>
      <c r="S139" t="str">
        <f t="shared" si="142"/>
        <v>film &amp; video</v>
      </c>
      <c r="T139" t="str">
        <f t="shared" si="143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ref="K140:L140" si="152">(J140/60/60/24)+DATE(1970,1,1)</f>
        <v>42186.257418981477</v>
      </c>
      <c r="L140" s="11">
        <f t="shared" si="13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140"/>
        <v>3.1413333333333333</v>
      </c>
      <c r="R140" s="7">
        <f t="shared" si="141"/>
        <v>81.241379310344826</v>
      </c>
      <c r="S140" t="str">
        <f t="shared" si="142"/>
        <v>film &amp; video</v>
      </c>
      <c r="T140" t="str">
        <f t="shared" si="143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ref="K141:L141" si="153">(J141/60/60/24)+DATE(1970,1,1)</f>
        <v>42187.920972222222</v>
      </c>
      <c r="L141" s="11">
        <f t="shared" si="13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40"/>
        <v>100</v>
      </c>
      <c r="R141" s="7">
        <f t="shared" si="141"/>
        <v>500</v>
      </c>
      <c r="S141" t="str">
        <f t="shared" si="142"/>
        <v>film &amp; video</v>
      </c>
      <c r="T141" t="str">
        <f t="shared" si="143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ref="K142:L142" si="154">(J142/60/60/24)+DATE(1970,1,1)</f>
        <v>42053.198287037041</v>
      </c>
      <c r="L142" s="11">
        <f t="shared" si="139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140"/>
        <v>0</v>
      </c>
      <c r="R142" s="7">
        <f t="shared" si="141"/>
        <v>0</v>
      </c>
      <c r="S142" t="str">
        <f t="shared" si="142"/>
        <v>film &amp; video</v>
      </c>
      <c r="T142" t="str">
        <f t="shared" si="143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ref="K143:L143" si="155">(J143/60/60/24)+DATE(1970,1,1)</f>
        <v>42110.153043981481</v>
      </c>
      <c r="L143" s="11">
        <f t="shared" si="13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40"/>
        <v>10.775</v>
      </c>
      <c r="R143" s="7">
        <f t="shared" si="141"/>
        <v>46.178571428571431</v>
      </c>
      <c r="S143" t="str">
        <f t="shared" si="142"/>
        <v>film &amp; video</v>
      </c>
      <c r="T143" t="str">
        <f t="shared" si="143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ref="K144:L144" si="156">(J144/60/60/24)+DATE(1970,1,1)</f>
        <v>41938.893263888887</v>
      </c>
      <c r="L144" s="11">
        <f t="shared" si="13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40"/>
        <v>0.33333333333333337</v>
      </c>
      <c r="R144" s="7">
        <f t="shared" si="141"/>
        <v>10</v>
      </c>
      <c r="S144" t="str">
        <f t="shared" si="142"/>
        <v>film &amp; video</v>
      </c>
      <c r="T144" t="str">
        <f t="shared" si="143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ref="K145:L145" si="157">(J145/60/60/24)+DATE(1970,1,1)</f>
        <v>42559.064143518524</v>
      </c>
      <c r="L145" s="11">
        <f t="shared" si="13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140"/>
        <v>0</v>
      </c>
      <c r="R145" s="7">
        <f t="shared" si="141"/>
        <v>0</v>
      </c>
      <c r="S145" t="str">
        <f t="shared" si="142"/>
        <v>film &amp; video</v>
      </c>
      <c r="T145" t="str">
        <f t="shared" si="143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ref="K146:L146" si="158">(J146/60/60/24)+DATE(1970,1,1)</f>
        <v>42047.762407407412</v>
      </c>
      <c r="L146" s="11">
        <f t="shared" si="13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140"/>
        <v>27.6</v>
      </c>
      <c r="R146" s="7">
        <f t="shared" si="141"/>
        <v>55.945945945945944</v>
      </c>
      <c r="S146" t="str">
        <f t="shared" si="142"/>
        <v>film &amp; video</v>
      </c>
      <c r="T146" t="str">
        <f t="shared" si="143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ref="K147:L147" si="159">(J147/60/60/24)+DATE(1970,1,1)</f>
        <v>42200.542268518519</v>
      </c>
      <c r="L147" s="11">
        <f t="shared" si="13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40"/>
        <v>7.5111111111111111</v>
      </c>
      <c r="R147" s="7">
        <f t="shared" si="141"/>
        <v>37.555555555555557</v>
      </c>
      <c r="S147" t="str">
        <f t="shared" si="142"/>
        <v>film &amp; video</v>
      </c>
      <c r="T147" t="str">
        <f t="shared" si="143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ref="K148:L148" si="160">(J148/60/60/24)+DATE(1970,1,1)</f>
        <v>42693.016180555554</v>
      </c>
      <c r="L148" s="11">
        <f t="shared" si="13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40"/>
        <v>0.57499999999999996</v>
      </c>
      <c r="R148" s="7">
        <f t="shared" si="141"/>
        <v>38.333333333333336</v>
      </c>
      <c r="S148" t="str">
        <f t="shared" si="142"/>
        <v>film &amp; video</v>
      </c>
      <c r="T148" t="str">
        <f t="shared" si="143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ref="K149:L149" si="161">(J149/60/60/24)+DATE(1970,1,1)</f>
        <v>41969.767824074079</v>
      </c>
      <c r="L149" s="11">
        <f t="shared" si="13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140"/>
        <v>0</v>
      </c>
      <c r="R149" s="7">
        <f t="shared" si="141"/>
        <v>0</v>
      </c>
      <c r="S149" t="str">
        <f t="shared" si="142"/>
        <v>film &amp; video</v>
      </c>
      <c r="T149" t="str">
        <f t="shared" si="143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ref="K150:L150" si="162">(J150/60/60/24)+DATE(1970,1,1)</f>
        <v>42397.281666666662</v>
      </c>
      <c r="L150" s="11">
        <f t="shared" si="13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40"/>
        <v>0.08</v>
      </c>
      <c r="R150" s="7">
        <f t="shared" si="141"/>
        <v>20</v>
      </c>
      <c r="S150" t="str">
        <f t="shared" si="142"/>
        <v>film &amp; video</v>
      </c>
      <c r="T150" t="str">
        <f t="shared" si="143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ref="K151:L151" si="163">(J151/60/60/24)+DATE(1970,1,1)</f>
        <v>41968.172106481477</v>
      </c>
      <c r="L151" s="11">
        <f t="shared" si="13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140"/>
        <v>0.91999999999999993</v>
      </c>
      <c r="R151" s="7">
        <f t="shared" si="141"/>
        <v>15.333333333333334</v>
      </c>
      <c r="S151" t="str">
        <f t="shared" si="142"/>
        <v>film &amp; video</v>
      </c>
      <c r="T151" t="str">
        <f t="shared" si="143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ref="K152:L152" si="164">(J152/60/60/24)+DATE(1970,1,1)</f>
        <v>42090.161828703705</v>
      </c>
      <c r="L152" s="11">
        <f t="shared" si="13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40"/>
        <v>23.163076923076922</v>
      </c>
      <c r="R152" s="7">
        <f t="shared" si="141"/>
        <v>449.43283582089555</v>
      </c>
      <c r="S152" t="str">
        <f t="shared" si="142"/>
        <v>film &amp; video</v>
      </c>
      <c r="T152" t="str">
        <f t="shared" si="143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ref="K153:L153" si="165">(J153/60/60/24)+DATE(1970,1,1)</f>
        <v>42113.550821759258</v>
      </c>
      <c r="L153" s="11">
        <f t="shared" si="13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40"/>
        <v>5.5999999999999994E-2</v>
      </c>
      <c r="R153" s="7">
        <f t="shared" si="141"/>
        <v>28</v>
      </c>
      <c r="S153" t="str">
        <f t="shared" si="142"/>
        <v>film &amp; video</v>
      </c>
      <c r="T153" t="str">
        <f t="shared" si="143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ref="K154:L154" si="166">(J154/60/60/24)+DATE(1970,1,1)</f>
        <v>41875.077546296299</v>
      </c>
      <c r="L154" s="11">
        <f t="shared" si="13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40"/>
        <v>7.8947368421052634E-3</v>
      </c>
      <c r="R154" s="7">
        <f t="shared" si="141"/>
        <v>15</v>
      </c>
      <c r="S154" t="str">
        <f t="shared" si="142"/>
        <v>film &amp; video</v>
      </c>
      <c r="T154" t="str">
        <f t="shared" si="143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ref="K155:L155" si="167">(J155/60/60/24)+DATE(1970,1,1)</f>
        <v>41933.586157407408</v>
      </c>
      <c r="L155" s="11">
        <f t="shared" si="13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140"/>
        <v>0.71799999999999997</v>
      </c>
      <c r="R155" s="7">
        <f t="shared" si="141"/>
        <v>35.9</v>
      </c>
      <c r="S155" t="str">
        <f t="shared" si="142"/>
        <v>film &amp; video</v>
      </c>
      <c r="T155" t="str">
        <f t="shared" si="143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ref="K156:L156" si="168">(J156/60/60/24)+DATE(1970,1,1)</f>
        <v>42115.547395833331</v>
      </c>
      <c r="L156" s="11">
        <f t="shared" si="13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40"/>
        <v>2.666666666666667</v>
      </c>
      <c r="R156" s="7">
        <f t="shared" si="141"/>
        <v>13.333333333333334</v>
      </c>
      <c r="S156" t="str">
        <f t="shared" si="142"/>
        <v>film &amp; video</v>
      </c>
      <c r="T156" t="str">
        <f t="shared" si="143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ref="K157:L157" si="169">(J157/60/60/24)+DATE(1970,1,1)</f>
        <v>42168.559432870374</v>
      </c>
      <c r="L157" s="11">
        <f t="shared" si="13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40"/>
        <v>6.0000000000000001E-3</v>
      </c>
      <c r="R157" s="7">
        <f t="shared" si="141"/>
        <v>20.25</v>
      </c>
      <c r="S157" t="str">
        <f t="shared" si="142"/>
        <v>film &amp; video</v>
      </c>
      <c r="T157" t="str">
        <f t="shared" si="143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ref="K158:L158" si="170">(J158/60/60/24)+DATE(1970,1,1)</f>
        <v>41794.124953703707</v>
      </c>
      <c r="L158" s="11">
        <f t="shared" si="13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40"/>
        <v>5.0999999999999996</v>
      </c>
      <c r="R158" s="7">
        <f t="shared" si="141"/>
        <v>119</v>
      </c>
      <c r="S158" t="str">
        <f t="shared" si="142"/>
        <v>film &amp; video</v>
      </c>
      <c r="T158" t="str">
        <f t="shared" si="143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ref="K159:L159" si="171">(J159/60/60/24)+DATE(1970,1,1)</f>
        <v>42396.911712962959</v>
      </c>
      <c r="L159" s="11">
        <f t="shared" si="13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40"/>
        <v>0.26711185308848079</v>
      </c>
      <c r="R159" s="7">
        <f t="shared" si="141"/>
        <v>4</v>
      </c>
      <c r="S159" t="str">
        <f t="shared" si="142"/>
        <v>film &amp; video</v>
      </c>
      <c r="T159" t="str">
        <f t="shared" si="143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ref="K160:L160" si="172">(J160/60/60/24)+DATE(1970,1,1)</f>
        <v>41904.07671296296</v>
      </c>
      <c r="L160" s="11">
        <f t="shared" si="139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40"/>
        <v>0</v>
      </c>
      <c r="R160" s="7">
        <f t="shared" si="141"/>
        <v>0</v>
      </c>
      <c r="S160" t="str">
        <f t="shared" si="142"/>
        <v>film &amp; video</v>
      </c>
      <c r="T160" t="str">
        <f t="shared" si="143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ref="K161:L161" si="173">(J161/60/60/24)+DATE(1970,1,1)</f>
        <v>42514.434548611112</v>
      </c>
      <c r="L161" s="11">
        <f t="shared" si="13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40"/>
        <v>2E-3</v>
      </c>
      <c r="R161" s="7">
        <f t="shared" si="141"/>
        <v>10</v>
      </c>
      <c r="S161" t="str">
        <f t="shared" si="142"/>
        <v>film &amp; video</v>
      </c>
      <c r="T161" t="str">
        <f t="shared" si="143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ref="K162:L162" si="174">(J162/60/60/24)+DATE(1970,1,1)</f>
        <v>42171.913090277783</v>
      </c>
      <c r="L162" s="11">
        <f t="shared" si="13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40"/>
        <v>0</v>
      </c>
      <c r="R162" s="7">
        <f t="shared" si="141"/>
        <v>0</v>
      </c>
      <c r="S162" t="str">
        <f t="shared" si="142"/>
        <v>film &amp; video</v>
      </c>
      <c r="T162" t="str">
        <f t="shared" si="143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ref="K163:L163" si="175">(J163/60/60/24)+DATE(1970,1,1)</f>
        <v>41792.687442129631</v>
      </c>
      <c r="L163" s="11">
        <f t="shared" si="13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40"/>
        <v>0.01</v>
      </c>
      <c r="R163" s="7">
        <f t="shared" si="141"/>
        <v>5</v>
      </c>
      <c r="S163" t="str">
        <f t="shared" si="142"/>
        <v>film &amp; video</v>
      </c>
      <c r="T163" t="str">
        <f t="shared" si="143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ref="K164:L164" si="176">(J164/60/60/24)+DATE(1970,1,1)</f>
        <v>41835.126805555556</v>
      </c>
      <c r="L164" s="11">
        <f t="shared" si="13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140"/>
        <v>15.535714285714286</v>
      </c>
      <c r="R164" s="7">
        <f t="shared" si="141"/>
        <v>43.5</v>
      </c>
      <c r="S164" t="str">
        <f t="shared" si="142"/>
        <v>film &amp; video</v>
      </c>
      <c r="T164" t="str">
        <f t="shared" si="143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ref="K165:L165" si="177">(J165/60/60/24)+DATE(1970,1,1)</f>
        <v>42243.961273148147</v>
      </c>
      <c r="L165" s="11">
        <f t="shared" si="139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140"/>
        <v>0</v>
      </c>
      <c r="R165" s="7">
        <f t="shared" si="141"/>
        <v>0</v>
      </c>
      <c r="S165" t="str">
        <f t="shared" si="142"/>
        <v>film &amp; video</v>
      </c>
      <c r="T165" t="str">
        <f t="shared" si="143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ref="K166:L166" si="178">(J166/60/60/24)+DATE(1970,1,1)</f>
        <v>41841.762743055559</v>
      </c>
      <c r="L166" s="11">
        <f t="shared" si="13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40"/>
        <v>0.53333333333333333</v>
      </c>
      <c r="R166" s="7">
        <f t="shared" si="141"/>
        <v>91.428571428571431</v>
      </c>
      <c r="S166" t="str">
        <f t="shared" si="142"/>
        <v>film &amp; video</v>
      </c>
      <c r="T166" t="str">
        <f t="shared" si="143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ref="K167:L167" si="179">(J167/60/60/24)+DATE(1970,1,1)</f>
        <v>42351.658842592587</v>
      </c>
      <c r="L167" s="11">
        <f t="shared" si="13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40"/>
        <v>0</v>
      </c>
      <c r="R167" s="7">
        <f t="shared" si="141"/>
        <v>0</v>
      </c>
      <c r="S167" t="str">
        <f t="shared" si="142"/>
        <v>film &amp; video</v>
      </c>
      <c r="T167" t="str">
        <f t="shared" si="143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ref="K168:L168" si="180">(J168/60/60/24)+DATE(1970,1,1)</f>
        <v>42721.075949074075</v>
      </c>
      <c r="L168" s="11">
        <f t="shared" si="13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40"/>
        <v>60</v>
      </c>
      <c r="R168" s="7">
        <f t="shared" si="141"/>
        <v>3000</v>
      </c>
      <c r="S168" t="str">
        <f t="shared" si="142"/>
        <v>film &amp; video</v>
      </c>
      <c r="T168" t="str">
        <f t="shared" si="143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ref="K169:L169" si="181">(J169/60/60/24)+DATE(1970,1,1)</f>
        <v>42160.927488425921</v>
      </c>
      <c r="L169" s="11">
        <f t="shared" si="13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40"/>
        <v>0.01</v>
      </c>
      <c r="R169" s="7">
        <f t="shared" si="141"/>
        <v>5.5</v>
      </c>
      <c r="S169" t="str">
        <f t="shared" si="142"/>
        <v>film &amp; video</v>
      </c>
      <c r="T169" t="str">
        <f t="shared" si="143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ref="K170:L170" si="182">(J170/60/60/24)+DATE(1970,1,1)</f>
        <v>42052.83530092593</v>
      </c>
      <c r="L170" s="11">
        <f t="shared" si="13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140"/>
        <v>4.0625</v>
      </c>
      <c r="R170" s="7">
        <f t="shared" si="141"/>
        <v>108.33333333333333</v>
      </c>
      <c r="S170" t="str">
        <f t="shared" si="142"/>
        <v>film &amp; video</v>
      </c>
      <c r="T170" t="str">
        <f t="shared" si="143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ref="K171:L171" si="183">(J171/60/60/24)+DATE(1970,1,1)</f>
        <v>41900.505312499998</v>
      </c>
      <c r="L171" s="11">
        <f t="shared" si="13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40"/>
        <v>22.400000000000002</v>
      </c>
      <c r="R171" s="7">
        <f t="shared" si="141"/>
        <v>56</v>
      </c>
      <c r="S171" t="str">
        <f t="shared" si="142"/>
        <v>film &amp; video</v>
      </c>
      <c r="T171" t="str">
        <f t="shared" si="143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ref="K172:L172" si="184">(J172/60/60/24)+DATE(1970,1,1)</f>
        <v>42216.977812500001</v>
      </c>
      <c r="L172" s="11">
        <f t="shared" si="13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140"/>
        <v>3.25</v>
      </c>
      <c r="R172" s="7">
        <f t="shared" si="141"/>
        <v>32.5</v>
      </c>
      <c r="S172" t="str">
        <f t="shared" si="142"/>
        <v>film &amp; video</v>
      </c>
      <c r="T172" t="str">
        <f t="shared" si="143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ref="K173:L173" si="185">(J173/60/60/24)+DATE(1970,1,1)</f>
        <v>42534.180717592593</v>
      </c>
      <c r="L173" s="11">
        <f t="shared" si="13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40"/>
        <v>2E-3</v>
      </c>
      <c r="R173" s="7">
        <f t="shared" si="141"/>
        <v>1</v>
      </c>
      <c r="S173" t="str">
        <f t="shared" si="142"/>
        <v>film &amp; video</v>
      </c>
      <c r="T173" t="str">
        <f t="shared" si="143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ref="K174:L174" si="186">(J174/60/60/24)+DATE(1970,1,1)</f>
        <v>42047.394942129627</v>
      </c>
      <c r="L174" s="11">
        <f t="shared" si="13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140"/>
        <v>0</v>
      </c>
      <c r="R174" s="7">
        <f t="shared" si="141"/>
        <v>0</v>
      </c>
      <c r="S174" t="str">
        <f t="shared" si="142"/>
        <v>film &amp; video</v>
      </c>
      <c r="T174" t="str">
        <f t="shared" si="143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ref="K175:L175" si="187">(J175/60/60/24)+DATE(1970,1,1)</f>
        <v>42033.573009259257</v>
      </c>
      <c r="L175" s="11">
        <f t="shared" si="13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40"/>
        <v>0</v>
      </c>
      <c r="R175" s="7">
        <f t="shared" si="141"/>
        <v>0</v>
      </c>
      <c r="S175" t="str">
        <f t="shared" si="142"/>
        <v>film &amp; video</v>
      </c>
      <c r="T175" t="str">
        <f t="shared" si="143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ref="K176:L176" si="188">(J176/60/60/24)+DATE(1970,1,1)</f>
        <v>42072.758981481486</v>
      </c>
      <c r="L176" s="11">
        <f t="shared" si="13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40"/>
        <v>0</v>
      </c>
      <c r="R176" s="7">
        <f t="shared" si="141"/>
        <v>0</v>
      </c>
      <c r="S176" t="str">
        <f t="shared" si="142"/>
        <v>film &amp; video</v>
      </c>
      <c r="T176" t="str">
        <f t="shared" si="143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ref="K177:L177" si="189">(J177/60/60/24)+DATE(1970,1,1)</f>
        <v>41855.777905092589</v>
      </c>
      <c r="L177" s="11">
        <f t="shared" si="13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40"/>
        <v>6.4850000000000003</v>
      </c>
      <c r="R177" s="7">
        <f t="shared" si="141"/>
        <v>49.884615384615387</v>
      </c>
      <c r="S177" t="str">
        <f t="shared" si="142"/>
        <v>film &amp; video</v>
      </c>
      <c r="T177" t="str">
        <f t="shared" si="143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ref="K178:L178" si="190">(J178/60/60/24)+DATE(1970,1,1)</f>
        <v>42191.824062500003</v>
      </c>
      <c r="L178" s="11">
        <f t="shared" si="13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40"/>
        <v>0</v>
      </c>
      <c r="R178" s="7">
        <f t="shared" si="141"/>
        <v>0</v>
      </c>
      <c r="S178" t="str">
        <f t="shared" si="142"/>
        <v>film &amp; video</v>
      </c>
      <c r="T178" t="str">
        <f t="shared" si="143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ref="K179:L179" si="191">(J179/60/60/24)+DATE(1970,1,1)</f>
        <v>42070.047754629632</v>
      </c>
      <c r="L179" s="11">
        <f t="shared" si="139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40"/>
        <v>40</v>
      </c>
      <c r="R179" s="7">
        <f t="shared" si="141"/>
        <v>25.714285714285715</v>
      </c>
      <c r="S179" t="str">
        <f t="shared" si="142"/>
        <v>film &amp; video</v>
      </c>
      <c r="T179" t="str">
        <f t="shared" si="143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ref="K180:L180" si="192">(J180/60/60/24)+DATE(1970,1,1)</f>
        <v>42304.955381944441</v>
      </c>
      <c r="L180" s="11">
        <f t="shared" si="13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140"/>
        <v>0</v>
      </c>
      <c r="R180" s="7">
        <f t="shared" si="141"/>
        <v>0</v>
      </c>
      <c r="S180" t="str">
        <f t="shared" si="142"/>
        <v>film &amp; video</v>
      </c>
      <c r="T180" t="str">
        <f t="shared" si="143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ref="K181:L181" si="193">(J181/60/60/24)+DATE(1970,1,1)</f>
        <v>42403.080497685187</v>
      </c>
      <c r="L181" s="11">
        <f t="shared" si="13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40"/>
        <v>20</v>
      </c>
      <c r="R181" s="7">
        <f t="shared" si="141"/>
        <v>100</v>
      </c>
      <c r="S181" t="str">
        <f t="shared" si="142"/>
        <v>film &amp; video</v>
      </c>
      <c r="T181" t="str">
        <f t="shared" si="143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ref="K182:L182" si="194">(J182/60/60/24)+DATE(1970,1,1)</f>
        <v>42067.991238425922</v>
      </c>
      <c r="L182" s="11">
        <f t="shared" si="13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140"/>
        <v>33.416666666666664</v>
      </c>
      <c r="R182" s="7">
        <f t="shared" si="141"/>
        <v>30.846153846153847</v>
      </c>
      <c r="S182" t="str">
        <f t="shared" si="142"/>
        <v>film &amp; video</v>
      </c>
      <c r="T182" t="str">
        <f t="shared" si="143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ref="K183:L183" si="195">(J183/60/60/24)+DATE(1970,1,1)</f>
        <v>42147.741840277777</v>
      </c>
      <c r="L183" s="11">
        <f t="shared" si="13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40"/>
        <v>21.092608822670172</v>
      </c>
      <c r="R183" s="7">
        <f t="shared" si="141"/>
        <v>180.5</v>
      </c>
      <c r="S183" t="str">
        <f t="shared" si="142"/>
        <v>film &amp; video</v>
      </c>
      <c r="T183" t="str">
        <f t="shared" si="143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ref="K184:L184" si="196">(J184/60/60/24)+DATE(1970,1,1)</f>
        <v>42712.011944444443</v>
      </c>
      <c r="L184" s="11">
        <f t="shared" si="13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40"/>
        <v>0</v>
      </c>
      <c r="R184" s="7">
        <f t="shared" si="141"/>
        <v>0</v>
      </c>
      <c r="S184" t="str">
        <f t="shared" si="142"/>
        <v>film &amp; video</v>
      </c>
      <c r="T184" t="str">
        <f t="shared" si="143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ref="K185:L185" si="197">(J185/60/60/24)+DATE(1970,1,1)</f>
        <v>41939.810300925928</v>
      </c>
      <c r="L185" s="11">
        <f t="shared" si="13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40"/>
        <v>35.856000000000002</v>
      </c>
      <c r="R185" s="7">
        <f t="shared" si="141"/>
        <v>373.5</v>
      </c>
      <c r="S185" t="str">
        <f t="shared" si="142"/>
        <v>film &amp; video</v>
      </c>
      <c r="T185" t="str">
        <f t="shared" si="143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ref="K186:L186" si="198">(J186/60/60/24)+DATE(1970,1,1)</f>
        <v>41825.791226851856</v>
      </c>
      <c r="L186" s="11">
        <f t="shared" si="13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140"/>
        <v>3.4000000000000004</v>
      </c>
      <c r="R186" s="7">
        <f t="shared" si="141"/>
        <v>25.5</v>
      </c>
      <c r="S186" t="str">
        <f t="shared" si="142"/>
        <v>film &amp; video</v>
      </c>
      <c r="T186" t="str">
        <f t="shared" si="143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ref="K187:L187" si="199">(J187/60/60/24)+DATE(1970,1,1)</f>
        <v>42570.91133101852</v>
      </c>
      <c r="L187" s="11">
        <f t="shared" si="13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40"/>
        <v>5.5</v>
      </c>
      <c r="R187" s="7">
        <f t="shared" si="141"/>
        <v>220</v>
      </c>
      <c r="S187" t="str">
        <f t="shared" si="142"/>
        <v>film &amp; video</v>
      </c>
      <c r="T187" t="str">
        <f t="shared" si="143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ref="K188:L188" si="200">(J188/60/60/24)+DATE(1970,1,1)</f>
        <v>42767.812893518523</v>
      </c>
      <c r="L188" s="11">
        <f t="shared" si="13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140"/>
        <v>0</v>
      </c>
      <c r="R188" s="7">
        <f t="shared" si="141"/>
        <v>0</v>
      </c>
      <c r="S188" t="str">
        <f t="shared" si="142"/>
        <v>film &amp; video</v>
      </c>
      <c r="T188" t="str">
        <f t="shared" si="143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ref="K189:L189" si="201">(J189/60/60/24)+DATE(1970,1,1)</f>
        <v>42182.234456018516</v>
      </c>
      <c r="L189" s="11">
        <f t="shared" si="13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140"/>
        <v>16</v>
      </c>
      <c r="R189" s="7">
        <f t="shared" si="141"/>
        <v>160</v>
      </c>
      <c r="S189" t="str">
        <f t="shared" si="142"/>
        <v>film &amp; video</v>
      </c>
      <c r="T189" t="str">
        <f t="shared" si="143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ref="K190:L190" si="202">(J190/60/60/24)+DATE(1970,1,1)</f>
        <v>41857.18304398148</v>
      </c>
      <c r="L190" s="11">
        <f t="shared" si="139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40"/>
        <v>0</v>
      </c>
      <c r="R190" s="7">
        <f t="shared" si="141"/>
        <v>0</v>
      </c>
      <c r="S190" t="str">
        <f t="shared" si="142"/>
        <v>film &amp; video</v>
      </c>
      <c r="T190" t="str">
        <f t="shared" si="143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ref="K191:L191" si="203">(J191/60/60/24)+DATE(1970,1,1)</f>
        <v>42556.690706018519</v>
      </c>
      <c r="L191" s="11">
        <f t="shared" si="13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40"/>
        <v>6.8999999999999992E-2</v>
      </c>
      <c r="R191" s="7">
        <f t="shared" si="141"/>
        <v>69</v>
      </c>
      <c r="S191" t="str">
        <f t="shared" si="142"/>
        <v>film &amp; video</v>
      </c>
      <c r="T191" t="str">
        <f t="shared" si="143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ref="K192:L192" si="204">(J192/60/60/24)+DATE(1970,1,1)</f>
        <v>42527.650995370372</v>
      </c>
      <c r="L192" s="11">
        <f t="shared" si="13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40"/>
        <v>0.41666666666666669</v>
      </c>
      <c r="R192" s="7">
        <f t="shared" si="141"/>
        <v>50</v>
      </c>
      <c r="S192" t="str">
        <f t="shared" si="142"/>
        <v>film &amp; video</v>
      </c>
      <c r="T192" t="str">
        <f t="shared" si="143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ref="K193:L193" si="205">(J193/60/60/24)+DATE(1970,1,1)</f>
        <v>42239.441412037035</v>
      </c>
      <c r="L193" s="11">
        <f t="shared" si="13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40"/>
        <v>5</v>
      </c>
      <c r="R193" s="7">
        <f t="shared" si="141"/>
        <v>83.333333333333329</v>
      </c>
      <c r="S193" t="str">
        <f t="shared" si="142"/>
        <v>film &amp; video</v>
      </c>
      <c r="T193" t="str">
        <f t="shared" si="143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ref="K194:L194" si="206">(J194/60/60/24)+DATE(1970,1,1)</f>
        <v>41899.792037037041</v>
      </c>
      <c r="L194" s="11">
        <f t="shared" si="13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40"/>
        <v>1.6999999999999999E-3</v>
      </c>
      <c r="R194" s="7">
        <f t="shared" si="141"/>
        <v>5.666666666666667</v>
      </c>
      <c r="S194" t="str">
        <f t="shared" si="142"/>
        <v>film &amp; video</v>
      </c>
      <c r="T194" t="str">
        <f t="shared" si="143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ref="K195:L195" si="207">(J195/60/60/24)+DATE(1970,1,1)</f>
        <v>41911.934791666667</v>
      </c>
      <c r="L195" s="11">
        <f t="shared" ref="L195:L258" si="208">(I195/60/60/24)+DATE(1970,1,1)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09">(E195/D195)*100</f>
        <v>0</v>
      </c>
      <c r="R195" s="7">
        <f t="shared" ref="R195:R258" si="210">IFERROR(E195/N195, 0)</f>
        <v>0</v>
      </c>
      <c r="S195" t="str">
        <f t="shared" ref="S195:S258" si="211">LEFT(P195, SEARCH("/", P195,1)-1)</f>
        <v>film &amp; video</v>
      </c>
      <c r="T195" t="str">
        <f t="shared" ref="T195:T258" si="212">RIGHT(P195,LEN(P195)-SEARCH("/",P195,SEARCH("/",P195)))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ref="K196:L196" si="213">(J196/60/60/24)+DATE(1970,1,1)</f>
        <v>42375.996886574074</v>
      </c>
      <c r="L196" s="11">
        <f t="shared" si="208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09"/>
        <v>0.12</v>
      </c>
      <c r="R196" s="7">
        <f t="shared" si="210"/>
        <v>1</v>
      </c>
      <c r="S196" t="str">
        <f t="shared" si="211"/>
        <v>film &amp; video</v>
      </c>
      <c r="T196" t="str">
        <f t="shared" si="212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ref="K197:L197" si="214">(J197/60/60/24)+DATE(1970,1,1)</f>
        <v>42135.67050925926</v>
      </c>
      <c r="L197" s="11">
        <f t="shared" si="208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09"/>
        <v>0</v>
      </c>
      <c r="R197" s="7">
        <f t="shared" si="210"/>
        <v>0</v>
      </c>
      <c r="S197" t="str">
        <f t="shared" si="211"/>
        <v>film &amp; video</v>
      </c>
      <c r="T197" t="str">
        <f t="shared" si="212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ref="K198:L198" si="215">(J198/60/60/24)+DATE(1970,1,1)</f>
        <v>42259.542800925927</v>
      </c>
      <c r="L198" s="11">
        <f t="shared" si="208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209"/>
        <v>41.857142857142861</v>
      </c>
      <c r="R198" s="7">
        <f t="shared" si="210"/>
        <v>77.10526315789474</v>
      </c>
      <c r="S198" t="str">
        <f t="shared" si="211"/>
        <v>film &amp; video</v>
      </c>
      <c r="T198" t="str">
        <f t="shared" si="212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ref="K199:L199" si="216">(J199/60/60/24)+DATE(1970,1,1)</f>
        <v>42741.848379629635</v>
      </c>
      <c r="L199" s="11">
        <f t="shared" si="208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209"/>
        <v>10.48</v>
      </c>
      <c r="R199" s="7">
        <f t="shared" si="210"/>
        <v>32.75</v>
      </c>
      <c r="S199" t="str">
        <f t="shared" si="211"/>
        <v>film &amp; video</v>
      </c>
      <c r="T199" t="str">
        <f t="shared" si="212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ref="K200:L200" si="217">(J200/60/60/24)+DATE(1970,1,1)</f>
        <v>41887.383356481485</v>
      </c>
      <c r="L200" s="11">
        <f t="shared" si="208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09"/>
        <v>1.1159999999999999</v>
      </c>
      <c r="R200" s="7">
        <f t="shared" si="210"/>
        <v>46.5</v>
      </c>
      <c r="S200" t="str">
        <f t="shared" si="211"/>
        <v>film &amp; video</v>
      </c>
      <c r="T200" t="str">
        <f t="shared" si="212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ref="K201:L201" si="218">(J201/60/60/24)+DATE(1970,1,1)</f>
        <v>42584.123865740738</v>
      </c>
      <c r="L201" s="11">
        <f t="shared" si="208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09"/>
        <v>0</v>
      </c>
      <c r="R201" s="7">
        <f t="shared" si="210"/>
        <v>0</v>
      </c>
      <c r="S201" t="str">
        <f t="shared" si="211"/>
        <v>film &amp; video</v>
      </c>
      <c r="T201" t="str">
        <f t="shared" si="212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ref="K202:L202" si="219">(J202/60/60/24)+DATE(1970,1,1)</f>
        <v>41867.083368055559</v>
      </c>
      <c r="L202" s="11">
        <f t="shared" si="208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09"/>
        <v>26.192500000000003</v>
      </c>
      <c r="R202" s="7">
        <f t="shared" si="210"/>
        <v>87.308333333333337</v>
      </c>
      <c r="S202" t="str">
        <f t="shared" si="211"/>
        <v>film &amp; video</v>
      </c>
      <c r="T202" t="str">
        <f t="shared" si="212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ref="K203:L203" si="220">(J203/60/60/24)+DATE(1970,1,1)</f>
        <v>42023.818622685183</v>
      </c>
      <c r="L203" s="11">
        <f t="shared" si="208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09"/>
        <v>58.461538461538467</v>
      </c>
      <c r="R203" s="7">
        <f t="shared" si="210"/>
        <v>54.285714285714285</v>
      </c>
      <c r="S203" t="str">
        <f t="shared" si="211"/>
        <v>film &amp; video</v>
      </c>
      <c r="T203" t="str">
        <f t="shared" si="212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ref="K204:L204" si="221">(J204/60/60/24)+DATE(1970,1,1)</f>
        <v>42255.927824074075</v>
      </c>
      <c r="L204" s="11">
        <f t="shared" si="208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209"/>
        <v>0</v>
      </c>
      <c r="R204" s="7">
        <f t="shared" si="210"/>
        <v>0</v>
      </c>
      <c r="S204" t="str">
        <f t="shared" si="211"/>
        <v>film &amp; video</v>
      </c>
      <c r="T204" t="str">
        <f t="shared" si="212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ref="K205:L205" si="222">(J205/60/60/24)+DATE(1970,1,1)</f>
        <v>41973.847962962958</v>
      </c>
      <c r="L205" s="11">
        <f t="shared" si="208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09"/>
        <v>29.84</v>
      </c>
      <c r="R205" s="7">
        <f t="shared" si="210"/>
        <v>93.25</v>
      </c>
      <c r="S205" t="str">
        <f t="shared" si="211"/>
        <v>film &amp; video</v>
      </c>
      <c r="T205" t="str">
        <f t="shared" si="212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ref="K206:L206" si="223">(J206/60/60/24)+DATE(1970,1,1)</f>
        <v>42556.583368055552</v>
      </c>
      <c r="L206" s="11">
        <f t="shared" si="208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09"/>
        <v>50.721666666666664</v>
      </c>
      <c r="R206" s="7">
        <f t="shared" si="210"/>
        <v>117.68368136117556</v>
      </c>
      <c r="S206" t="str">
        <f t="shared" si="211"/>
        <v>film &amp; video</v>
      </c>
      <c r="T206" t="str">
        <f t="shared" si="212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ref="K207:L207" si="224">(J207/60/60/24)+DATE(1970,1,1)</f>
        <v>42248.632199074069</v>
      </c>
      <c r="L207" s="11">
        <f t="shared" si="208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09"/>
        <v>16.25</v>
      </c>
      <c r="R207" s="7">
        <f t="shared" si="210"/>
        <v>76.470588235294116</v>
      </c>
      <c r="S207" t="str">
        <f t="shared" si="211"/>
        <v>film &amp; video</v>
      </c>
      <c r="T207" t="str">
        <f t="shared" si="212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ref="K208:L208" si="225">(J208/60/60/24)+DATE(1970,1,1)</f>
        <v>42567.004432870366</v>
      </c>
      <c r="L208" s="11">
        <f t="shared" si="208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09"/>
        <v>0</v>
      </c>
      <c r="R208" s="7">
        <f t="shared" si="210"/>
        <v>0</v>
      </c>
      <c r="S208" t="str">
        <f t="shared" si="211"/>
        <v>film &amp; video</v>
      </c>
      <c r="T208" t="str">
        <f t="shared" si="212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ref="K209:L209" si="226">(J209/60/60/24)+DATE(1970,1,1)</f>
        <v>41978.197199074071</v>
      </c>
      <c r="L209" s="11">
        <f t="shared" si="208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09"/>
        <v>15.214285714285714</v>
      </c>
      <c r="R209" s="7">
        <f t="shared" si="210"/>
        <v>163.84615384615384</v>
      </c>
      <c r="S209" t="str">
        <f t="shared" si="211"/>
        <v>film &amp; video</v>
      </c>
      <c r="T209" t="str">
        <f t="shared" si="212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ref="K210:L210" si="227">(J210/60/60/24)+DATE(1970,1,1)</f>
        <v>41959.369988425926</v>
      </c>
      <c r="L210" s="11">
        <f t="shared" si="208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09"/>
        <v>0</v>
      </c>
      <c r="R210" s="7">
        <f t="shared" si="210"/>
        <v>0</v>
      </c>
      <c r="S210" t="str">
        <f t="shared" si="211"/>
        <v>film &amp; video</v>
      </c>
      <c r="T210" t="str">
        <f t="shared" si="212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ref="K211:L211" si="228">(J211/60/60/24)+DATE(1970,1,1)</f>
        <v>42165.922858796301</v>
      </c>
      <c r="L211" s="11">
        <f t="shared" si="208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09"/>
        <v>0</v>
      </c>
      <c r="R211" s="7">
        <f t="shared" si="210"/>
        <v>0</v>
      </c>
      <c r="S211" t="str">
        <f t="shared" si="211"/>
        <v>film &amp; video</v>
      </c>
      <c r="T211" t="str">
        <f t="shared" si="212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ref="K212:L212" si="229">(J212/60/60/24)+DATE(1970,1,1)</f>
        <v>42249.064722222218</v>
      </c>
      <c r="L212" s="11">
        <f t="shared" si="208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209"/>
        <v>25.25</v>
      </c>
      <c r="R212" s="7">
        <f t="shared" si="210"/>
        <v>91.818181818181813</v>
      </c>
      <c r="S212" t="str">
        <f t="shared" si="211"/>
        <v>film &amp; video</v>
      </c>
      <c r="T212" t="str">
        <f t="shared" si="212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ref="K213:L213" si="230">(J213/60/60/24)+DATE(1970,1,1)</f>
        <v>42236.159918981488</v>
      </c>
      <c r="L213" s="11">
        <f t="shared" si="208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09"/>
        <v>44.6</v>
      </c>
      <c r="R213" s="7">
        <f t="shared" si="210"/>
        <v>185.83333333333334</v>
      </c>
      <c r="S213" t="str">
        <f t="shared" si="211"/>
        <v>film &amp; video</v>
      </c>
      <c r="T213" t="str">
        <f t="shared" si="212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ref="K214:L214" si="231">(J214/60/60/24)+DATE(1970,1,1)</f>
        <v>42416.881018518514</v>
      </c>
      <c r="L214" s="11">
        <f t="shared" si="208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209"/>
        <v>1.5873015873015872E-2</v>
      </c>
      <c r="R214" s="7">
        <f t="shared" si="210"/>
        <v>1</v>
      </c>
      <c r="S214" t="str">
        <f t="shared" si="211"/>
        <v>film &amp; video</v>
      </c>
      <c r="T214" t="str">
        <f t="shared" si="212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ref="K215:L215" si="232">(J215/60/60/24)+DATE(1970,1,1)</f>
        <v>42202.594293981485</v>
      </c>
      <c r="L215" s="11">
        <f t="shared" si="208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209"/>
        <v>0.04</v>
      </c>
      <c r="R215" s="7">
        <f t="shared" si="210"/>
        <v>20</v>
      </c>
      <c r="S215" t="str">
        <f t="shared" si="211"/>
        <v>film &amp; video</v>
      </c>
      <c r="T215" t="str">
        <f t="shared" si="212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ref="K216:L216" si="233">(J216/60/60/24)+DATE(1970,1,1)</f>
        <v>42009.64061342593</v>
      </c>
      <c r="L216" s="11">
        <f t="shared" si="208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09"/>
        <v>8.0000000000000002E-3</v>
      </c>
      <c r="R216" s="7">
        <f t="shared" si="210"/>
        <v>1</v>
      </c>
      <c r="S216" t="str">
        <f t="shared" si="211"/>
        <v>film &amp; video</v>
      </c>
      <c r="T216" t="str">
        <f t="shared" si="212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ref="K217:L217" si="234">(J217/60/60/24)+DATE(1970,1,1)</f>
        <v>42375.230115740742</v>
      </c>
      <c r="L217" s="11">
        <f t="shared" si="208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209"/>
        <v>0.22727272727272727</v>
      </c>
      <c r="R217" s="7">
        <f t="shared" si="210"/>
        <v>10</v>
      </c>
      <c r="S217" t="str">
        <f t="shared" si="211"/>
        <v>film &amp; video</v>
      </c>
      <c r="T217" t="str">
        <f t="shared" si="212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ref="K218:L218" si="235">(J218/60/60/24)+DATE(1970,1,1)</f>
        <v>42066.958761574075</v>
      </c>
      <c r="L218" s="11">
        <f t="shared" si="208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209"/>
        <v>55.698440000000005</v>
      </c>
      <c r="R218" s="7">
        <f t="shared" si="210"/>
        <v>331.53833333333336</v>
      </c>
      <c r="S218" t="str">
        <f t="shared" si="211"/>
        <v>film &amp; video</v>
      </c>
      <c r="T218" t="str">
        <f t="shared" si="212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ref="K219:L219" si="236">(J219/60/60/24)+DATE(1970,1,1)</f>
        <v>41970.64061342593</v>
      </c>
      <c r="L219" s="11">
        <f t="shared" si="208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09"/>
        <v>11.943</v>
      </c>
      <c r="R219" s="7">
        <f t="shared" si="210"/>
        <v>314.28947368421052</v>
      </c>
      <c r="S219" t="str">
        <f t="shared" si="211"/>
        <v>film &amp; video</v>
      </c>
      <c r="T219" t="str">
        <f t="shared" si="212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ref="K220:L220" si="237">(J220/60/60/24)+DATE(1970,1,1)</f>
        <v>42079.628344907411</v>
      </c>
      <c r="L220" s="11">
        <f t="shared" si="208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09"/>
        <v>2</v>
      </c>
      <c r="R220" s="7">
        <f t="shared" si="210"/>
        <v>100</v>
      </c>
      <c r="S220" t="str">
        <f t="shared" si="211"/>
        <v>film &amp; video</v>
      </c>
      <c r="T220" t="str">
        <f t="shared" si="212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ref="K221:L221" si="238">(J221/60/60/24)+DATE(1970,1,1)</f>
        <v>42429.326678240745</v>
      </c>
      <c r="L221" s="11">
        <f t="shared" si="208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209"/>
        <v>17.630000000000003</v>
      </c>
      <c r="R221" s="7">
        <f t="shared" si="210"/>
        <v>115.98684210526316</v>
      </c>
      <c r="S221" t="str">
        <f t="shared" si="211"/>
        <v>film &amp; video</v>
      </c>
      <c r="T221" t="str">
        <f t="shared" si="212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ref="K222:L222" si="239">(J222/60/60/24)+DATE(1970,1,1)</f>
        <v>42195.643865740742</v>
      </c>
      <c r="L222" s="11">
        <f t="shared" si="208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209"/>
        <v>0.72</v>
      </c>
      <c r="R222" s="7">
        <f t="shared" si="210"/>
        <v>120</v>
      </c>
      <c r="S222" t="str">
        <f t="shared" si="211"/>
        <v>film &amp; video</v>
      </c>
      <c r="T222" t="str">
        <f t="shared" si="212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ref="K223:L223" si="240">(J223/60/60/24)+DATE(1970,1,1)</f>
        <v>42031.837546296301</v>
      </c>
      <c r="L223" s="11">
        <f t="shared" si="208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209"/>
        <v>0</v>
      </c>
      <c r="R223" s="7">
        <f t="shared" si="210"/>
        <v>0</v>
      </c>
      <c r="S223" t="str">
        <f t="shared" si="211"/>
        <v>film &amp; video</v>
      </c>
      <c r="T223" t="str">
        <f t="shared" si="212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ref="K224:L224" si="241">(J224/60/60/24)+DATE(1970,1,1)</f>
        <v>42031.769884259258</v>
      </c>
      <c r="L224" s="11">
        <f t="shared" si="208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209"/>
        <v>13</v>
      </c>
      <c r="R224" s="7">
        <f t="shared" si="210"/>
        <v>65</v>
      </c>
      <c r="S224" t="str">
        <f t="shared" si="211"/>
        <v>film &amp; video</v>
      </c>
      <c r="T224" t="str">
        <f t="shared" si="212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ref="K225:L225" si="242">(J225/60/60/24)+DATE(1970,1,1)</f>
        <v>42482.048032407409</v>
      </c>
      <c r="L225" s="11">
        <f t="shared" si="208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209"/>
        <v>0</v>
      </c>
      <c r="R225" s="7">
        <f t="shared" si="210"/>
        <v>0</v>
      </c>
      <c r="S225" t="str">
        <f t="shared" si="211"/>
        <v>film &amp; video</v>
      </c>
      <c r="T225" t="str">
        <f t="shared" si="212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ref="K226:L226" si="243">(J226/60/60/24)+DATE(1970,1,1)</f>
        <v>42135.235254629632</v>
      </c>
      <c r="L226" s="11">
        <f t="shared" si="208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09"/>
        <v>0</v>
      </c>
      <c r="R226" s="7">
        <f t="shared" si="210"/>
        <v>0</v>
      </c>
      <c r="S226" t="str">
        <f t="shared" si="211"/>
        <v>film &amp; video</v>
      </c>
      <c r="T226" t="str">
        <f t="shared" si="212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ref="K227:L227" si="244">(J227/60/60/24)+DATE(1970,1,1)</f>
        <v>42438.961273148147</v>
      </c>
      <c r="L227" s="11">
        <f t="shared" si="208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209"/>
        <v>0</v>
      </c>
      <c r="R227" s="7">
        <f t="shared" si="210"/>
        <v>0</v>
      </c>
      <c r="S227" t="str">
        <f t="shared" si="211"/>
        <v>film &amp; video</v>
      </c>
      <c r="T227" t="str">
        <f t="shared" si="212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ref="K228:L228" si="245">(J228/60/60/24)+DATE(1970,1,1)</f>
        <v>42106.666018518517</v>
      </c>
      <c r="L228" s="11">
        <f t="shared" si="208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209"/>
        <v>0.86206896551724133</v>
      </c>
      <c r="R228" s="7">
        <f t="shared" si="210"/>
        <v>125</v>
      </c>
      <c r="S228" t="str">
        <f t="shared" si="211"/>
        <v>film &amp; video</v>
      </c>
      <c r="T228" t="str">
        <f t="shared" si="212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ref="K229:L229" si="246">(J229/60/60/24)+DATE(1970,1,1)</f>
        <v>42164.893993055557</v>
      </c>
      <c r="L229" s="11">
        <f t="shared" si="208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09"/>
        <v>0</v>
      </c>
      <c r="R229" s="7">
        <f t="shared" si="210"/>
        <v>0</v>
      </c>
      <c r="S229" t="str">
        <f t="shared" si="211"/>
        <v>film &amp; video</v>
      </c>
      <c r="T229" t="str">
        <f t="shared" si="212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ref="K230:L230" si="247">(J230/60/60/24)+DATE(1970,1,1)</f>
        <v>42096.686400462961</v>
      </c>
      <c r="L230" s="11">
        <f t="shared" si="208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09"/>
        <v>0</v>
      </c>
      <c r="R230" s="7">
        <f t="shared" si="210"/>
        <v>0</v>
      </c>
      <c r="S230" t="str">
        <f t="shared" si="211"/>
        <v>film &amp; video</v>
      </c>
      <c r="T230" t="str">
        <f t="shared" si="212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ref="K231:L231" si="248">(J231/60/60/24)+DATE(1970,1,1)</f>
        <v>42383.933993055558</v>
      </c>
      <c r="L231" s="11">
        <f t="shared" si="208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09"/>
        <v>0</v>
      </c>
      <c r="R231" s="7">
        <f t="shared" si="210"/>
        <v>0</v>
      </c>
      <c r="S231" t="str">
        <f t="shared" si="211"/>
        <v>film &amp; video</v>
      </c>
      <c r="T231" t="str">
        <f t="shared" si="212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ref="K232:L232" si="249">(J232/60/60/24)+DATE(1970,1,1)</f>
        <v>42129.777210648142</v>
      </c>
      <c r="L232" s="11">
        <f t="shared" si="208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09"/>
        <v>0.4</v>
      </c>
      <c r="R232" s="7">
        <f t="shared" si="210"/>
        <v>30</v>
      </c>
      <c r="S232" t="str">
        <f t="shared" si="211"/>
        <v>film &amp; video</v>
      </c>
      <c r="T232" t="str">
        <f t="shared" si="212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ref="K233:L233" si="250">(J233/60/60/24)+DATE(1970,1,1)</f>
        <v>42341.958923611113</v>
      </c>
      <c r="L233" s="11">
        <f t="shared" si="208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09"/>
        <v>0</v>
      </c>
      <c r="R233" s="7">
        <f t="shared" si="210"/>
        <v>0</v>
      </c>
      <c r="S233" t="str">
        <f t="shared" si="211"/>
        <v>film &amp; video</v>
      </c>
      <c r="T233" t="str">
        <f t="shared" si="212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ref="K234:L234" si="251">(J234/60/60/24)+DATE(1970,1,1)</f>
        <v>42032.82576388889</v>
      </c>
      <c r="L234" s="11">
        <f t="shared" si="208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09"/>
        <v>2.75</v>
      </c>
      <c r="R234" s="7">
        <f t="shared" si="210"/>
        <v>15.714285714285714</v>
      </c>
      <c r="S234" t="str">
        <f t="shared" si="211"/>
        <v>film &amp; video</v>
      </c>
      <c r="T234" t="str">
        <f t="shared" si="212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ref="K235:L235" si="252">(J235/60/60/24)+DATE(1970,1,1)</f>
        <v>42612.911712962959</v>
      </c>
      <c r="L235" s="11">
        <f t="shared" si="208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09"/>
        <v>0</v>
      </c>
      <c r="R235" s="7">
        <f t="shared" si="210"/>
        <v>0</v>
      </c>
      <c r="S235" t="str">
        <f t="shared" si="211"/>
        <v>film &amp; video</v>
      </c>
      <c r="T235" t="str">
        <f t="shared" si="212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ref="K236:L236" si="253">(J236/60/60/24)+DATE(1970,1,1)</f>
        <v>42136.035405092596</v>
      </c>
      <c r="L236" s="11">
        <f t="shared" si="208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09"/>
        <v>40.1</v>
      </c>
      <c r="R236" s="7">
        <f t="shared" si="210"/>
        <v>80.2</v>
      </c>
      <c r="S236" t="str">
        <f t="shared" si="211"/>
        <v>film &amp; video</v>
      </c>
      <c r="T236" t="str">
        <f t="shared" si="212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ref="K237:L237" si="254">(J237/60/60/24)+DATE(1970,1,1)</f>
        <v>42164.908530092594</v>
      </c>
      <c r="L237" s="11">
        <f t="shared" si="208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09"/>
        <v>0</v>
      </c>
      <c r="R237" s="7">
        <f t="shared" si="210"/>
        <v>0</v>
      </c>
      <c r="S237" t="str">
        <f t="shared" si="211"/>
        <v>film &amp; video</v>
      </c>
      <c r="T237" t="str">
        <f t="shared" si="212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ref="K238:L238" si="255">(J238/60/60/24)+DATE(1970,1,1)</f>
        <v>42321.08447916666</v>
      </c>
      <c r="L238" s="11">
        <f t="shared" si="208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209"/>
        <v>0</v>
      </c>
      <c r="R238" s="7">
        <f t="shared" si="210"/>
        <v>0</v>
      </c>
      <c r="S238" t="str">
        <f t="shared" si="211"/>
        <v>film &amp; video</v>
      </c>
      <c r="T238" t="str">
        <f t="shared" si="212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ref="K239:L239" si="256">(J239/60/60/24)+DATE(1970,1,1)</f>
        <v>42377.577187499999</v>
      </c>
      <c r="L239" s="11">
        <f t="shared" si="208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09"/>
        <v>0.33333333333333337</v>
      </c>
      <c r="R239" s="7">
        <f t="shared" si="210"/>
        <v>50</v>
      </c>
      <c r="S239" t="str">
        <f t="shared" si="211"/>
        <v>film &amp; video</v>
      </c>
      <c r="T239" t="str">
        <f t="shared" si="212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ref="K240:L240" si="257">(J240/60/60/24)+DATE(1970,1,1)</f>
        <v>42713.962499999994</v>
      </c>
      <c r="L240" s="11">
        <f t="shared" si="208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209"/>
        <v>0</v>
      </c>
      <c r="R240" s="7">
        <f t="shared" si="210"/>
        <v>0</v>
      </c>
      <c r="S240" t="str">
        <f t="shared" si="211"/>
        <v>film &amp; video</v>
      </c>
      <c r="T240" t="str">
        <f t="shared" si="212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ref="K241:L241" si="258">(J241/60/60/24)+DATE(1970,1,1)</f>
        <v>42297.110300925924</v>
      </c>
      <c r="L241" s="11">
        <f t="shared" si="208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209"/>
        <v>25</v>
      </c>
      <c r="R241" s="7">
        <f t="shared" si="210"/>
        <v>50</v>
      </c>
      <c r="S241" t="str">
        <f t="shared" si="211"/>
        <v>film &amp; video</v>
      </c>
      <c r="T241" t="str">
        <f t="shared" si="212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ref="K242:L242" si="259">(J242/60/60/24)+DATE(1970,1,1)</f>
        <v>41354.708460648151</v>
      </c>
      <c r="L242" s="11">
        <f t="shared" si="208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09"/>
        <v>107.63413333333334</v>
      </c>
      <c r="R242" s="7">
        <f t="shared" si="210"/>
        <v>117.84759124087591</v>
      </c>
      <c r="S242" t="str">
        <f t="shared" si="211"/>
        <v>film &amp; video</v>
      </c>
      <c r="T242" t="str">
        <f t="shared" si="212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ref="K243:L243" si="260">(J243/60/60/24)+DATE(1970,1,1)</f>
        <v>41949.697962962964</v>
      </c>
      <c r="L243" s="11">
        <f t="shared" si="208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09"/>
        <v>112.63736263736264</v>
      </c>
      <c r="R243" s="7">
        <f t="shared" si="210"/>
        <v>109.04255319148936</v>
      </c>
      <c r="S243" t="str">
        <f t="shared" si="211"/>
        <v>film &amp; video</v>
      </c>
      <c r="T243" t="str">
        <f t="shared" si="212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ref="K244:L244" si="261">(J244/60/60/24)+DATE(1970,1,1)</f>
        <v>40862.492939814816</v>
      </c>
      <c r="L244" s="11">
        <f t="shared" si="208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09"/>
        <v>113.46153846153845</v>
      </c>
      <c r="R244" s="7">
        <f t="shared" si="210"/>
        <v>73.019801980198025</v>
      </c>
      <c r="S244" t="str">
        <f t="shared" si="211"/>
        <v>film &amp; video</v>
      </c>
      <c r="T244" t="str">
        <f t="shared" si="212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ref="K245:L245" si="262">(J245/60/60/24)+DATE(1970,1,1)</f>
        <v>41662.047500000001</v>
      </c>
      <c r="L245" s="11">
        <f t="shared" si="208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09"/>
        <v>102.592</v>
      </c>
      <c r="R245" s="7">
        <f t="shared" si="210"/>
        <v>78.195121951219505</v>
      </c>
      <c r="S245" t="str">
        <f t="shared" si="211"/>
        <v>film &amp; video</v>
      </c>
      <c r="T245" t="str">
        <f t="shared" si="212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ref="K246:L246" si="263">(J246/60/60/24)+DATE(1970,1,1)</f>
        <v>40213.323599537034</v>
      </c>
      <c r="L246" s="11">
        <f t="shared" si="208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209"/>
        <v>113.75714285714287</v>
      </c>
      <c r="R246" s="7">
        <f t="shared" si="210"/>
        <v>47.398809523809526</v>
      </c>
      <c r="S246" t="str">
        <f t="shared" si="211"/>
        <v>film &amp; video</v>
      </c>
      <c r="T246" t="str">
        <f t="shared" si="212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ref="K247:L247" si="264">(J247/60/60/24)+DATE(1970,1,1)</f>
        <v>41107.053067129629</v>
      </c>
      <c r="L247" s="11">
        <f t="shared" si="208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09"/>
        <v>103.71999999999998</v>
      </c>
      <c r="R247" s="7">
        <f t="shared" si="210"/>
        <v>54.020833333333336</v>
      </c>
      <c r="S247" t="str">
        <f t="shared" si="211"/>
        <v>film &amp; video</v>
      </c>
      <c r="T247" t="str">
        <f t="shared" si="212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ref="K248:L248" si="265">(J248/60/60/24)+DATE(1970,1,1)</f>
        <v>40480.363483796296</v>
      </c>
      <c r="L248" s="11">
        <f t="shared" si="208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209"/>
        <v>305.46000000000004</v>
      </c>
      <c r="R248" s="7">
        <f t="shared" si="210"/>
        <v>68.488789237668158</v>
      </c>
      <c r="S248" t="str">
        <f t="shared" si="211"/>
        <v>film &amp; video</v>
      </c>
      <c r="T248" t="str">
        <f t="shared" si="212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ref="K249:L249" si="266">(J249/60/60/24)+DATE(1970,1,1)</f>
        <v>40430.604328703703</v>
      </c>
      <c r="L249" s="11">
        <f t="shared" si="208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209"/>
        <v>134.1</v>
      </c>
      <c r="R249" s="7">
        <f t="shared" si="210"/>
        <v>108.14516129032258</v>
      </c>
      <c r="S249" t="str">
        <f t="shared" si="211"/>
        <v>film &amp; video</v>
      </c>
      <c r="T249" t="str">
        <f t="shared" si="212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ref="K250:L250" si="267">(J250/60/60/24)+DATE(1970,1,1)</f>
        <v>40870.774409722224</v>
      </c>
      <c r="L250" s="11">
        <f t="shared" si="208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09"/>
        <v>101.33294117647058</v>
      </c>
      <c r="R250" s="7">
        <f t="shared" si="210"/>
        <v>589.95205479452056</v>
      </c>
      <c r="S250" t="str">
        <f t="shared" si="211"/>
        <v>film &amp; video</v>
      </c>
      <c r="T250" t="str">
        <f t="shared" si="212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ref="K251:L251" si="268">(J251/60/60/24)+DATE(1970,1,1)</f>
        <v>40332.923842592594</v>
      </c>
      <c r="L251" s="11">
        <f t="shared" si="208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209"/>
        <v>112.92</v>
      </c>
      <c r="R251" s="7">
        <f t="shared" si="210"/>
        <v>48.051063829787232</v>
      </c>
      <c r="S251" t="str">
        <f t="shared" si="211"/>
        <v>film &amp; video</v>
      </c>
      <c r="T251" t="str">
        <f t="shared" si="212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ref="K252:L252" si="269">(J252/60/60/24)+DATE(1970,1,1)</f>
        <v>41401.565868055557</v>
      </c>
      <c r="L252" s="11">
        <f t="shared" si="208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09"/>
        <v>105.58333333333334</v>
      </c>
      <c r="R252" s="7">
        <f t="shared" si="210"/>
        <v>72.482837528604122</v>
      </c>
      <c r="S252" t="str">
        <f t="shared" si="211"/>
        <v>film &amp; video</v>
      </c>
      <c r="T252" t="str">
        <f t="shared" si="212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ref="K253:L253" si="270">(J253/60/60/24)+DATE(1970,1,1)</f>
        <v>41013.787569444445</v>
      </c>
      <c r="L253" s="11">
        <f t="shared" si="208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209"/>
        <v>125.57142857142858</v>
      </c>
      <c r="R253" s="7">
        <f t="shared" si="210"/>
        <v>57.077922077922075</v>
      </c>
      <c r="S253" t="str">
        <f t="shared" si="211"/>
        <v>film &amp; video</v>
      </c>
      <c r="T253" t="str">
        <f t="shared" si="212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ref="K254:L254" si="271">(J254/60/60/24)+DATE(1970,1,1)</f>
        <v>40266.662708333337</v>
      </c>
      <c r="L254" s="11">
        <f t="shared" si="208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209"/>
        <v>184.56</v>
      </c>
      <c r="R254" s="7">
        <f t="shared" si="210"/>
        <v>85.444444444444443</v>
      </c>
      <c r="S254" t="str">
        <f t="shared" si="211"/>
        <v>film &amp; video</v>
      </c>
      <c r="T254" t="str">
        <f t="shared" si="212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ref="K255:L255" si="272">(J255/60/60/24)+DATE(1970,1,1)</f>
        <v>40924.650868055556</v>
      </c>
      <c r="L255" s="11">
        <f t="shared" si="208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09"/>
        <v>100.73333333333335</v>
      </c>
      <c r="R255" s="7">
        <f t="shared" si="210"/>
        <v>215.85714285714286</v>
      </c>
      <c r="S255" t="str">
        <f t="shared" si="211"/>
        <v>film &amp; video</v>
      </c>
      <c r="T255" t="str">
        <f t="shared" si="212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ref="K256:L256" si="273">(J256/60/60/24)+DATE(1970,1,1)</f>
        <v>42263.952662037031</v>
      </c>
      <c r="L256" s="11">
        <f t="shared" si="208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209"/>
        <v>116.94725</v>
      </c>
      <c r="R256" s="7">
        <f t="shared" si="210"/>
        <v>89.38643312101911</v>
      </c>
      <c r="S256" t="str">
        <f t="shared" si="211"/>
        <v>film &amp; video</v>
      </c>
      <c r="T256" t="str">
        <f t="shared" si="212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ref="K257:L257" si="274">(J257/60/60/24)+DATE(1970,1,1)</f>
        <v>40588.526412037041</v>
      </c>
      <c r="L257" s="11">
        <f t="shared" si="208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209"/>
        <v>106.73325</v>
      </c>
      <c r="R257" s="7">
        <f t="shared" si="210"/>
        <v>45.418404255319146</v>
      </c>
      <c r="S257" t="str">
        <f t="shared" si="211"/>
        <v>film &amp; video</v>
      </c>
      <c r="T257" t="str">
        <f t="shared" si="212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ref="K258:L258" si="275">(J258/60/60/24)+DATE(1970,1,1)</f>
        <v>41319.769293981481</v>
      </c>
      <c r="L258" s="11">
        <f t="shared" si="208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209"/>
        <v>139.1</v>
      </c>
      <c r="R258" s="7">
        <f t="shared" si="210"/>
        <v>65.756363636363631</v>
      </c>
      <c r="S258" t="str">
        <f t="shared" si="211"/>
        <v>film &amp; video</v>
      </c>
      <c r="T258" t="str">
        <f t="shared" si="212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ref="K259:L259" si="276">(J259/60/60/24)+DATE(1970,1,1)</f>
        <v>42479.626875000002</v>
      </c>
      <c r="L259" s="11">
        <f t="shared" ref="L259:L322" si="277">(I259/60/60/24)+DATE(1970,1,1)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78">(E259/D259)*100</f>
        <v>106.72648571428572</v>
      </c>
      <c r="R259" s="7">
        <f t="shared" ref="R259:R322" si="279">IFERROR(E259/N259, 0)</f>
        <v>66.70405357142856</v>
      </c>
      <c r="S259" t="str">
        <f t="shared" ref="S259:S322" si="280">LEFT(P259, SEARCH("/", P259,1)-1)</f>
        <v>film &amp; video</v>
      </c>
      <c r="T259" t="str">
        <f t="shared" ref="T259:T322" si="281">RIGHT(P259,LEN(P259)-SEARCH("/",P259,SEARCH("/",P259)))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ref="K260:L260" si="282">(J260/60/60/24)+DATE(1970,1,1)</f>
        <v>40682.051689814813</v>
      </c>
      <c r="L260" s="11">
        <f t="shared" si="27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78"/>
        <v>191.14</v>
      </c>
      <c r="R260" s="7">
        <f t="shared" si="279"/>
        <v>83.345930232558146</v>
      </c>
      <c r="S260" t="str">
        <f t="shared" si="280"/>
        <v>film &amp; video</v>
      </c>
      <c r="T260" t="str">
        <f t="shared" si="281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ref="K261:L261" si="283">(J261/60/60/24)+DATE(1970,1,1)</f>
        <v>42072.738067129627</v>
      </c>
      <c r="L261" s="11">
        <f t="shared" si="27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78"/>
        <v>131.93789333333334</v>
      </c>
      <c r="R261" s="7">
        <f t="shared" si="279"/>
        <v>105.04609341825902</v>
      </c>
      <c r="S261" t="str">
        <f t="shared" si="280"/>
        <v>film &amp; video</v>
      </c>
      <c r="T261" t="str">
        <f t="shared" si="281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ref="K262:L262" si="284">(J262/60/60/24)+DATE(1970,1,1)</f>
        <v>40330.755543981482</v>
      </c>
      <c r="L262" s="11">
        <f t="shared" si="27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278"/>
        <v>106.4</v>
      </c>
      <c r="R262" s="7">
        <f t="shared" si="279"/>
        <v>120.90909090909091</v>
      </c>
      <c r="S262" t="str">
        <f t="shared" si="280"/>
        <v>film &amp; video</v>
      </c>
      <c r="T262" t="str">
        <f t="shared" si="281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ref="K263:L263" si="285">(J263/60/60/24)+DATE(1970,1,1)</f>
        <v>41017.885462962964</v>
      </c>
      <c r="L263" s="11">
        <f t="shared" si="27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278"/>
        <v>107.4</v>
      </c>
      <c r="R263" s="7">
        <f t="shared" si="279"/>
        <v>97.63636363636364</v>
      </c>
      <c r="S263" t="str">
        <f t="shared" si="280"/>
        <v>film &amp; video</v>
      </c>
      <c r="T263" t="str">
        <f t="shared" si="281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ref="K264:L264" si="286">(J264/60/60/24)+DATE(1970,1,1)</f>
        <v>40555.24800925926</v>
      </c>
      <c r="L264" s="11">
        <f t="shared" si="27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78"/>
        <v>240</v>
      </c>
      <c r="R264" s="7">
        <f t="shared" si="279"/>
        <v>41.379310344827587</v>
      </c>
      <c r="S264" t="str">
        <f t="shared" si="280"/>
        <v>film &amp; video</v>
      </c>
      <c r="T264" t="str">
        <f t="shared" si="281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ref="K265:L265" si="287">(J265/60/60/24)+DATE(1970,1,1)</f>
        <v>41149.954791666663</v>
      </c>
      <c r="L265" s="11">
        <f t="shared" si="27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78"/>
        <v>118.08108</v>
      </c>
      <c r="R265" s="7">
        <f t="shared" si="279"/>
        <v>30.654485981308412</v>
      </c>
      <c r="S265" t="str">
        <f t="shared" si="280"/>
        <v>film &amp; video</v>
      </c>
      <c r="T265" t="str">
        <f t="shared" si="281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ref="K266:L266" si="288">(J266/60/60/24)+DATE(1970,1,1)</f>
        <v>41010.620312500003</v>
      </c>
      <c r="L266" s="11">
        <f t="shared" si="27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78"/>
        <v>118.19999999999999</v>
      </c>
      <c r="R266" s="7">
        <f t="shared" si="279"/>
        <v>64.945054945054949</v>
      </c>
      <c r="S266" t="str">
        <f t="shared" si="280"/>
        <v>film &amp; video</v>
      </c>
      <c r="T266" t="str">
        <f t="shared" si="281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ref="K267:L267" si="289">(J267/60/60/24)+DATE(1970,1,1)</f>
        <v>40267.245717592588</v>
      </c>
      <c r="L267" s="11">
        <f t="shared" si="27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278"/>
        <v>111.1</v>
      </c>
      <c r="R267" s="7">
        <f t="shared" si="279"/>
        <v>95.775862068965523</v>
      </c>
      <c r="S267" t="str">
        <f t="shared" si="280"/>
        <v>film &amp; video</v>
      </c>
      <c r="T267" t="str">
        <f t="shared" si="281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ref="K268:L268" si="290">(J268/60/60/24)+DATE(1970,1,1)</f>
        <v>40205.174849537041</v>
      </c>
      <c r="L268" s="11">
        <f t="shared" si="27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278"/>
        <v>145.5</v>
      </c>
      <c r="R268" s="7">
        <f t="shared" si="279"/>
        <v>40.416666666666664</v>
      </c>
      <c r="S268" t="str">
        <f t="shared" si="280"/>
        <v>film &amp; video</v>
      </c>
      <c r="T268" t="str">
        <f t="shared" si="281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ref="K269:L269" si="291">(J269/60/60/24)+DATE(1970,1,1)</f>
        <v>41785.452534722222</v>
      </c>
      <c r="L269" s="11">
        <f t="shared" si="27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78"/>
        <v>131.62883248730967</v>
      </c>
      <c r="R269" s="7">
        <f t="shared" si="279"/>
        <v>78.578424242424248</v>
      </c>
      <c r="S269" t="str">
        <f t="shared" si="280"/>
        <v>film &amp; video</v>
      </c>
      <c r="T269" t="str">
        <f t="shared" si="281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ref="K270:L270" si="292">(J270/60/60/24)+DATE(1970,1,1)</f>
        <v>40809.15252314815</v>
      </c>
      <c r="L270" s="11">
        <f t="shared" si="27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278"/>
        <v>111.4</v>
      </c>
      <c r="R270" s="7">
        <f t="shared" si="279"/>
        <v>50.18018018018018</v>
      </c>
      <c r="S270" t="str">
        <f t="shared" si="280"/>
        <v>film &amp; video</v>
      </c>
      <c r="T270" t="str">
        <f t="shared" si="281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ref="K271:L271" si="293">(J271/60/60/24)+DATE(1970,1,1)</f>
        <v>42758.197013888886</v>
      </c>
      <c r="L271" s="11">
        <f t="shared" si="27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78"/>
        <v>147.23376999999999</v>
      </c>
      <c r="R271" s="7">
        <f t="shared" si="279"/>
        <v>92.251735588972423</v>
      </c>
      <c r="S271" t="str">
        <f t="shared" si="280"/>
        <v>film &amp; video</v>
      </c>
      <c r="T271" t="str">
        <f t="shared" si="281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ref="K272:L272" si="294">(J272/60/60/24)+DATE(1970,1,1)</f>
        <v>40637.866550925923</v>
      </c>
      <c r="L272" s="11">
        <f t="shared" si="27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278"/>
        <v>152.60869565217391</v>
      </c>
      <c r="R272" s="7">
        <f t="shared" si="279"/>
        <v>57.540983606557376</v>
      </c>
      <c r="S272" t="str">
        <f t="shared" si="280"/>
        <v>film &amp; video</v>
      </c>
      <c r="T272" t="str">
        <f t="shared" si="281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ref="K273:L273" si="295">(J273/60/60/24)+DATE(1970,1,1)</f>
        <v>41612.10024305556</v>
      </c>
      <c r="L273" s="11">
        <f t="shared" si="27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78"/>
        <v>104.67999999999999</v>
      </c>
      <c r="R273" s="7">
        <f t="shared" si="279"/>
        <v>109.42160278745645</v>
      </c>
      <c r="S273" t="str">
        <f t="shared" si="280"/>
        <v>film &amp; video</v>
      </c>
      <c r="T273" t="str">
        <f t="shared" si="281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ref="K274:L274" si="296">(J274/60/60/24)+DATE(1970,1,1)</f>
        <v>40235.900358796294</v>
      </c>
      <c r="L274" s="11">
        <f t="shared" si="27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278"/>
        <v>177.43366666666668</v>
      </c>
      <c r="R274" s="7">
        <f t="shared" si="279"/>
        <v>81.892461538461546</v>
      </c>
      <c r="S274" t="str">
        <f t="shared" si="280"/>
        <v>film &amp; video</v>
      </c>
      <c r="T274" t="str">
        <f t="shared" si="281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ref="K275:L275" si="297">(J275/60/60/24)+DATE(1970,1,1)</f>
        <v>40697.498449074075</v>
      </c>
      <c r="L275" s="11">
        <f t="shared" si="27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78"/>
        <v>107.7758</v>
      </c>
      <c r="R275" s="7">
        <f t="shared" si="279"/>
        <v>45.667711864406776</v>
      </c>
      <c r="S275" t="str">
        <f t="shared" si="280"/>
        <v>film &amp; video</v>
      </c>
      <c r="T275" t="str">
        <f t="shared" si="281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ref="K276:L276" si="298">(J276/60/60/24)+DATE(1970,1,1)</f>
        <v>40969.912372685183</v>
      </c>
      <c r="L276" s="11">
        <f t="shared" si="27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278"/>
        <v>156</v>
      </c>
      <c r="R276" s="7">
        <f t="shared" si="279"/>
        <v>55.221238938053098</v>
      </c>
      <c r="S276" t="str">
        <f t="shared" si="280"/>
        <v>film &amp; video</v>
      </c>
      <c r="T276" t="str">
        <f t="shared" si="281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ref="K277:L277" si="299">(J277/60/60/24)+DATE(1970,1,1)</f>
        <v>41193.032013888893</v>
      </c>
      <c r="L277" s="11">
        <f t="shared" si="27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278"/>
        <v>108.395</v>
      </c>
      <c r="R277" s="7">
        <f t="shared" si="279"/>
        <v>65.298192771084331</v>
      </c>
      <c r="S277" t="str">
        <f t="shared" si="280"/>
        <v>film &amp; video</v>
      </c>
      <c r="T277" t="str">
        <f t="shared" si="281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ref="K278:L278" si="300">(J278/60/60/24)+DATE(1970,1,1)</f>
        <v>40967.081874999996</v>
      </c>
      <c r="L278" s="11">
        <f t="shared" si="27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278"/>
        <v>147.6</v>
      </c>
      <c r="R278" s="7">
        <f t="shared" si="279"/>
        <v>95.225806451612897</v>
      </c>
      <c r="S278" t="str">
        <f t="shared" si="280"/>
        <v>film &amp; video</v>
      </c>
      <c r="T278" t="str">
        <f t="shared" si="281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ref="K279:L279" si="301">(J279/60/60/24)+DATE(1970,1,1)</f>
        <v>42117.891423611116</v>
      </c>
      <c r="L279" s="11">
        <f t="shared" si="27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78"/>
        <v>110.38153846153847</v>
      </c>
      <c r="R279" s="7">
        <f t="shared" si="279"/>
        <v>75.444794952681391</v>
      </c>
      <c r="S279" t="str">
        <f t="shared" si="280"/>
        <v>film &amp; video</v>
      </c>
      <c r="T279" t="str">
        <f t="shared" si="281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ref="K280:L280" si="302">(J280/60/60/24)+DATE(1970,1,1)</f>
        <v>41164.040960648148</v>
      </c>
      <c r="L280" s="11">
        <f t="shared" si="27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78"/>
        <v>150.34814814814814</v>
      </c>
      <c r="R280" s="7">
        <f t="shared" si="279"/>
        <v>97.816867469879512</v>
      </c>
      <c r="S280" t="str">
        <f t="shared" si="280"/>
        <v>film &amp; video</v>
      </c>
      <c r="T280" t="str">
        <f t="shared" si="281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ref="K281:L281" si="303">(J281/60/60/24)+DATE(1970,1,1)</f>
        <v>42759.244166666671</v>
      </c>
      <c r="L281" s="11">
        <f t="shared" si="27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278"/>
        <v>157.31829411764707</v>
      </c>
      <c r="R281" s="7">
        <f t="shared" si="279"/>
        <v>87.685606557377056</v>
      </c>
      <c r="S281" t="str">
        <f t="shared" si="280"/>
        <v>film &amp; video</v>
      </c>
      <c r="T281" t="str">
        <f t="shared" si="281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ref="K282:L282" si="304">(J282/60/60/24)+DATE(1970,1,1)</f>
        <v>41744.590682870366</v>
      </c>
      <c r="L282" s="11">
        <f t="shared" si="27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78"/>
        <v>156.14400000000001</v>
      </c>
      <c r="R282" s="7">
        <f t="shared" si="279"/>
        <v>54.748948106591868</v>
      </c>
      <c r="S282" t="str">
        <f t="shared" si="280"/>
        <v>film &amp; video</v>
      </c>
      <c r="T282" t="str">
        <f t="shared" si="281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ref="K283:L283" si="305">(J283/60/60/24)+DATE(1970,1,1)</f>
        <v>39950.163344907407</v>
      </c>
      <c r="L283" s="11">
        <f t="shared" si="27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278"/>
        <v>120.58763636363636</v>
      </c>
      <c r="R283" s="7">
        <f t="shared" si="279"/>
        <v>83.953417721518989</v>
      </c>
      <c r="S283" t="str">
        <f t="shared" si="280"/>
        <v>film &amp; video</v>
      </c>
      <c r="T283" t="str">
        <f t="shared" si="281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ref="K284:L284" si="306">(J284/60/60/24)+DATE(1970,1,1)</f>
        <v>40194.920046296298</v>
      </c>
      <c r="L284" s="11">
        <f t="shared" si="27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278"/>
        <v>101.18888888888888</v>
      </c>
      <c r="R284" s="7">
        <f t="shared" si="279"/>
        <v>254.38547486033519</v>
      </c>
      <c r="S284" t="str">
        <f t="shared" si="280"/>
        <v>film &amp; video</v>
      </c>
      <c r="T284" t="str">
        <f t="shared" si="281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ref="K285:L285" si="307">(J285/60/60/24)+DATE(1970,1,1)</f>
        <v>40675.71</v>
      </c>
      <c r="L285" s="11">
        <f t="shared" si="27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278"/>
        <v>114.27249999999999</v>
      </c>
      <c r="R285" s="7">
        <f t="shared" si="279"/>
        <v>101.8269801980198</v>
      </c>
      <c r="S285" t="str">
        <f t="shared" si="280"/>
        <v>film &amp; video</v>
      </c>
      <c r="T285" t="str">
        <f t="shared" si="281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ref="K286:L286" si="308">(J286/60/60/24)+DATE(1970,1,1)</f>
        <v>40904.738194444442</v>
      </c>
      <c r="L286" s="11">
        <f t="shared" si="27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78"/>
        <v>104.62615</v>
      </c>
      <c r="R286" s="7">
        <f t="shared" si="279"/>
        <v>55.066394736842106</v>
      </c>
      <c r="S286" t="str">
        <f t="shared" si="280"/>
        <v>film &amp; video</v>
      </c>
      <c r="T286" t="str">
        <f t="shared" si="281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ref="K287:L287" si="309">(J287/60/60/24)+DATE(1970,1,1)</f>
        <v>41506.756111111114</v>
      </c>
      <c r="L287" s="11">
        <f t="shared" si="27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78"/>
        <v>228.82507142857142</v>
      </c>
      <c r="R287" s="7">
        <f t="shared" si="279"/>
        <v>56.901438721136763</v>
      </c>
      <c r="S287" t="str">
        <f t="shared" si="280"/>
        <v>film &amp; video</v>
      </c>
      <c r="T287" t="str">
        <f t="shared" si="281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ref="K288:L288" si="310">(J288/60/60/24)+DATE(1970,1,1)</f>
        <v>41313.816249999996</v>
      </c>
      <c r="L288" s="11">
        <f t="shared" si="27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278"/>
        <v>109.15333333333332</v>
      </c>
      <c r="R288" s="7">
        <f t="shared" si="279"/>
        <v>121.28148148148148</v>
      </c>
      <c r="S288" t="str">
        <f t="shared" si="280"/>
        <v>film &amp; video</v>
      </c>
      <c r="T288" t="str">
        <f t="shared" si="281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ref="K289:L289" si="311">(J289/60/60/24)+DATE(1970,1,1)</f>
        <v>41184.277986111112</v>
      </c>
      <c r="L289" s="11">
        <f t="shared" si="27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278"/>
        <v>176.29999999999998</v>
      </c>
      <c r="R289" s="7">
        <f t="shared" si="279"/>
        <v>91.189655172413794</v>
      </c>
      <c r="S289" t="str">
        <f t="shared" si="280"/>
        <v>film &amp; video</v>
      </c>
      <c r="T289" t="str">
        <f t="shared" si="281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ref="K290:L290" si="312">(J290/60/60/24)+DATE(1970,1,1)</f>
        <v>41051.168900462959</v>
      </c>
      <c r="L290" s="11">
        <f t="shared" si="27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78"/>
        <v>103.21061999999999</v>
      </c>
      <c r="R290" s="7">
        <f t="shared" si="279"/>
        <v>115.44812080536913</v>
      </c>
      <c r="S290" t="str">
        <f t="shared" si="280"/>
        <v>film &amp; video</v>
      </c>
      <c r="T290" t="str">
        <f t="shared" si="281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ref="K291:L291" si="313">(J291/60/60/24)+DATE(1970,1,1)</f>
        <v>41550.456412037034</v>
      </c>
      <c r="L291" s="11">
        <f t="shared" si="27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78"/>
        <v>104.82000000000001</v>
      </c>
      <c r="R291" s="7">
        <f t="shared" si="279"/>
        <v>67.771551724137936</v>
      </c>
      <c r="S291" t="str">
        <f t="shared" si="280"/>
        <v>film &amp; video</v>
      </c>
      <c r="T291" t="str">
        <f t="shared" si="281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ref="K292:L292" si="314">(J292/60/60/24)+DATE(1970,1,1)</f>
        <v>40526.36917824074</v>
      </c>
      <c r="L292" s="11">
        <f t="shared" si="27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278"/>
        <v>106.68444444444445</v>
      </c>
      <c r="R292" s="7">
        <f t="shared" si="279"/>
        <v>28.576190476190476</v>
      </c>
      <c r="S292" t="str">
        <f t="shared" si="280"/>
        <v>film &amp; video</v>
      </c>
      <c r="T292" t="str">
        <f t="shared" si="281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ref="K293:L293" si="315">(J293/60/60/24)+DATE(1970,1,1)</f>
        <v>41376.769050925926</v>
      </c>
      <c r="L293" s="11">
        <f t="shared" si="27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278"/>
        <v>120.02</v>
      </c>
      <c r="R293" s="7">
        <f t="shared" si="279"/>
        <v>46.8828125</v>
      </c>
      <c r="S293" t="str">
        <f t="shared" si="280"/>
        <v>film &amp; video</v>
      </c>
      <c r="T293" t="str">
        <f t="shared" si="281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ref="K294:L294" si="316">(J294/60/60/24)+DATE(1970,1,1)</f>
        <v>40812.803229166668</v>
      </c>
      <c r="L294" s="11">
        <f t="shared" si="27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278"/>
        <v>101.50693333333334</v>
      </c>
      <c r="R294" s="7">
        <f t="shared" si="279"/>
        <v>154.42231237322514</v>
      </c>
      <c r="S294" t="str">
        <f t="shared" si="280"/>
        <v>film &amp; video</v>
      </c>
      <c r="T294" t="str">
        <f t="shared" si="281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ref="K295:L295" si="317">(J295/60/60/24)+DATE(1970,1,1)</f>
        <v>41719.667986111112</v>
      </c>
      <c r="L295" s="11">
        <f t="shared" si="27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78"/>
        <v>101.38461538461539</v>
      </c>
      <c r="R295" s="7">
        <f t="shared" si="279"/>
        <v>201.22137404580153</v>
      </c>
      <c r="S295" t="str">
        <f t="shared" si="280"/>
        <v>film &amp; video</v>
      </c>
      <c r="T295" t="str">
        <f t="shared" si="281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ref="K296:L296" si="318">(J296/60/60/24)+DATE(1970,1,1)</f>
        <v>40343.084421296298</v>
      </c>
      <c r="L296" s="11">
        <f t="shared" si="27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278"/>
        <v>100</v>
      </c>
      <c r="R296" s="7">
        <f t="shared" si="279"/>
        <v>100</v>
      </c>
      <c r="S296" t="str">
        <f t="shared" si="280"/>
        <v>film &amp; video</v>
      </c>
      <c r="T296" t="str">
        <f t="shared" si="281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ref="K297:L297" si="319">(J297/60/60/24)+DATE(1970,1,1)</f>
        <v>41519.004733796297</v>
      </c>
      <c r="L297" s="11">
        <f t="shared" si="277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278"/>
        <v>133.10911999999999</v>
      </c>
      <c r="R297" s="7">
        <f t="shared" si="279"/>
        <v>100.08204511278196</v>
      </c>
      <c r="S297" t="str">
        <f t="shared" si="280"/>
        <v>film &amp; video</v>
      </c>
      <c r="T297" t="str">
        <f t="shared" si="281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ref="K298:L298" si="320">(J298/60/60/24)+DATE(1970,1,1)</f>
        <v>41134.475497685184</v>
      </c>
      <c r="L298" s="11">
        <f t="shared" si="27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78"/>
        <v>118.72620000000001</v>
      </c>
      <c r="R298" s="7">
        <f t="shared" si="279"/>
        <v>230.08953488372092</v>
      </c>
      <c r="S298" t="str">
        <f t="shared" si="280"/>
        <v>film &amp; video</v>
      </c>
      <c r="T298" t="str">
        <f t="shared" si="281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ref="K299:L299" si="321">(J299/60/60/24)+DATE(1970,1,1)</f>
        <v>42089.72802083334</v>
      </c>
      <c r="L299" s="11">
        <f t="shared" si="27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278"/>
        <v>100.64</v>
      </c>
      <c r="R299" s="7">
        <f t="shared" si="279"/>
        <v>141.74647887323943</v>
      </c>
      <c r="S299" t="str">
        <f t="shared" si="280"/>
        <v>film &amp; video</v>
      </c>
      <c r="T299" t="str">
        <f t="shared" si="281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ref="K300:L300" si="322">(J300/60/60/24)+DATE(1970,1,1)</f>
        <v>41709.463518518518</v>
      </c>
      <c r="L300" s="11">
        <f t="shared" si="277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78"/>
        <v>108.93241269841269</v>
      </c>
      <c r="R300" s="7">
        <f t="shared" si="279"/>
        <v>56.344351395730705</v>
      </c>
      <c r="S300" t="str">
        <f t="shared" si="280"/>
        <v>film &amp; video</v>
      </c>
      <c r="T300" t="str">
        <f t="shared" si="281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ref="K301:L301" si="323">(J301/60/60/24)+DATE(1970,1,1)</f>
        <v>40469.225231481483</v>
      </c>
      <c r="L301" s="11">
        <f t="shared" si="27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278"/>
        <v>178.95250000000001</v>
      </c>
      <c r="R301" s="7">
        <f t="shared" si="279"/>
        <v>73.341188524590166</v>
      </c>
      <c r="S301" t="str">
        <f t="shared" si="280"/>
        <v>film &amp; video</v>
      </c>
      <c r="T301" t="str">
        <f t="shared" si="281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ref="K302:L302" si="324">(J302/60/60/24)+DATE(1970,1,1)</f>
        <v>40626.959930555553</v>
      </c>
      <c r="L302" s="11">
        <f t="shared" si="27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78"/>
        <v>101.72264</v>
      </c>
      <c r="R302" s="7">
        <f t="shared" si="279"/>
        <v>85.337785234899329</v>
      </c>
      <c r="S302" t="str">
        <f t="shared" si="280"/>
        <v>film &amp; video</v>
      </c>
      <c r="T302" t="str">
        <f t="shared" si="281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ref="K303:L303" si="325">(J303/60/60/24)+DATE(1970,1,1)</f>
        <v>41312.737673611111</v>
      </c>
      <c r="L303" s="11">
        <f t="shared" si="27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278"/>
        <v>118.73499999999999</v>
      </c>
      <c r="R303" s="7">
        <f t="shared" si="279"/>
        <v>61.496215139442228</v>
      </c>
      <c r="S303" t="str">
        <f t="shared" si="280"/>
        <v>film &amp; video</v>
      </c>
      <c r="T303" t="str">
        <f t="shared" si="281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ref="K304:L304" si="326">(J304/60/60/24)+DATE(1970,1,1)</f>
        <v>40933.856921296298</v>
      </c>
      <c r="L304" s="11">
        <f t="shared" si="27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78"/>
        <v>100.46</v>
      </c>
      <c r="R304" s="7">
        <f t="shared" si="279"/>
        <v>93.018518518518519</v>
      </c>
      <c r="S304" t="str">
        <f t="shared" si="280"/>
        <v>film &amp; video</v>
      </c>
      <c r="T304" t="str">
        <f t="shared" si="281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ref="K305:L305" si="327">(J305/60/60/24)+DATE(1970,1,1)</f>
        <v>41032.071134259262</v>
      </c>
      <c r="L305" s="11">
        <f t="shared" si="27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78"/>
        <v>137.46666666666667</v>
      </c>
      <c r="R305" s="7">
        <f t="shared" si="279"/>
        <v>50.292682926829265</v>
      </c>
      <c r="S305" t="str">
        <f t="shared" si="280"/>
        <v>film &amp; video</v>
      </c>
      <c r="T305" t="str">
        <f t="shared" si="281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ref="K306:L306" si="328">(J306/60/60/24)+DATE(1970,1,1)</f>
        <v>41114.094872685186</v>
      </c>
      <c r="L306" s="11">
        <f t="shared" si="27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278"/>
        <v>231.64705882352939</v>
      </c>
      <c r="R306" s="7">
        <f t="shared" si="279"/>
        <v>106.43243243243244</v>
      </c>
      <c r="S306" t="str">
        <f t="shared" si="280"/>
        <v>film &amp; video</v>
      </c>
      <c r="T306" t="str">
        <f t="shared" si="281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ref="K307:L307" si="329">(J307/60/60/24)+DATE(1970,1,1)</f>
        <v>40948.630196759259</v>
      </c>
      <c r="L307" s="11">
        <f t="shared" si="27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78"/>
        <v>130.33333333333331</v>
      </c>
      <c r="R307" s="7">
        <f t="shared" si="279"/>
        <v>51.719576719576722</v>
      </c>
      <c r="S307" t="str">
        <f t="shared" si="280"/>
        <v>film &amp; video</v>
      </c>
      <c r="T307" t="str">
        <f t="shared" si="281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ref="K308:L308" si="330">(J308/60/60/24)+DATE(1970,1,1)</f>
        <v>41333.837187500001</v>
      </c>
      <c r="L308" s="11">
        <f t="shared" si="27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278"/>
        <v>292.89999999999998</v>
      </c>
      <c r="R308" s="7">
        <f t="shared" si="279"/>
        <v>36.612499999999997</v>
      </c>
      <c r="S308" t="str">
        <f t="shared" si="280"/>
        <v>film &amp; video</v>
      </c>
      <c r="T308" t="str">
        <f t="shared" si="281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ref="K309:L309" si="331">(J309/60/60/24)+DATE(1970,1,1)</f>
        <v>41282.944456018515</v>
      </c>
      <c r="L309" s="11">
        <f t="shared" si="27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78"/>
        <v>111.31818181818183</v>
      </c>
      <c r="R309" s="7">
        <f t="shared" si="279"/>
        <v>42.517361111111114</v>
      </c>
      <c r="S309" t="str">
        <f t="shared" si="280"/>
        <v>film &amp; video</v>
      </c>
      <c r="T309" t="str">
        <f t="shared" si="281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ref="K310:L310" si="332">(J310/60/60/24)+DATE(1970,1,1)</f>
        <v>40567.694560185184</v>
      </c>
      <c r="L310" s="11">
        <f t="shared" si="27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78"/>
        <v>105.56666666666668</v>
      </c>
      <c r="R310" s="7">
        <f t="shared" si="279"/>
        <v>62.712871287128714</v>
      </c>
      <c r="S310" t="str">
        <f t="shared" si="280"/>
        <v>film &amp; video</v>
      </c>
      <c r="T310" t="str">
        <f t="shared" si="281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ref="K311:L311" si="333">(J311/60/60/24)+DATE(1970,1,1)</f>
        <v>41134.751550925925</v>
      </c>
      <c r="L311" s="11">
        <f t="shared" si="27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78"/>
        <v>118.94444444444446</v>
      </c>
      <c r="R311" s="7">
        <f t="shared" si="279"/>
        <v>89.957983193277315</v>
      </c>
      <c r="S311" t="str">
        <f t="shared" si="280"/>
        <v>film &amp; video</v>
      </c>
      <c r="T311" t="str">
        <f t="shared" si="281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ref="K312:L312" si="334">(J312/60/60/24)+DATE(1970,1,1)</f>
        <v>40821.183136574073</v>
      </c>
      <c r="L312" s="11">
        <f t="shared" si="27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278"/>
        <v>104.129</v>
      </c>
      <c r="R312" s="7">
        <f t="shared" si="279"/>
        <v>28.924722222222222</v>
      </c>
      <c r="S312" t="str">
        <f t="shared" si="280"/>
        <v>film &amp; video</v>
      </c>
      <c r="T312" t="str">
        <f t="shared" si="281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ref="K313:L313" si="335">(J313/60/60/24)+DATE(1970,1,1)</f>
        <v>40868.219814814816</v>
      </c>
      <c r="L313" s="11">
        <f t="shared" si="27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278"/>
        <v>104.10165000000001</v>
      </c>
      <c r="R313" s="7">
        <f t="shared" si="279"/>
        <v>138.8022</v>
      </c>
      <c r="S313" t="str">
        <f t="shared" si="280"/>
        <v>film &amp; video</v>
      </c>
      <c r="T313" t="str">
        <f t="shared" si="281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ref="K314:L314" si="336">(J314/60/60/24)+DATE(1970,1,1)</f>
        <v>41348.877685185187</v>
      </c>
      <c r="L314" s="11">
        <f t="shared" si="27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78"/>
        <v>111.87499999999999</v>
      </c>
      <c r="R314" s="7">
        <f t="shared" si="279"/>
        <v>61.301369863013697</v>
      </c>
      <c r="S314" t="str">
        <f t="shared" si="280"/>
        <v>film &amp; video</v>
      </c>
      <c r="T314" t="str">
        <f t="shared" si="281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ref="K315:L315" si="337">(J315/60/60/24)+DATE(1970,1,1)</f>
        <v>40357.227939814817</v>
      </c>
      <c r="L315" s="11">
        <f t="shared" si="27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278"/>
        <v>104.73529411764706</v>
      </c>
      <c r="R315" s="7">
        <f t="shared" si="279"/>
        <v>80.202702702702709</v>
      </c>
      <c r="S315" t="str">
        <f t="shared" si="280"/>
        <v>film &amp; video</v>
      </c>
      <c r="T315" t="str">
        <f t="shared" si="281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ref="K316:L316" si="338">(J316/60/60/24)+DATE(1970,1,1)</f>
        <v>41304.833194444444</v>
      </c>
      <c r="L316" s="11">
        <f t="shared" si="27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78"/>
        <v>385.15000000000003</v>
      </c>
      <c r="R316" s="7">
        <f t="shared" si="279"/>
        <v>32.095833333333331</v>
      </c>
      <c r="S316" t="str">
        <f t="shared" si="280"/>
        <v>film &amp; video</v>
      </c>
      <c r="T316" t="str">
        <f t="shared" si="281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ref="K317:L317" si="339">(J317/60/60/24)+DATE(1970,1,1)</f>
        <v>41113.77238425926</v>
      </c>
      <c r="L317" s="11">
        <f t="shared" si="27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78"/>
        <v>101.248</v>
      </c>
      <c r="R317" s="7">
        <f t="shared" si="279"/>
        <v>200.88888888888889</v>
      </c>
      <c r="S317" t="str">
        <f t="shared" si="280"/>
        <v>film &amp; video</v>
      </c>
      <c r="T317" t="str">
        <f t="shared" si="281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ref="K318:L318" si="340">(J318/60/60/24)+DATE(1970,1,1)</f>
        <v>41950.923576388886</v>
      </c>
      <c r="L318" s="11">
        <f t="shared" si="27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278"/>
        <v>113.77333333333333</v>
      </c>
      <c r="R318" s="7">
        <f t="shared" si="279"/>
        <v>108.01265822784811</v>
      </c>
      <c r="S318" t="str">
        <f t="shared" si="280"/>
        <v>film &amp; video</v>
      </c>
      <c r="T318" t="str">
        <f t="shared" si="281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ref="K319:L319" si="341">(J319/60/60/24)+DATE(1970,1,1)</f>
        <v>41589.676886574074</v>
      </c>
      <c r="L319" s="11">
        <f t="shared" si="27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78"/>
        <v>100.80333333333333</v>
      </c>
      <c r="R319" s="7">
        <f t="shared" si="279"/>
        <v>95.699367088607602</v>
      </c>
      <c r="S319" t="str">
        <f t="shared" si="280"/>
        <v>film &amp; video</v>
      </c>
      <c r="T319" t="str">
        <f t="shared" si="281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ref="K320:L320" si="342">(J320/60/60/24)+DATE(1970,1,1)</f>
        <v>41330.038784722223</v>
      </c>
      <c r="L320" s="11">
        <f t="shared" si="27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278"/>
        <v>283.32</v>
      </c>
      <c r="R320" s="7">
        <f t="shared" si="279"/>
        <v>49.880281690140848</v>
      </c>
      <c r="S320" t="str">
        <f t="shared" si="280"/>
        <v>film &amp; video</v>
      </c>
      <c r="T320" t="str">
        <f t="shared" si="281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ref="K321:L321" si="343">(J321/60/60/24)+DATE(1970,1,1)</f>
        <v>40123.83829861111</v>
      </c>
      <c r="L321" s="11">
        <f t="shared" si="27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278"/>
        <v>112.68</v>
      </c>
      <c r="R321" s="7">
        <f t="shared" si="279"/>
        <v>110.47058823529412</v>
      </c>
      <c r="S321" t="str">
        <f t="shared" si="280"/>
        <v>film &amp; video</v>
      </c>
      <c r="T321" t="str">
        <f t="shared" si="281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ref="K322:L322" si="344">(J322/60/60/24)+DATE(1970,1,1)</f>
        <v>42331.551307870366</v>
      </c>
      <c r="L322" s="11">
        <f t="shared" si="27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si="278"/>
        <v>106.58000000000001</v>
      </c>
      <c r="R322" s="7">
        <f t="shared" si="279"/>
        <v>134.91139240506328</v>
      </c>
      <c r="S322" t="str">
        <f t="shared" si="280"/>
        <v>film &amp; video</v>
      </c>
      <c r="T322" t="str">
        <f t="shared" si="281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ref="K323:L323" si="345">(J323/60/60/24)+DATE(1970,1,1)</f>
        <v>42647.446597222224</v>
      </c>
      <c r="L323" s="11">
        <f t="shared" ref="L323:L386" si="346">(I323/60/60/24)+DATE(1970,1,1)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47">(E323/D323)*100</f>
        <v>102.66285714285715</v>
      </c>
      <c r="R323" s="7">
        <f t="shared" ref="R323:R386" si="348">IFERROR(E323/N323, 0)</f>
        <v>106.62314540059347</v>
      </c>
      <c r="S323" t="str">
        <f t="shared" ref="S323:S386" si="349">LEFT(P323, SEARCH("/", P323,1)-1)</f>
        <v>film &amp; video</v>
      </c>
      <c r="T323" t="str">
        <f t="shared" ref="T323:T386" si="350">RIGHT(P323,LEN(P323)-SEARCH("/",P323,SEARCH("/",P323)))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ref="K324:L324" si="351">(J324/60/60/24)+DATE(1970,1,1)</f>
        <v>42473.57</v>
      </c>
      <c r="L324" s="11">
        <f t="shared" si="346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47"/>
        <v>107.91200000000001</v>
      </c>
      <c r="R324" s="7">
        <f t="shared" si="348"/>
        <v>145.04301075268816</v>
      </c>
      <c r="S324" t="str">
        <f t="shared" si="349"/>
        <v>film &amp; video</v>
      </c>
      <c r="T324" t="str">
        <f t="shared" si="350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ref="K325:L325" si="352">(J325/60/60/24)+DATE(1970,1,1)</f>
        <v>42697.32136574074</v>
      </c>
      <c r="L325" s="11">
        <f t="shared" si="346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347"/>
        <v>123.07407407407408</v>
      </c>
      <c r="R325" s="7">
        <f t="shared" si="348"/>
        <v>114.58620689655173</v>
      </c>
      <c r="S325" t="str">
        <f t="shared" si="349"/>
        <v>film &amp; video</v>
      </c>
      <c r="T325" t="str">
        <f t="shared" si="350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ref="K326:L326" si="353">(J326/60/60/24)+DATE(1970,1,1)</f>
        <v>42184.626250000001</v>
      </c>
      <c r="L326" s="11">
        <f t="shared" si="346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47"/>
        <v>101.6</v>
      </c>
      <c r="R326" s="7">
        <f t="shared" si="348"/>
        <v>105.3170731707317</v>
      </c>
      <c r="S326" t="str">
        <f t="shared" si="349"/>
        <v>film &amp; video</v>
      </c>
      <c r="T326" t="str">
        <f t="shared" si="350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ref="K327:L327" si="354">(J327/60/60/24)+DATE(1970,1,1)</f>
        <v>42689.187881944439</v>
      </c>
      <c r="L327" s="11">
        <f t="shared" si="346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47"/>
        <v>104.396</v>
      </c>
      <c r="R327" s="7">
        <f t="shared" si="348"/>
        <v>70.921195652173907</v>
      </c>
      <c r="S327" t="str">
        <f t="shared" si="349"/>
        <v>film &amp; video</v>
      </c>
      <c r="T327" t="str">
        <f t="shared" si="350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ref="K328:L328" si="355">(J328/60/60/24)+DATE(1970,1,1)</f>
        <v>42775.314884259264</v>
      </c>
      <c r="L328" s="11">
        <f t="shared" si="346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47"/>
        <v>112.92973333333333</v>
      </c>
      <c r="R328" s="7">
        <f t="shared" si="348"/>
        <v>147.17167680278018</v>
      </c>
      <c r="S328" t="str">
        <f t="shared" si="349"/>
        <v>film &amp; video</v>
      </c>
      <c r="T328" t="str">
        <f t="shared" si="350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ref="K329:L329" si="356">(J329/60/60/24)+DATE(1970,1,1)</f>
        <v>42058.235289351855</v>
      </c>
      <c r="L329" s="11">
        <f t="shared" si="346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347"/>
        <v>136.4</v>
      </c>
      <c r="R329" s="7">
        <f t="shared" si="348"/>
        <v>160.47058823529412</v>
      </c>
      <c r="S329" t="str">
        <f t="shared" si="349"/>
        <v>film &amp; video</v>
      </c>
      <c r="T329" t="str">
        <f t="shared" si="350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ref="K330:L330" si="357">(J330/60/60/24)+DATE(1970,1,1)</f>
        <v>42278.946620370371</v>
      </c>
      <c r="L330" s="11">
        <f t="shared" si="346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347"/>
        <v>103.61439999999999</v>
      </c>
      <c r="R330" s="7">
        <f t="shared" si="348"/>
        <v>156.04578313253012</v>
      </c>
      <c r="S330" t="str">
        <f t="shared" si="349"/>
        <v>film &amp; video</v>
      </c>
      <c r="T330" t="str">
        <f t="shared" si="350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ref="K331:L331" si="358">(J331/60/60/24)+DATE(1970,1,1)</f>
        <v>42291.46674768519</v>
      </c>
      <c r="L331" s="11">
        <f t="shared" si="346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347"/>
        <v>105.5</v>
      </c>
      <c r="R331" s="7">
        <f t="shared" si="348"/>
        <v>63.17365269461078</v>
      </c>
      <c r="S331" t="str">
        <f t="shared" si="349"/>
        <v>film &amp; video</v>
      </c>
      <c r="T331" t="str">
        <f t="shared" si="350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ref="K332:L332" si="359">(J332/60/60/24)+DATE(1970,1,1)</f>
        <v>41379.515775462962</v>
      </c>
      <c r="L332" s="11">
        <f t="shared" si="346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347"/>
        <v>101.82857142857142</v>
      </c>
      <c r="R332" s="7">
        <f t="shared" si="348"/>
        <v>104.82352941176471</v>
      </c>
      <c r="S332" t="str">
        <f t="shared" si="349"/>
        <v>film &amp; video</v>
      </c>
      <c r="T332" t="str">
        <f t="shared" si="350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ref="K333:L333" si="360">(J333/60/60/24)+DATE(1970,1,1)</f>
        <v>42507.581412037034</v>
      </c>
      <c r="L333" s="11">
        <f t="shared" si="346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47"/>
        <v>106.60499999999999</v>
      </c>
      <c r="R333" s="7">
        <f t="shared" si="348"/>
        <v>97.356164383561648</v>
      </c>
      <c r="S333" t="str">
        <f t="shared" si="349"/>
        <v>film &amp; video</v>
      </c>
      <c r="T333" t="str">
        <f t="shared" si="350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ref="K334:L334" si="361">(J334/60/60/24)+DATE(1970,1,1)</f>
        <v>42263.680289351847</v>
      </c>
      <c r="L334" s="11">
        <f t="shared" si="346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347"/>
        <v>113.015</v>
      </c>
      <c r="R334" s="7">
        <f t="shared" si="348"/>
        <v>203.63063063063063</v>
      </c>
      <c r="S334" t="str">
        <f t="shared" si="349"/>
        <v>film &amp; video</v>
      </c>
      <c r="T334" t="str">
        <f t="shared" si="350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ref="K335:L335" si="362">(J335/60/60/24)+DATE(1970,1,1)</f>
        <v>42437.636469907404</v>
      </c>
      <c r="L335" s="11">
        <f t="shared" si="346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47"/>
        <v>125.22750000000001</v>
      </c>
      <c r="R335" s="7">
        <f t="shared" si="348"/>
        <v>188.31203007518798</v>
      </c>
      <c r="S335" t="str">
        <f t="shared" si="349"/>
        <v>film &amp; video</v>
      </c>
      <c r="T335" t="str">
        <f t="shared" si="350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ref="K336:L336" si="363">(J336/60/60/24)+DATE(1970,1,1)</f>
        <v>42101.682372685187</v>
      </c>
      <c r="L336" s="11">
        <f t="shared" si="346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347"/>
        <v>101.19</v>
      </c>
      <c r="R336" s="7">
        <f t="shared" si="348"/>
        <v>146.65217391304347</v>
      </c>
      <c r="S336" t="str">
        <f t="shared" si="349"/>
        <v>film &amp; video</v>
      </c>
      <c r="T336" t="str">
        <f t="shared" si="350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ref="K337:L337" si="364">(J337/60/60/24)+DATE(1970,1,1)</f>
        <v>42101.737442129626</v>
      </c>
      <c r="L337" s="11">
        <f t="shared" si="346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347"/>
        <v>102.76470588235294</v>
      </c>
      <c r="R337" s="7">
        <f t="shared" si="348"/>
        <v>109.1875</v>
      </c>
      <c r="S337" t="str">
        <f t="shared" si="349"/>
        <v>film &amp; video</v>
      </c>
      <c r="T337" t="str">
        <f t="shared" si="350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ref="K338:L338" si="365">(J338/60/60/24)+DATE(1970,1,1)</f>
        <v>42291.596273148149</v>
      </c>
      <c r="L338" s="11">
        <f t="shared" si="346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347"/>
        <v>116.83911999999998</v>
      </c>
      <c r="R338" s="7">
        <f t="shared" si="348"/>
        <v>59.249046653144013</v>
      </c>
      <c r="S338" t="str">
        <f t="shared" si="349"/>
        <v>film &amp; video</v>
      </c>
      <c r="T338" t="str">
        <f t="shared" si="350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ref="K339:L339" si="366">(J339/60/60/24)+DATE(1970,1,1)</f>
        <v>42047.128564814819</v>
      </c>
      <c r="L339" s="11">
        <f t="shared" si="346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347"/>
        <v>101.16833333333335</v>
      </c>
      <c r="R339" s="7">
        <f t="shared" si="348"/>
        <v>97.904838709677421</v>
      </c>
      <c r="S339" t="str">
        <f t="shared" si="349"/>
        <v>film &amp; video</v>
      </c>
      <c r="T339" t="str">
        <f t="shared" si="350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ref="K340:L340" si="367">(J340/60/60/24)+DATE(1970,1,1)</f>
        <v>42559.755671296298</v>
      </c>
      <c r="L340" s="11">
        <f t="shared" si="346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347"/>
        <v>110.13360000000002</v>
      </c>
      <c r="R340" s="7">
        <f t="shared" si="348"/>
        <v>70.000169491525426</v>
      </c>
      <c r="S340" t="str">
        <f t="shared" si="349"/>
        <v>film &amp; video</v>
      </c>
      <c r="T340" t="str">
        <f t="shared" si="350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ref="K341:L341" si="368">(J341/60/60/24)+DATE(1970,1,1)</f>
        <v>42093.760046296295</v>
      </c>
      <c r="L341" s="11">
        <f t="shared" si="346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47"/>
        <v>108.08333333333333</v>
      </c>
      <c r="R341" s="7">
        <f t="shared" si="348"/>
        <v>72.865168539325836</v>
      </c>
      <c r="S341" t="str">
        <f t="shared" si="349"/>
        <v>film &amp; video</v>
      </c>
      <c r="T341" t="str">
        <f t="shared" si="350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ref="K342:L342" si="369">(J342/60/60/24)+DATE(1970,1,1)</f>
        <v>42772.669062500005</v>
      </c>
      <c r="L342" s="11">
        <f t="shared" si="346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47"/>
        <v>125.02285714285715</v>
      </c>
      <c r="R342" s="7">
        <f t="shared" si="348"/>
        <v>146.34782608695653</v>
      </c>
      <c r="S342" t="str">
        <f t="shared" si="349"/>
        <v>film &amp; video</v>
      </c>
      <c r="T342" t="str">
        <f t="shared" si="350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ref="K343:L343" si="370">(J343/60/60/24)+DATE(1970,1,1)</f>
        <v>41894.879606481481</v>
      </c>
      <c r="L343" s="11">
        <f t="shared" si="346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347"/>
        <v>106.71428571428572</v>
      </c>
      <c r="R343" s="7">
        <f t="shared" si="348"/>
        <v>67.909090909090907</v>
      </c>
      <c r="S343" t="str">
        <f t="shared" si="349"/>
        <v>film &amp; video</v>
      </c>
      <c r="T343" t="str">
        <f t="shared" si="350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ref="K344:L344" si="371">(J344/60/60/24)+DATE(1970,1,1)</f>
        <v>42459.780844907407</v>
      </c>
      <c r="L344" s="11">
        <f t="shared" si="346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47"/>
        <v>100.36639999999998</v>
      </c>
      <c r="R344" s="7">
        <f t="shared" si="348"/>
        <v>169.85083076923075</v>
      </c>
      <c r="S344" t="str">
        <f t="shared" si="349"/>
        <v>film &amp; video</v>
      </c>
      <c r="T344" t="str">
        <f t="shared" si="350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ref="K345:L345" si="372">(J345/60/60/24)+DATE(1970,1,1)</f>
        <v>41926.73778935185</v>
      </c>
      <c r="L345" s="11">
        <f t="shared" si="346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47"/>
        <v>102.02863333333335</v>
      </c>
      <c r="R345" s="7">
        <f t="shared" si="348"/>
        <v>58.413339694656486</v>
      </c>
      <c r="S345" t="str">
        <f t="shared" si="349"/>
        <v>film &amp; video</v>
      </c>
      <c r="T345" t="str">
        <f t="shared" si="350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ref="K346:L346" si="373">(J346/60/60/24)+DATE(1970,1,1)</f>
        <v>42111.970995370371</v>
      </c>
      <c r="L346" s="11">
        <f t="shared" si="346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347"/>
        <v>102.08358208955224</v>
      </c>
      <c r="R346" s="7">
        <f t="shared" si="348"/>
        <v>119.99298245614035</v>
      </c>
      <c r="S346" t="str">
        <f t="shared" si="349"/>
        <v>film &amp; video</v>
      </c>
      <c r="T346" t="str">
        <f t="shared" si="350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ref="K347:L347" si="374">(J347/60/60/24)+DATE(1970,1,1)</f>
        <v>42114.944328703699</v>
      </c>
      <c r="L347" s="11">
        <f t="shared" si="346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47"/>
        <v>123.27586206896552</v>
      </c>
      <c r="R347" s="7">
        <f t="shared" si="348"/>
        <v>99.860335195530723</v>
      </c>
      <c r="S347" t="str">
        <f t="shared" si="349"/>
        <v>film &amp; video</v>
      </c>
      <c r="T347" t="str">
        <f t="shared" si="350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ref="K348:L348" si="375">(J348/60/60/24)+DATE(1970,1,1)</f>
        <v>42261.500243055561</v>
      </c>
      <c r="L348" s="11">
        <f t="shared" si="346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47"/>
        <v>170.28880000000001</v>
      </c>
      <c r="R348" s="7">
        <f t="shared" si="348"/>
        <v>90.579148936170213</v>
      </c>
      <c r="S348" t="str">
        <f t="shared" si="349"/>
        <v>film &amp; video</v>
      </c>
      <c r="T348" t="str">
        <f t="shared" si="350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ref="K349:L349" si="376">(J349/60/60/24)+DATE(1970,1,1)</f>
        <v>42292.495474537034</v>
      </c>
      <c r="L349" s="11">
        <f t="shared" si="346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347"/>
        <v>111.59049999999999</v>
      </c>
      <c r="R349" s="7">
        <f t="shared" si="348"/>
        <v>117.77361477572559</v>
      </c>
      <c r="S349" t="str">
        <f t="shared" si="349"/>
        <v>film &amp; video</v>
      </c>
      <c r="T349" t="str">
        <f t="shared" si="350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ref="K350:L350" si="377">(J350/60/60/24)+DATE(1970,1,1)</f>
        <v>42207.58699074074</v>
      </c>
      <c r="L350" s="11">
        <f t="shared" si="346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47"/>
        <v>103</v>
      </c>
      <c r="R350" s="7">
        <f t="shared" si="348"/>
        <v>86.554621848739501</v>
      </c>
      <c r="S350" t="str">
        <f t="shared" si="349"/>
        <v>film &amp; video</v>
      </c>
      <c r="T350" t="str">
        <f t="shared" si="350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ref="K351:L351" si="378">(J351/60/60/24)+DATE(1970,1,1)</f>
        <v>42760.498935185184</v>
      </c>
      <c r="L351" s="11">
        <f t="shared" si="346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47"/>
        <v>106.63570159857905</v>
      </c>
      <c r="R351" s="7">
        <f t="shared" si="348"/>
        <v>71.899281437125751</v>
      </c>
      <c r="S351" t="str">
        <f t="shared" si="349"/>
        <v>film &amp; video</v>
      </c>
      <c r="T351" t="str">
        <f t="shared" si="350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ref="K352:L352" si="379">(J352/60/60/24)+DATE(1970,1,1)</f>
        <v>42586.066076388888</v>
      </c>
      <c r="L352" s="11">
        <f t="shared" si="346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347"/>
        <v>114.75999999999999</v>
      </c>
      <c r="R352" s="7">
        <f t="shared" si="348"/>
        <v>129.81900452488688</v>
      </c>
      <c r="S352" t="str">
        <f t="shared" si="349"/>
        <v>film &amp; video</v>
      </c>
      <c r="T352" t="str">
        <f t="shared" si="350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ref="K353:L353" si="380">(J353/60/60/24)+DATE(1970,1,1)</f>
        <v>42427.964745370366</v>
      </c>
      <c r="L353" s="11">
        <f t="shared" si="346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347"/>
        <v>127.34117647058822</v>
      </c>
      <c r="R353" s="7">
        <f t="shared" si="348"/>
        <v>44.912863070539416</v>
      </c>
      <c r="S353" t="str">
        <f t="shared" si="349"/>
        <v>film &amp; video</v>
      </c>
      <c r="T353" t="str">
        <f t="shared" si="350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ref="K354:L354" si="381">(J354/60/60/24)+DATE(1970,1,1)</f>
        <v>41890.167453703703</v>
      </c>
      <c r="L354" s="11">
        <f t="shared" si="346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47"/>
        <v>116.56</v>
      </c>
      <c r="R354" s="7">
        <f t="shared" si="348"/>
        <v>40.755244755244753</v>
      </c>
      <c r="S354" t="str">
        <f t="shared" si="349"/>
        <v>film &amp; video</v>
      </c>
      <c r="T354" t="str">
        <f t="shared" si="350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ref="K355:L355" si="382">(J355/60/60/24)+DATE(1970,1,1)</f>
        <v>42297.791886574079</v>
      </c>
      <c r="L355" s="11">
        <f t="shared" si="346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347"/>
        <v>108.61819426615318</v>
      </c>
      <c r="R355" s="7">
        <f t="shared" si="348"/>
        <v>103.52394779771615</v>
      </c>
      <c r="S355" t="str">
        <f t="shared" si="349"/>
        <v>film &amp; video</v>
      </c>
      <c r="T355" t="str">
        <f t="shared" si="350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ref="K356:L356" si="383">(J356/60/60/24)+DATE(1970,1,1)</f>
        <v>42438.827789351853</v>
      </c>
      <c r="L356" s="11">
        <f t="shared" si="346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347"/>
        <v>103.94285714285714</v>
      </c>
      <c r="R356" s="7">
        <f t="shared" si="348"/>
        <v>125.44827586206897</v>
      </c>
      <c r="S356" t="str">
        <f t="shared" si="349"/>
        <v>film &amp; video</v>
      </c>
      <c r="T356" t="str">
        <f t="shared" si="350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ref="K357:L357" si="384">(J357/60/60/24)+DATE(1970,1,1)</f>
        <v>41943.293912037036</v>
      </c>
      <c r="L357" s="11">
        <f t="shared" si="346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347"/>
        <v>116.25714285714285</v>
      </c>
      <c r="R357" s="7">
        <f t="shared" si="348"/>
        <v>246.60606060606059</v>
      </c>
      <c r="S357" t="str">
        <f t="shared" si="349"/>
        <v>film &amp; video</v>
      </c>
      <c r="T357" t="str">
        <f t="shared" si="350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ref="K358:L358" si="385">(J358/60/60/24)+DATE(1970,1,1)</f>
        <v>42415.803159722222</v>
      </c>
      <c r="L358" s="11">
        <f t="shared" si="346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347"/>
        <v>102.69239999999999</v>
      </c>
      <c r="R358" s="7">
        <f t="shared" si="348"/>
        <v>79.401340206185566</v>
      </c>
      <c r="S358" t="str">
        <f t="shared" si="349"/>
        <v>film &amp; video</v>
      </c>
      <c r="T358" t="str">
        <f t="shared" si="350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ref="K359:L359" si="386">(J359/60/60/24)+DATE(1970,1,1)</f>
        <v>42078.222187499996</v>
      </c>
      <c r="L359" s="11">
        <f t="shared" si="346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47"/>
        <v>174</v>
      </c>
      <c r="R359" s="7">
        <f t="shared" si="348"/>
        <v>86.138613861386133</v>
      </c>
      <c r="S359" t="str">
        <f t="shared" si="349"/>
        <v>film &amp; video</v>
      </c>
      <c r="T359" t="str">
        <f t="shared" si="350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ref="K360:L360" si="387">(J360/60/60/24)+DATE(1970,1,1)</f>
        <v>42507.860196759255</v>
      </c>
      <c r="L360" s="11">
        <f t="shared" si="346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47"/>
        <v>103.08800000000001</v>
      </c>
      <c r="R360" s="7">
        <f t="shared" si="348"/>
        <v>193.04868913857678</v>
      </c>
      <c r="S360" t="str">
        <f t="shared" si="349"/>
        <v>film &amp; video</v>
      </c>
      <c r="T360" t="str">
        <f t="shared" si="350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ref="K361:L361" si="388">(J361/60/60/24)+DATE(1970,1,1)</f>
        <v>41935.070486111108</v>
      </c>
      <c r="L361" s="11">
        <f t="shared" si="346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347"/>
        <v>104.85537190082646</v>
      </c>
      <c r="R361" s="7">
        <f t="shared" si="348"/>
        <v>84.023178807947019</v>
      </c>
      <c r="S361" t="str">
        <f t="shared" si="349"/>
        <v>film &amp; video</v>
      </c>
      <c r="T361" t="str">
        <f t="shared" si="350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ref="K362:L362" si="389">(J362/60/60/24)+DATE(1970,1,1)</f>
        <v>42163.897916666669</v>
      </c>
      <c r="L362" s="11">
        <f t="shared" si="346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347"/>
        <v>101.375</v>
      </c>
      <c r="R362" s="7">
        <f t="shared" si="348"/>
        <v>139.82758620689654</v>
      </c>
      <c r="S362" t="str">
        <f t="shared" si="349"/>
        <v>film &amp; video</v>
      </c>
      <c r="T362" t="str">
        <f t="shared" si="350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ref="K363:L363" si="390">(J363/60/60/24)+DATE(1970,1,1)</f>
        <v>41936.001226851848</v>
      </c>
      <c r="L363" s="11">
        <f t="shared" si="346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347"/>
        <v>111.07699999999998</v>
      </c>
      <c r="R363" s="7">
        <f t="shared" si="348"/>
        <v>109.82189265536722</v>
      </c>
      <c r="S363" t="str">
        <f t="shared" si="349"/>
        <v>film &amp; video</v>
      </c>
      <c r="T363" t="str">
        <f t="shared" si="350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ref="K364:L364" si="391">(J364/60/60/24)+DATE(1970,1,1)</f>
        <v>41837.210543981484</v>
      </c>
      <c r="L364" s="11">
        <f t="shared" si="346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347"/>
        <v>124.15933781686496</v>
      </c>
      <c r="R364" s="7">
        <f t="shared" si="348"/>
        <v>139.53488372093022</v>
      </c>
      <c r="S364" t="str">
        <f t="shared" si="349"/>
        <v>film &amp; video</v>
      </c>
      <c r="T364" t="str">
        <f t="shared" si="350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ref="K365:L365" si="392">(J365/60/60/24)+DATE(1970,1,1)</f>
        <v>40255.744629629626</v>
      </c>
      <c r="L365" s="11">
        <f t="shared" si="346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347"/>
        <v>101.33333333333334</v>
      </c>
      <c r="R365" s="7">
        <f t="shared" si="348"/>
        <v>347.84615384615387</v>
      </c>
      <c r="S365" t="str">
        <f t="shared" si="349"/>
        <v>film &amp; video</v>
      </c>
      <c r="T365" t="str">
        <f t="shared" si="350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ref="K366:L366" si="393">(J366/60/60/24)+DATE(1970,1,1)</f>
        <v>41780.859629629631</v>
      </c>
      <c r="L366" s="11">
        <f t="shared" si="346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347"/>
        <v>110.16142857142856</v>
      </c>
      <c r="R366" s="7">
        <f t="shared" si="348"/>
        <v>68.24159292035398</v>
      </c>
      <c r="S366" t="str">
        <f t="shared" si="349"/>
        <v>film &amp; video</v>
      </c>
      <c r="T366" t="str">
        <f t="shared" si="350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ref="K367:L367" si="394">(J367/60/60/24)+DATE(1970,1,1)</f>
        <v>41668.606469907405</v>
      </c>
      <c r="L367" s="11">
        <f t="shared" si="346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47"/>
        <v>103.97333333333334</v>
      </c>
      <c r="R367" s="7">
        <f t="shared" si="348"/>
        <v>239.93846153846152</v>
      </c>
      <c r="S367" t="str">
        <f t="shared" si="349"/>
        <v>film &amp; video</v>
      </c>
      <c r="T367" t="str">
        <f t="shared" si="350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ref="K368:L368" si="395">(J368/60/60/24)+DATE(1970,1,1)</f>
        <v>41019.793032407404</v>
      </c>
      <c r="L368" s="11">
        <f t="shared" si="346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47"/>
        <v>101.31578947368421</v>
      </c>
      <c r="R368" s="7">
        <f t="shared" si="348"/>
        <v>287.31343283582089</v>
      </c>
      <c r="S368" t="str">
        <f t="shared" si="349"/>
        <v>film &amp; video</v>
      </c>
      <c r="T368" t="str">
        <f t="shared" si="350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ref="K369:L369" si="396">(J369/60/60/24)+DATE(1970,1,1)</f>
        <v>41355.577291666668</v>
      </c>
      <c r="L369" s="11">
        <f t="shared" si="346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347"/>
        <v>103.3501</v>
      </c>
      <c r="R369" s="7">
        <f t="shared" si="348"/>
        <v>86.84882352941176</v>
      </c>
      <c r="S369" t="str">
        <f t="shared" si="349"/>
        <v>film &amp; video</v>
      </c>
      <c r="T369" t="str">
        <f t="shared" si="350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ref="K370:L370" si="397">(J370/60/60/24)+DATE(1970,1,1)</f>
        <v>42043.605578703704</v>
      </c>
      <c r="L370" s="11">
        <f t="shared" si="346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347"/>
        <v>104.11200000000001</v>
      </c>
      <c r="R370" s="7">
        <f t="shared" si="348"/>
        <v>81.84905660377359</v>
      </c>
      <c r="S370" t="str">
        <f t="shared" si="349"/>
        <v>film &amp; video</v>
      </c>
      <c r="T370" t="str">
        <f t="shared" si="350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ref="K371:L371" si="398">(J371/60/60/24)+DATE(1970,1,1)</f>
        <v>40893.551724537036</v>
      </c>
      <c r="L371" s="11">
        <f t="shared" si="346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47"/>
        <v>110.15569230769231</v>
      </c>
      <c r="R371" s="7">
        <f t="shared" si="348"/>
        <v>42.874970059880241</v>
      </c>
      <c r="S371" t="str">
        <f t="shared" si="349"/>
        <v>film &amp; video</v>
      </c>
      <c r="T371" t="str">
        <f t="shared" si="350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ref="K372:L372" si="399">(J372/60/60/24)+DATE(1970,1,1)</f>
        <v>42711.795138888891</v>
      </c>
      <c r="L372" s="11">
        <f t="shared" si="346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47"/>
        <v>122.02</v>
      </c>
      <c r="R372" s="7">
        <f t="shared" si="348"/>
        <v>709.41860465116281</v>
      </c>
      <c r="S372" t="str">
        <f t="shared" si="349"/>
        <v>film &amp; video</v>
      </c>
      <c r="T372" t="str">
        <f t="shared" si="350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ref="K373:L373" si="400">(J373/60/60/24)+DATE(1970,1,1)</f>
        <v>41261.767812500002</v>
      </c>
      <c r="L373" s="11">
        <f t="shared" si="346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47"/>
        <v>114.16866666666667</v>
      </c>
      <c r="R373" s="7">
        <f t="shared" si="348"/>
        <v>161.25517890772127</v>
      </c>
      <c r="S373" t="str">
        <f t="shared" si="349"/>
        <v>film &amp; video</v>
      </c>
      <c r="T373" t="str">
        <f t="shared" si="350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ref="K374:L374" si="401">(J374/60/60/24)+DATE(1970,1,1)</f>
        <v>42425.576898148152</v>
      </c>
      <c r="L374" s="11">
        <f t="shared" si="346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347"/>
        <v>125.33333333333334</v>
      </c>
      <c r="R374" s="7">
        <f t="shared" si="348"/>
        <v>41.777777777777779</v>
      </c>
      <c r="S374" t="str">
        <f t="shared" si="349"/>
        <v>film &amp; video</v>
      </c>
      <c r="T374" t="str">
        <f t="shared" si="350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ref="K375:L375" si="402">(J375/60/60/24)+DATE(1970,1,1)</f>
        <v>41078.91201388889</v>
      </c>
      <c r="L375" s="11">
        <f t="shared" si="346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47"/>
        <v>106.66666666666667</v>
      </c>
      <c r="R375" s="7">
        <f t="shared" si="348"/>
        <v>89.887640449438209</v>
      </c>
      <c r="S375" t="str">
        <f t="shared" si="349"/>
        <v>film &amp; video</v>
      </c>
      <c r="T375" t="str">
        <f t="shared" si="350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ref="K376:L376" si="403">(J376/60/60/24)+DATE(1970,1,1)</f>
        <v>40757.889247685183</v>
      </c>
      <c r="L376" s="11">
        <f t="shared" si="346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47"/>
        <v>130.65</v>
      </c>
      <c r="R376" s="7">
        <f t="shared" si="348"/>
        <v>45.051724137931032</v>
      </c>
      <c r="S376" t="str">
        <f t="shared" si="349"/>
        <v>film &amp; video</v>
      </c>
      <c r="T376" t="str">
        <f t="shared" si="350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ref="K377:L377" si="404">(J377/60/60/24)+DATE(1970,1,1)</f>
        <v>41657.985081018516</v>
      </c>
      <c r="L377" s="11">
        <f t="shared" si="346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347"/>
        <v>120</v>
      </c>
      <c r="R377" s="7">
        <f t="shared" si="348"/>
        <v>42.857142857142854</v>
      </c>
      <c r="S377" t="str">
        <f t="shared" si="349"/>
        <v>film &amp; video</v>
      </c>
      <c r="T377" t="str">
        <f t="shared" si="350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ref="K378:L378" si="405">(J378/60/60/24)+DATE(1970,1,1)</f>
        <v>42576.452731481477</v>
      </c>
      <c r="L378" s="11">
        <f t="shared" si="346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47"/>
        <v>105.9591836734694</v>
      </c>
      <c r="R378" s="7">
        <f t="shared" si="348"/>
        <v>54.083333333333336</v>
      </c>
      <c r="S378" t="str">
        <f t="shared" si="349"/>
        <v>film &amp; video</v>
      </c>
      <c r="T378" t="str">
        <f t="shared" si="350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ref="K379:L379" si="406">(J379/60/60/24)+DATE(1970,1,1)</f>
        <v>42292.250787037032</v>
      </c>
      <c r="L379" s="11">
        <f t="shared" si="346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347"/>
        <v>114.39999999999999</v>
      </c>
      <c r="R379" s="7">
        <f t="shared" si="348"/>
        <v>103.21804511278195</v>
      </c>
      <c r="S379" t="str">
        <f t="shared" si="349"/>
        <v>film &amp; video</v>
      </c>
      <c r="T379" t="str">
        <f t="shared" si="350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ref="K380:L380" si="407">(J380/60/60/24)+DATE(1970,1,1)</f>
        <v>42370.571851851855</v>
      </c>
      <c r="L380" s="11">
        <f t="shared" si="346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347"/>
        <v>111.76666666666665</v>
      </c>
      <c r="R380" s="7">
        <f t="shared" si="348"/>
        <v>40.397590361445786</v>
      </c>
      <c r="S380" t="str">
        <f t="shared" si="349"/>
        <v>film &amp; video</v>
      </c>
      <c r="T380" t="str">
        <f t="shared" si="350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ref="K381:L381" si="408">(J381/60/60/24)+DATE(1970,1,1)</f>
        <v>40987.688333333332</v>
      </c>
      <c r="L381" s="11">
        <f t="shared" si="346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47"/>
        <v>116.08000000000001</v>
      </c>
      <c r="R381" s="7">
        <f t="shared" si="348"/>
        <v>116.85906040268456</v>
      </c>
      <c r="S381" t="str">
        <f t="shared" si="349"/>
        <v>film &amp; video</v>
      </c>
      <c r="T381" t="str">
        <f t="shared" si="350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ref="K382:L382" si="409">(J382/60/60/24)+DATE(1970,1,1)</f>
        <v>42367.719814814816</v>
      </c>
      <c r="L382" s="11">
        <f t="shared" si="346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47"/>
        <v>141.5</v>
      </c>
      <c r="R382" s="7">
        <f t="shared" si="348"/>
        <v>115.51020408163265</v>
      </c>
      <c r="S382" t="str">
        <f t="shared" si="349"/>
        <v>film &amp; video</v>
      </c>
      <c r="T382" t="str">
        <f t="shared" si="350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ref="K383:L383" si="410">(J383/60/60/24)+DATE(1970,1,1)</f>
        <v>41085.698113425926</v>
      </c>
      <c r="L383" s="11">
        <f t="shared" si="346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47"/>
        <v>104.72999999999999</v>
      </c>
      <c r="R383" s="7">
        <f t="shared" si="348"/>
        <v>104.31274900398407</v>
      </c>
      <c r="S383" t="str">
        <f t="shared" si="349"/>
        <v>film &amp; video</v>
      </c>
      <c r="T383" t="str">
        <f t="shared" si="350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ref="K384:L384" si="411">(J384/60/60/24)+DATE(1970,1,1)</f>
        <v>41144.709490740745</v>
      </c>
      <c r="L384" s="11">
        <f t="shared" si="346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47"/>
        <v>255.83333333333331</v>
      </c>
      <c r="R384" s="7">
        <f t="shared" si="348"/>
        <v>69.772727272727266</v>
      </c>
      <c r="S384" t="str">
        <f t="shared" si="349"/>
        <v>film &amp; video</v>
      </c>
      <c r="T384" t="str">
        <f t="shared" si="350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ref="K385:L385" si="412">(J385/60/60/24)+DATE(1970,1,1)</f>
        <v>41755.117581018516</v>
      </c>
      <c r="L385" s="11">
        <f t="shared" si="346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47"/>
        <v>206.70670670670671</v>
      </c>
      <c r="R385" s="7">
        <f t="shared" si="348"/>
        <v>43.020833333333336</v>
      </c>
      <c r="S385" t="str">
        <f t="shared" si="349"/>
        <v>film &amp; video</v>
      </c>
      <c r="T385" t="str">
        <f t="shared" si="350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ref="K386:L386" si="413">(J386/60/60/24)+DATE(1970,1,1)</f>
        <v>41980.781793981485</v>
      </c>
      <c r="L386" s="11">
        <f t="shared" si="346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347"/>
        <v>112.105</v>
      </c>
      <c r="R386" s="7">
        <f t="shared" si="348"/>
        <v>58.540469973890339</v>
      </c>
      <c r="S386" t="str">
        <f t="shared" si="349"/>
        <v>film &amp; video</v>
      </c>
      <c r="T386" t="str">
        <f t="shared" si="350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ref="K387:L387" si="414">(J387/60/60/24)+DATE(1970,1,1)</f>
        <v>41934.584502314814</v>
      </c>
      <c r="L387" s="11">
        <f t="shared" ref="L387:L450" si="415">(I387/60/60/24)+DATE(1970,1,1)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416">(E387/D387)*100</f>
        <v>105.982</v>
      </c>
      <c r="R387" s="7">
        <f t="shared" ref="R387:R450" si="417">IFERROR(E387/N387, 0)</f>
        <v>111.79535864978902</v>
      </c>
      <c r="S387" t="str">
        <f t="shared" ref="S387:S450" si="418">LEFT(P387, SEARCH("/", P387,1)-1)</f>
        <v>film &amp; video</v>
      </c>
      <c r="T387" t="str">
        <f t="shared" ref="T387:T450" si="419">RIGHT(P387,LEN(P387)-SEARCH("/",P387,SEARCH("/",P387)))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ref="K388:L388" si="420">(J388/60/60/24)+DATE(1970,1,1)</f>
        <v>42211.951284722221</v>
      </c>
      <c r="L388" s="11">
        <f t="shared" si="41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416"/>
        <v>100.16666666666667</v>
      </c>
      <c r="R388" s="7">
        <f t="shared" si="417"/>
        <v>46.230769230769234</v>
      </c>
      <c r="S388" t="str">
        <f t="shared" si="418"/>
        <v>film &amp; video</v>
      </c>
      <c r="T388" t="str">
        <f t="shared" si="419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ref="K389:L389" si="421">(J389/60/60/24)+DATE(1970,1,1)</f>
        <v>42200.67659722222</v>
      </c>
      <c r="L389" s="11">
        <f t="shared" si="415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416"/>
        <v>213.98947368421051</v>
      </c>
      <c r="R389" s="7">
        <f t="shared" si="417"/>
        <v>144.69039145907473</v>
      </c>
      <c r="S389" t="str">
        <f t="shared" si="418"/>
        <v>film &amp; video</v>
      </c>
      <c r="T389" t="str">
        <f t="shared" si="419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ref="K390:L390" si="422">(J390/60/60/24)+DATE(1970,1,1)</f>
        <v>42549.076157407413</v>
      </c>
      <c r="L390" s="11">
        <f t="shared" si="41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416"/>
        <v>126.16000000000001</v>
      </c>
      <c r="R390" s="7">
        <f t="shared" si="417"/>
        <v>88.845070422535215</v>
      </c>
      <c r="S390" t="str">
        <f t="shared" si="418"/>
        <v>film &amp; video</v>
      </c>
      <c r="T390" t="str">
        <f t="shared" si="419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ref="K391:L391" si="423">(J391/60/60/24)+DATE(1970,1,1)</f>
        <v>41674.063078703701</v>
      </c>
      <c r="L391" s="11">
        <f t="shared" si="41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416"/>
        <v>181.53547058823528</v>
      </c>
      <c r="R391" s="7">
        <f t="shared" si="417"/>
        <v>81.75107284768211</v>
      </c>
      <c r="S391" t="str">
        <f t="shared" si="418"/>
        <v>film &amp; video</v>
      </c>
      <c r="T391" t="str">
        <f t="shared" si="419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ref="K392:L392" si="424">(J392/60/60/24)+DATE(1970,1,1)</f>
        <v>42112.036712962959</v>
      </c>
      <c r="L392" s="11">
        <f t="shared" si="41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416"/>
        <v>100</v>
      </c>
      <c r="R392" s="7">
        <f t="shared" si="417"/>
        <v>71.428571428571431</v>
      </c>
      <c r="S392" t="str">
        <f t="shared" si="418"/>
        <v>film &amp; video</v>
      </c>
      <c r="T392" t="str">
        <f t="shared" si="419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ref="K393:L393" si="425">(J393/60/60/24)+DATE(1970,1,1)</f>
        <v>40865.042256944449</v>
      </c>
      <c r="L393" s="11">
        <f t="shared" si="41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416"/>
        <v>100.61</v>
      </c>
      <c r="R393" s="7">
        <f t="shared" si="417"/>
        <v>104.25906735751295</v>
      </c>
      <c r="S393" t="str">
        <f t="shared" si="418"/>
        <v>film &amp; video</v>
      </c>
      <c r="T393" t="str">
        <f t="shared" si="419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ref="K394:L394" si="426">(J394/60/60/24)+DATE(1970,1,1)</f>
        <v>40763.717256944445</v>
      </c>
      <c r="L394" s="11">
        <f t="shared" si="415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416"/>
        <v>100.9027027027027</v>
      </c>
      <c r="R394" s="7">
        <f t="shared" si="417"/>
        <v>90.616504854368927</v>
      </c>
      <c r="S394" t="str">
        <f t="shared" si="418"/>
        <v>film &amp; video</v>
      </c>
      <c r="T394" t="str">
        <f t="shared" si="419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ref="K395:L395" si="427">(J395/60/60/24)+DATE(1970,1,1)</f>
        <v>41526.708935185183</v>
      </c>
      <c r="L395" s="11">
        <f t="shared" si="41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416"/>
        <v>110.446</v>
      </c>
      <c r="R395" s="7">
        <f t="shared" si="417"/>
        <v>157.33048433048432</v>
      </c>
      <c r="S395" t="str">
        <f t="shared" si="418"/>
        <v>film &amp; video</v>
      </c>
      <c r="T395" t="str">
        <f t="shared" si="419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ref="K396:L396" si="428">(J396/60/60/24)+DATE(1970,1,1)</f>
        <v>42417.818078703705</v>
      </c>
      <c r="L396" s="11">
        <f t="shared" si="41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416"/>
        <v>111.8936170212766</v>
      </c>
      <c r="R396" s="7">
        <f t="shared" si="417"/>
        <v>105.18</v>
      </c>
      <c r="S396" t="str">
        <f t="shared" si="418"/>
        <v>film &amp; video</v>
      </c>
      <c r="T396" t="str">
        <f t="shared" si="419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ref="K397:L397" si="429">(J397/60/60/24)+DATE(1970,1,1)</f>
        <v>40990.909259259257</v>
      </c>
      <c r="L397" s="11">
        <f t="shared" si="41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416"/>
        <v>108.04450000000001</v>
      </c>
      <c r="R397" s="7">
        <f t="shared" si="417"/>
        <v>58.719836956521746</v>
      </c>
      <c r="S397" t="str">
        <f t="shared" si="418"/>
        <v>film &amp; video</v>
      </c>
      <c r="T397" t="str">
        <f t="shared" si="419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ref="K398:L398" si="430">(J398/60/60/24)+DATE(1970,1,1)</f>
        <v>41082.564884259256</v>
      </c>
      <c r="L398" s="11">
        <f t="shared" si="41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416"/>
        <v>106.66666666666667</v>
      </c>
      <c r="R398" s="7">
        <f t="shared" si="417"/>
        <v>81.632653061224488</v>
      </c>
      <c r="S398" t="str">
        <f t="shared" si="418"/>
        <v>film &amp; video</v>
      </c>
      <c r="T398" t="str">
        <f t="shared" si="419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ref="K399:L399" si="431">(J399/60/60/24)+DATE(1970,1,1)</f>
        <v>40379.776435185187</v>
      </c>
      <c r="L399" s="11">
        <f t="shared" si="41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416"/>
        <v>103.90027322404372</v>
      </c>
      <c r="R399" s="7">
        <f t="shared" si="417"/>
        <v>56.460043668122275</v>
      </c>
      <c r="S399" t="str">
        <f t="shared" si="418"/>
        <v>film &amp; video</v>
      </c>
      <c r="T399" t="str">
        <f t="shared" si="419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ref="K400:L400" si="432">(J400/60/60/24)+DATE(1970,1,1)</f>
        <v>42078.793124999997</v>
      </c>
      <c r="L400" s="11">
        <f t="shared" si="41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416"/>
        <v>125.16000000000001</v>
      </c>
      <c r="R400" s="7">
        <f t="shared" si="417"/>
        <v>140.1044776119403</v>
      </c>
      <c r="S400" t="str">
        <f t="shared" si="418"/>
        <v>film &amp; video</v>
      </c>
      <c r="T400" t="str">
        <f t="shared" si="419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ref="K401:L401" si="433">(J401/60/60/24)+DATE(1970,1,1)</f>
        <v>42687.875775462962</v>
      </c>
      <c r="L401" s="11">
        <f t="shared" si="415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416"/>
        <v>106.80499999999999</v>
      </c>
      <c r="R401" s="7">
        <f t="shared" si="417"/>
        <v>224.85263157894738</v>
      </c>
      <c r="S401" t="str">
        <f t="shared" si="418"/>
        <v>film &amp; video</v>
      </c>
      <c r="T401" t="str">
        <f t="shared" si="419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ref="K402:L402" si="434">(J402/60/60/24)+DATE(1970,1,1)</f>
        <v>41745.635960648149</v>
      </c>
      <c r="L402" s="11">
        <f t="shared" si="41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416"/>
        <v>112.30249999999999</v>
      </c>
      <c r="R402" s="7">
        <f t="shared" si="417"/>
        <v>181.13306451612902</v>
      </c>
      <c r="S402" t="str">
        <f t="shared" si="418"/>
        <v>film &amp; video</v>
      </c>
      <c r="T402" t="str">
        <f t="shared" si="419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ref="K403:L403" si="435">(J403/60/60/24)+DATE(1970,1,1)</f>
        <v>40732.842245370368</v>
      </c>
      <c r="L403" s="11">
        <f t="shared" si="41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416"/>
        <v>103.812</v>
      </c>
      <c r="R403" s="7">
        <f t="shared" si="417"/>
        <v>711.04109589041093</v>
      </c>
      <c r="S403" t="str">
        <f t="shared" si="418"/>
        <v>film &amp; video</v>
      </c>
      <c r="T403" t="str">
        <f t="shared" si="419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ref="K404:L404" si="436">(J404/60/60/24)+DATE(1970,1,1)</f>
        <v>42292.539548611108</v>
      </c>
      <c r="L404" s="11">
        <f t="shared" si="41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416"/>
        <v>141.65</v>
      </c>
      <c r="R404" s="7">
        <f t="shared" si="417"/>
        <v>65.883720930232556</v>
      </c>
      <c r="S404" t="str">
        <f t="shared" si="418"/>
        <v>film &amp; video</v>
      </c>
      <c r="T404" t="str">
        <f t="shared" si="419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ref="K405:L405" si="437">(J405/60/60/24)+DATE(1970,1,1)</f>
        <v>40718.310659722221</v>
      </c>
      <c r="L405" s="11">
        <f t="shared" si="41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416"/>
        <v>105.25999999999999</v>
      </c>
      <c r="R405" s="7">
        <f t="shared" si="417"/>
        <v>75.185714285714283</v>
      </c>
      <c r="S405" t="str">
        <f t="shared" si="418"/>
        <v>film &amp; video</v>
      </c>
      <c r="T405" t="str">
        <f t="shared" si="419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ref="K406:L406" si="438">(J406/60/60/24)+DATE(1970,1,1)</f>
        <v>41646.628032407411</v>
      </c>
      <c r="L406" s="11">
        <f t="shared" si="41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416"/>
        <v>103.09142857142857</v>
      </c>
      <c r="R406" s="7">
        <f t="shared" si="417"/>
        <v>133.14391143911439</v>
      </c>
      <c r="S406" t="str">
        <f t="shared" si="418"/>
        <v>film &amp; video</v>
      </c>
      <c r="T406" t="str">
        <f t="shared" si="419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ref="K407:L407" si="439">(J407/60/60/24)+DATE(1970,1,1)</f>
        <v>41674.08494212963</v>
      </c>
      <c r="L407" s="11">
        <f t="shared" si="41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416"/>
        <v>107.65957446808511</v>
      </c>
      <c r="R407" s="7">
        <f t="shared" si="417"/>
        <v>55.2</v>
      </c>
      <c r="S407" t="str">
        <f t="shared" si="418"/>
        <v>film &amp; video</v>
      </c>
      <c r="T407" t="str">
        <f t="shared" si="419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ref="K408:L408" si="440">(J408/60/60/24)+DATE(1970,1,1)</f>
        <v>40638.162465277775</v>
      </c>
      <c r="L408" s="11">
        <f t="shared" si="41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416"/>
        <v>107.70464285714286</v>
      </c>
      <c r="R408" s="7">
        <f t="shared" si="417"/>
        <v>86.163714285714292</v>
      </c>
      <c r="S408" t="str">
        <f t="shared" si="418"/>
        <v>film &amp; video</v>
      </c>
      <c r="T408" t="str">
        <f t="shared" si="419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ref="K409:L409" si="441">(J409/60/60/24)+DATE(1970,1,1)</f>
        <v>40806.870949074073</v>
      </c>
      <c r="L409" s="11">
        <f t="shared" si="41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416"/>
        <v>101.55000000000001</v>
      </c>
      <c r="R409" s="7">
        <f t="shared" si="417"/>
        <v>92.318181818181813</v>
      </c>
      <c r="S409" t="str">
        <f t="shared" si="418"/>
        <v>film &amp; video</v>
      </c>
      <c r="T409" t="str">
        <f t="shared" si="419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ref="K410:L410" si="442">(J410/60/60/24)+DATE(1970,1,1)</f>
        <v>41543.735995370371</v>
      </c>
      <c r="L410" s="11">
        <f t="shared" si="41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416"/>
        <v>101.43766666666667</v>
      </c>
      <c r="R410" s="7">
        <f t="shared" si="417"/>
        <v>160.16473684210527</v>
      </c>
      <c r="S410" t="str">
        <f t="shared" si="418"/>
        <v>film &amp; video</v>
      </c>
      <c r="T410" t="str">
        <f t="shared" si="419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ref="K411:L411" si="443">(J411/60/60/24)+DATE(1970,1,1)</f>
        <v>42543.862777777773</v>
      </c>
      <c r="L411" s="11">
        <f t="shared" si="41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416"/>
        <v>136.80000000000001</v>
      </c>
      <c r="R411" s="7">
        <f t="shared" si="417"/>
        <v>45.6</v>
      </c>
      <c r="S411" t="str">
        <f t="shared" si="418"/>
        <v>film &amp; video</v>
      </c>
      <c r="T411" t="str">
        <f t="shared" si="419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ref="K412:L412" si="444">(J412/60/60/24)+DATE(1970,1,1)</f>
        <v>42113.981446759266</v>
      </c>
      <c r="L412" s="11">
        <f t="shared" si="41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416"/>
        <v>128.29999999999998</v>
      </c>
      <c r="R412" s="7">
        <f t="shared" si="417"/>
        <v>183.28571428571428</v>
      </c>
      <c r="S412" t="str">
        <f t="shared" si="418"/>
        <v>film &amp; video</v>
      </c>
      <c r="T412" t="str">
        <f t="shared" si="419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ref="K413:L413" si="445">(J413/60/60/24)+DATE(1970,1,1)</f>
        <v>41598.17597222222</v>
      </c>
      <c r="L413" s="11">
        <f t="shared" si="41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416"/>
        <v>101.05</v>
      </c>
      <c r="R413" s="7">
        <f t="shared" si="417"/>
        <v>125.78838174273859</v>
      </c>
      <c r="S413" t="str">
        <f t="shared" si="418"/>
        <v>film &amp; video</v>
      </c>
      <c r="T413" t="str">
        <f t="shared" si="419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ref="K414:L414" si="446">(J414/60/60/24)+DATE(1970,1,1)</f>
        <v>41099.742800925924</v>
      </c>
      <c r="L414" s="11">
        <f t="shared" si="41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416"/>
        <v>126.84</v>
      </c>
      <c r="R414" s="7">
        <f t="shared" si="417"/>
        <v>57.654545454545456</v>
      </c>
      <c r="S414" t="str">
        <f t="shared" si="418"/>
        <v>film &amp; video</v>
      </c>
      <c r="T414" t="str">
        <f t="shared" si="419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ref="K415:L415" si="447">(J415/60/60/24)+DATE(1970,1,1)</f>
        <v>41079.877442129626</v>
      </c>
      <c r="L415" s="11">
        <f t="shared" si="41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416"/>
        <v>105.0859375</v>
      </c>
      <c r="R415" s="7">
        <f t="shared" si="417"/>
        <v>78.660818713450297</v>
      </c>
      <c r="S415" t="str">
        <f t="shared" si="418"/>
        <v>film &amp; video</v>
      </c>
      <c r="T415" t="str">
        <f t="shared" si="419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ref="K416:L416" si="448">(J416/60/60/24)+DATE(1970,1,1)</f>
        <v>41529.063252314816</v>
      </c>
      <c r="L416" s="11">
        <f t="shared" si="41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416"/>
        <v>102.85405405405406</v>
      </c>
      <c r="R416" s="7">
        <f t="shared" si="417"/>
        <v>91.480769230769226</v>
      </c>
      <c r="S416" t="str">
        <f t="shared" si="418"/>
        <v>film &amp; video</v>
      </c>
      <c r="T416" t="str">
        <f t="shared" si="419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ref="K417:L417" si="449">(J417/60/60/24)+DATE(1970,1,1)</f>
        <v>41904.851875</v>
      </c>
      <c r="L417" s="11">
        <f t="shared" si="415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416"/>
        <v>102.14714285714285</v>
      </c>
      <c r="R417" s="7">
        <f t="shared" si="417"/>
        <v>68.09809523809524</v>
      </c>
      <c r="S417" t="str">
        <f t="shared" si="418"/>
        <v>film &amp; video</v>
      </c>
      <c r="T417" t="str">
        <f t="shared" si="419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ref="K418:L418" si="450">(J418/60/60/24)+DATE(1970,1,1)</f>
        <v>41648.396192129629</v>
      </c>
      <c r="L418" s="11">
        <f t="shared" si="41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416"/>
        <v>120.21700000000001</v>
      </c>
      <c r="R418" s="7">
        <f t="shared" si="417"/>
        <v>48.086800000000004</v>
      </c>
      <c r="S418" t="str">
        <f t="shared" si="418"/>
        <v>film &amp; video</v>
      </c>
      <c r="T418" t="str">
        <f t="shared" si="419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ref="K419:L419" si="451">(J419/60/60/24)+DATE(1970,1,1)</f>
        <v>41360.970601851855</v>
      </c>
      <c r="L419" s="11">
        <f t="shared" si="41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416"/>
        <v>100.24761904761905</v>
      </c>
      <c r="R419" s="7">
        <f t="shared" si="417"/>
        <v>202.42307692307693</v>
      </c>
      <c r="S419" t="str">
        <f t="shared" si="418"/>
        <v>film &amp; video</v>
      </c>
      <c r="T419" t="str">
        <f t="shared" si="419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ref="K420:L420" si="452">(J420/60/60/24)+DATE(1970,1,1)</f>
        <v>42178.282372685186</v>
      </c>
      <c r="L420" s="11">
        <f t="shared" si="41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416"/>
        <v>100.63392857142857</v>
      </c>
      <c r="R420" s="7">
        <f t="shared" si="417"/>
        <v>216.75</v>
      </c>
      <c r="S420" t="str">
        <f t="shared" si="418"/>
        <v>film &amp; video</v>
      </c>
      <c r="T420" t="str">
        <f t="shared" si="419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ref="K421:L421" si="453">(J421/60/60/24)+DATE(1970,1,1)</f>
        <v>41394.842442129629</v>
      </c>
      <c r="L421" s="11">
        <f t="shared" si="41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416"/>
        <v>100.4375</v>
      </c>
      <c r="R421" s="7">
        <f t="shared" si="417"/>
        <v>110.06849315068493</v>
      </c>
      <c r="S421" t="str">
        <f t="shared" si="418"/>
        <v>film &amp; video</v>
      </c>
      <c r="T421" t="str">
        <f t="shared" si="419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ref="K422:L422" si="454">(J422/60/60/24)+DATE(1970,1,1)</f>
        <v>41682.23646990741</v>
      </c>
      <c r="L422" s="11">
        <f t="shared" si="41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416"/>
        <v>0.43939393939393934</v>
      </c>
      <c r="R422" s="7">
        <f t="shared" si="417"/>
        <v>4.833333333333333</v>
      </c>
      <c r="S422" t="str">
        <f t="shared" si="418"/>
        <v>film &amp; video</v>
      </c>
      <c r="T422" t="str">
        <f t="shared" si="419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ref="K423:L423" si="455">(J423/60/60/24)+DATE(1970,1,1)</f>
        <v>42177.491388888884</v>
      </c>
      <c r="L423" s="11">
        <f t="shared" si="41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416"/>
        <v>2.0066666666666668</v>
      </c>
      <c r="R423" s="7">
        <f t="shared" si="417"/>
        <v>50.166666666666664</v>
      </c>
      <c r="S423" t="str">
        <f t="shared" si="418"/>
        <v>film &amp; video</v>
      </c>
      <c r="T423" t="str">
        <f t="shared" si="419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ref="K424:L424" si="456">(J424/60/60/24)+DATE(1970,1,1)</f>
        <v>41863.260381944441</v>
      </c>
      <c r="L424" s="11">
        <f t="shared" si="41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416"/>
        <v>1.075</v>
      </c>
      <c r="R424" s="7">
        <f t="shared" si="417"/>
        <v>35.833333333333336</v>
      </c>
      <c r="S424" t="str">
        <f t="shared" si="418"/>
        <v>film &amp; video</v>
      </c>
      <c r="T424" t="str">
        <f t="shared" si="419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ref="K425:L425" si="457">(J425/60/60/24)+DATE(1970,1,1)</f>
        <v>41400.92627314815</v>
      </c>
      <c r="L425" s="11">
        <f t="shared" si="41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416"/>
        <v>0.76500000000000001</v>
      </c>
      <c r="R425" s="7">
        <f t="shared" si="417"/>
        <v>11.76923076923077</v>
      </c>
      <c r="S425" t="str">
        <f t="shared" si="418"/>
        <v>film &amp; video</v>
      </c>
      <c r="T425" t="str">
        <f t="shared" si="419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ref="K426:L426" si="458">(J426/60/60/24)+DATE(1970,1,1)</f>
        <v>40934.376145833332</v>
      </c>
      <c r="L426" s="11">
        <f t="shared" si="41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416"/>
        <v>6.7966666666666677</v>
      </c>
      <c r="R426" s="7">
        <f t="shared" si="417"/>
        <v>40.78</v>
      </c>
      <c r="S426" t="str">
        <f t="shared" si="418"/>
        <v>film &amp; video</v>
      </c>
      <c r="T426" t="str">
        <f t="shared" si="419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ref="K427:L427" si="459">(J427/60/60/24)+DATE(1970,1,1)</f>
        <v>42275.861157407402</v>
      </c>
      <c r="L427" s="11">
        <f t="shared" si="41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416"/>
        <v>1.2E-2</v>
      </c>
      <c r="R427" s="7">
        <f t="shared" si="417"/>
        <v>3</v>
      </c>
      <c r="S427" t="str">
        <f t="shared" si="418"/>
        <v>film &amp; video</v>
      </c>
      <c r="T427" t="str">
        <f t="shared" si="419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ref="K428:L428" si="460">(J428/60/60/24)+DATE(1970,1,1)</f>
        <v>42400.711967592593</v>
      </c>
      <c r="L428" s="11">
        <f t="shared" si="41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416"/>
        <v>1.3299999999999998</v>
      </c>
      <c r="R428" s="7">
        <f t="shared" si="417"/>
        <v>16.625</v>
      </c>
      <c r="S428" t="str">
        <f t="shared" si="418"/>
        <v>film &amp; video</v>
      </c>
      <c r="T428" t="str">
        <f t="shared" si="419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ref="K429:L429" si="461">(J429/60/60/24)+DATE(1970,1,1)</f>
        <v>42285.909027777772</v>
      </c>
      <c r="L429" s="11">
        <f t="shared" si="41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416"/>
        <v>0</v>
      </c>
      <c r="R429" s="7">
        <f t="shared" si="417"/>
        <v>0</v>
      </c>
      <c r="S429" t="str">
        <f t="shared" si="418"/>
        <v>film &amp; video</v>
      </c>
      <c r="T429" t="str">
        <f t="shared" si="419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ref="K430:L430" si="462">(J430/60/60/24)+DATE(1970,1,1)</f>
        <v>41778.766724537039</v>
      </c>
      <c r="L430" s="11">
        <f t="shared" si="41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416"/>
        <v>5.6333333333333329</v>
      </c>
      <c r="R430" s="7">
        <f t="shared" si="417"/>
        <v>52</v>
      </c>
      <c r="S430" t="str">
        <f t="shared" si="418"/>
        <v>film &amp; video</v>
      </c>
      <c r="T430" t="str">
        <f t="shared" si="419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ref="K431:L431" si="463">(J431/60/60/24)+DATE(1970,1,1)</f>
        <v>40070.901412037041</v>
      </c>
      <c r="L431" s="11">
        <f t="shared" si="41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416"/>
        <v>0</v>
      </c>
      <c r="R431" s="7">
        <f t="shared" si="417"/>
        <v>0</v>
      </c>
      <c r="S431" t="str">
        <f t="shared" si="418"/>
        <v>film &amp; video</v>
      </c>
      <c r="T431" t="str">
        <f t="shared" si="419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ref="K432:L432" si="464">(J432/60/60/24)+DATE(1970,1,1)</f>
        <v>41513.107256944444</v>
      </c>
      <c r="L432" s="11">
        <f t="shared" si="41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416"/>
        <v>2.4</v>
      </c>
      <c r="R432" s="7">
        <f t="shared" si="417"/>
        <v>4.8</v>
      </c>
      <c r="S432" t="str">
        <f t="shared" si="418"/>
        <v>film &amp; video</v>
      </c>
      <c r="T432" t="str">
        <f t="shared" si="419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ref="K433:L433" si="465">(J433/60/60/24)+DATE(1970,1,1)</f>
        <v>42526.871331018512</v>
      </c>
      <c r="L433" s="11">
        <f t="shared" si="41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416"/>
        <v>13.833333333333334</v>
      </c>
      <c r="R433" s="7">
        <f t="shared" si="417"/>
        <v>51.875</v>
      </c>
      <c r="S433" t="str">
        <f t="shared" si="418"/>
        <v>film &amp; video</v>
      </c>
      <c r="T433" t="str">
        <f t="shared" si="419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ref="K434:L434" si="466">(J434/60/60/24)+DATE(1970,1,1)</f>
        <v>42238.726631944446</v>
      </c>
      <c r="L434" s="11">
        <f t="shared" si="41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416"/>
        <v>9.5</v>
      </c>
      <c r="R434" s="7">
        <f t="shared" si="417"/>
        <v>71.25</v>
      </c>
      <c r="S434" t="str">
        <f t="shared" si="418"/>
        <v>film &amp; video</v>
      </c>
      <c r="T434" t="str">
        <f t="shared" si="419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ref="K435:L435" si="467">(J435/60/60/24)+DATE(1970,1,1)</f>
        <v>42228.629884259266</v>
      </c>
      <c r="L435" s="11">
        <f t="shared" si="41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416"/>
        <v>0</v>
      </c>
      <c r="R435" s="7">
        <f t="shared" si="417"/>
        <v>0</v>
      </c>
      <c r="S435" t="str">
        <f t="shared" si="418"/>
        <v>film &amp; video</v>
      </c>
      <c r="T435" t="str">
        <f t="shared" si="419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ref="K436:L436" si="468">(J436/60/60/24)+DATE(1970,1,1)</f>
        <v>41576.834513888891</v>
      </c>
      <c r="L436" s="11">
        <f t="shared" si="41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416"/>
        <v>5</v>
      </c>
      <c r="R436" s="7">
        <f t="shared" si="417"/>
        <v>62.5</v>
      </c>
      <c r="S436" t="str">
        <f t="shared" si="418"/>
        <v>film &amp; video</v>
      </c>
      <c r="T436" t="str">
        <f t="shared" si="419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ref="K437:L437" si="469">(J437/60/60/24)+DATE(1970,1,1)</f>
        <v>41500.747453703705</v>
      </c>
      <c r="L437" s="11">
        <f t="shared" si="41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416"/>
        <v>2.7272727272727275E-3</v>
      </c>
      <c r="R437" s="7">
        <f t="shared" si="417"/>
        <v>1</v>
      </c>
      <c r="S437" t="str">
        <f t="shared" si="418"/>
        <v>film &amp; video</v>
      </c>
      <c r="T437" t="str">
        <f t="shared" si="419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ref="K438:L438" si="470">(J438/60/60/24)+DATE(1970,1,1)</f>
        <v>41456.36241898148</v>
      </c>
      <c r="L438" s="11">
        <f t="shared" si="415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416"/>
        <v>0</v>
      </c>
      <c r="R438" s="7">
        <f t="shared" si="417"/>
        <v>0</v>
      </c>
      <c r="S438" t="str">
        <f t="shared" si="418"/>
        <v>film &amp; video</v>
      </c>
      <c r="T438" t="str">
        <f t="shared" si="419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ref="K439:L439" si="471">(J439/60/60/24)+DATE(1970,1,1)</f>
        <v>42591.31858796296</v>
      </c>
      <c r="L439" s="11">
        <f t="shared" si="415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416"/>
        <v>0</v>
      </c>
      <c r="R439" s="7">
        <f t="shared" si="417"/>
        <v>0</v>
      </c>
      <c r="S439" t="str">
        <f t="shared" si="418"/>
        <v>film &amp; video</v>
      </c>
      <c r="T439" t="str">
        <f t="shared" si="419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ref="K440:L440" si="472">(J440/60/60/24)+DATE(1970,1,1)</f>
        <v>42296.261087962965</v>
      </c>
      <c r="L440" s="11">
        <f t="shared" si="41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416"/>
        <v>9.379999999999999</v>
      </c>
      <c r="R440" s="7">
        <f t="shared" si="417"/>
        <v>170.54545454545453</v>
      </c>
      <c r="S440" t="str">
        <f t="shared" si="418"/>
        <v>film &amp; video</v>
      </c>
      <c r="T440" t="str">
        <f t="shared" si="419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ref="K441:L441" si="473">(J441/60/60/24)+DATE(1970,1,1)</f>
        <v>41919.761782407404</v>
      </c>
      <c r="L441" s="11">
        <f t="shared" si="41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416"/>
        <v>0</v>
      </c>
      <c r="R441" s="7">
        <f t="shared" si="417"/>
        <v>0</v>
      </c>
      <c r="S441" t="str">
        <f t="shared" si="418"/>
        <v>film &amp; video</v>
      </c>
      <c r="T441" t="str">
        <f t="shared" si="419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ref="K442:L442" si="474">(J442/60/60/24)+DATE(1970,1,1)</f>
        <v>42423.985567129625</v>
      </c>
      <c r="L442" s="11">
        <f t="shared" si="41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416"/>
        <v>0.1</v>
      </c>
      <c r="R442" s="7">
        <f t="shared" si="417"/>
        <v>5</v>
      </c>
      <c r="S442" t="str">
        <f t="shared" si="418"/>
        <v>film &amp; video</v>
      </c>
      <c r="T442" t="str">
        <f t="shared" si="419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ref="K443:L443" si="475">(J443/60/60/24)+DATE(1970,1,1)</f>
        <v>41550.793935185182</v>
      </c>
      <c r="L443" s="11">
        <f t="shared" si="41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416"/>
        <v>0</v>
      </c>
      <c r="R443" s="7">
        <f t="shared" si="417"/>
        <v>0</v>
      </c>
      <c r="S443" t="str">
        <f t="shared" si="418"/>
        <v>film &amp; video</v>
      </c>
      <c r="T443" t="str">
        <f t="shared" si="419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ref="K444:L444" si="476">(J444/60/60/24)+DATE(1970,1,1)</f>
        <v>42024.888692129629</v>
      </c>
      <c r="L444" s="11">
        <f t="shared" si="41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416"/>
        <v>39.358823529411765</v>
      </c>
      <c r="R444" s="7">
        <f t="shared" si="417"/>
        <v>393.58823529411762</v>
      </c>
      <c r="S444" t="str">
        <f t="shared" si="418"/>
        <v>film &amp; video</v>
      </c>
      <c r="T444" t="str">
        <f t="shared" si="419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ref="K445:L445" si="477">(J445/60/60/24)+DATE(1970,1,1)</f>
        <v>41650.015057870369</v>
      </c>
      <c r="L445" s="11">
        <f t="shared" si="41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416"/>
        <v>0.1</v>
      </c>
      <c r="R445" s="7">
        <f t="shared" si="417"/>
        <v>5</v>
      </c>
      <c r="S445" t="str">
        <f t="shared" si="418"/>
        <v>film &amp; video</v>
      </c>
      <c r="T445" t="str">
        <f t="shared" si="419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ref="K446:L446" si="478">(J446/60/60/24)+DATE(1970,1,1)</f>
        <v>40894.906956018516</v>
      </c>
      <c r="L446" s="11">
        <f t="shared" si="41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416"/>
        <v>5</v>
      </c>
      <c r="R446" s="7">
        <f t="shared" si="417"/>
        <v>50</v>
      </c>
      <c r="S446" t="str">
        <f t="shared" si="418"/>
        <v>film &amp; video</v>
      </c>
      <c r="T446" t="str">
        <f t="shared" si="419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ref="K447:L447" si="479">(J447/60/60/24)+DATE(1970,1,1)</f>
        <v>42130.335358796292</v>
      </c>
      <c r="L447" s="11">
        <f t="shared" si="41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416"/>
        <v>3.3333333333333335E-3</v>
      </c>
      <c r="R447" s="7">
        <f t="shared" si="417"/>
        <v>1</v>
      </c>
      <c r="S447" t="str">
        <f t="shared" si="418"/>
        <v>film &amp; video</v>
      </c>
      <c r="T447" t="str">
        <f t="shared" si="419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ref="K448:L448" si="480">(J448/60/60/24)+DATE(1970,1,1)</f>
        <v>42037.083564814813</v>
      </c>
      <c r="L448" s="11">
        <f t="shared" si="41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416"/>
        <v>7.2952380952380951</v>
      </c>
      <c r="R448" s="7">
        <f t="shared" si="417"/>
        <v>47.875</v>
      </c>
      <c r="S448" t="str">
        <f t="shared" si="418"/>
        <v>film &amp; video</v>
      </c>
      <c r="T448" t="str">
        <f t="shared" si="419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ref="K449:L449" si="481">(J449/60/60/24)+DATE(1970,1,1)</f>
        <v>41331.555127314816</v>
      </c>
      <c r="L449" s="11">
        <f t="shared" si="41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416"/>
        <v>1.6666666666666666E-2</v>
      </c>
      <c r="R449" s="7">
        <f t="shared" si="417"/>
        <v>5</v>
      </c>
      <c r="S449" t="str">
        <f t="shared" si="418"/>
        <v>film &amp; video</v>
      </c>
      <c r="T449" t="str">
        <f t="shared" si="419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ref="K450:L450" si="482">(J450/60/60/24)+DATE(1970,1,1)</f>
        <v>41753.758043981477</v>
      </c>
      <c r="L450" s="11">
        <f t="shared" si="41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416"/>
        <v>3.2804000000000002</v>
      </c>
      <c r="R450" s="7">
        <f t="shared" si="417"/>
        <v>20.502500000000001</v>
      </c>
      <c r="S450" t="str">
        <f t="shared" si="418"/>
        <v>film &amp; video</v>
      </c>
      <c r="T450" t="str">
        <f t="shared" si="419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ref="K451:L451" si="483">(J451/60/60/24)+DATE(1970,1,1)</f>
        <v>41534.568113425928</v>
      </c>
      <c r="L451" s="11">
        <f t="shared" ref="L451:L514" si="484">(I451/60/60/24)+DATE(1970,1,1)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85">(E451/D451)*100</f>
        <v>2.25</v>
      </c>
      <c r="R451" s="7">
        <f t="shared" ref="R451:R514" si="486">IFERROR(E451/N451, 0)</f>
        <v>9</v>
      </c>
      <c r="S451" t="str">
        <f t="shared" ref="S451:S514" si="487">LEFT(P451, SEARCH("/", P451,1)-1)</f>
        <v>film &amp; video</v>
      </c>
      <c r="T451" t="str">
        <f t="shared" ref="T451:T514" si="488">RIGHT(P451,LEN(P451)-SEARCH("/",P451,SEARCH("/",P451)))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ref="K452:L452" si="489">(J452/60/60/24)+DATE(1970,1,1)</f>
        <v>41654.946759259255</v>
      </c>
      <c r="L452" s="11">
        <f t="shared" si="484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85"/>
        <v>0.79200000000000004</v>
      </c>
      <c r="R452" s="7">
        <f t="shared" si="486"/>
        <v>56.571428571428569</v>
      </c>
      <c r="S452" t="str">
        <f t="shared" si="487"/>
        <v>film &amp; video</v>
      </c>
      <c r="T452" t="str">
        <f t="shared" si="488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ref="K453:L453" si="490">(J453/60/60/24)+DATE(1970,1,1)</f>
        <v>41634.715173611112</v>
      </c>
      <c r="L453" s="11">
        <f t="shared" si="484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85"/>
        <v>0</v>
      </c>
      <c r="R453" s="7">
        <f t="shared" si="486"/>
        <v>0</v>
      </c>
      <c r="S453" t="str">
        <f t="shared" si="487"/>
        <v>film &amp; video</v>
      </c>
      <c r="T453" t="str">
        <f t="shared" si="488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ref="K454:L454" si="491">(J454/60/60/24)+DATE(1970,1,1)</f>
        <v>42107.703877314809</v>
      </c>
      <c r="L454" s="11">
        <f t="shared" si="484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85"/>
        <v>64</v>
      </c>
      <c r="R454" s="7">
        <f t="shared" si="486"/>
        <v>40</v>
      </c>
      <c r="S454" t="str">
        <f t="shared" si="487"/>
        <v>film &amp; video</v>
      </c>
      <c r="T454" t="str">
        <f t="shared" si="488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ref="K455:L455" si="492">(J455/60/60/24)+DATE(1970,1,1)</f>
        <v>42038.824988425928</v>
      </c>
      <c r="L455" s="11">
        <f t="shared" si="484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85"/>
        <v>2.7404479578392621E-2</v>
      </c>
      <c r="R455" s="7">
        <f t="shared" si="486"/>
        <v>13</v>
      </c>
      <c r="S455" t="str">
        <f t="shared" si="487"/>
        <v>film &amp; video</v>
      </c>
      <c r="T455" t="str">
        <f t="shared" si="488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ref="K456:L456" si="493">(J456/60/60/24)+DATE(1970,1,1)</f>
        <v>41938.717256944445</v>
      </c>
      <c r="L456" s="11">
        <f t="shared" si="484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485"/>
        <v>0.82000000000000006</v>
      </c>
      <c r="R456" s="7">
        <f t="shared" si="486"/>
        <v>16.399999999999999</v>
      </c>
      <c r="S456" t="str">
        <f t="shared" si="487"/>
        <v>film &amp; video</v>
      </c>
      <c r="T456" t="str">
        <f t="shared" si="488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ref="K457:L457" si="494">(J457/60/60/24)+DATE(1970,1,1)</f>
        <v>40971.002569444441</v>
      </c>
      <c r="L457" s="11">
        <f t="shared" si="484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485"/>
        <v>6.9230769230769221E-2</v>
      </c>
      <c r="R457" s="7">
        <f t="shared" si="486"/>
        <v>22.5</v>
      </c>
      <c r="S457" t="str">
        <f t="shared" si="487"/>
        <v>film &amp; video</v>
      </c>
      <c r="T457" t="str">
        <f t="shared" si="488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ref="K458:L458" si="495">(J458/60/60/24)+DATE(1970,1,1)</f>
        <v>41547.694456018515</v>
      </c>
      <c r="L458" s="11">
        <f t="shared" si="484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485"/>
        <v>0.68631863186318631</v>
      </c>
      <c r="R458" s="7">
        <f t="shared" si="486"/>
        <v>20.333333333333332</v>
      </c>
      <c r="S458" t="str">
        <f t="shared" si="487"/>
        <v>film &amp; video</v>
      </c>
      <c r="T458" t="str">
        <f t="shared" si="488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ref="K459:L459" si="496">(J459/60/60/24)+DATE(1970,1,1)</f>
        <v>41837.767500000002</v>
      </c>
      <c r="L459" s="11">
        <f t="shared" si="484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85"/>
        <v>0</v>
      </c>
      <c r="R459" s="7">
        <f t="shared" si="486"/>
        <v>0</v>
      </c>
      <c r="S459" t="str">
        <f t="shared" si="487"/>
        <v>film &amp; video</v>
      </c>
      <c r="T459" t="str">
        <f t="shared" si="488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ref="K460:L460" si="497">(J460/60/60/24)+DATE(1970,1,1)</f>
        <v>41378.69976851852</v>
      </c>
      <c r="L460" s="11">
        <f t="shared" si="484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85"/>
        <v>8.2100000000000009</v>
      </c>
      <c r="R460" s="7">
        <f t="shared" si="486"/>
        <v>16.755102040816325</v>
      </c>
      <c r="S460" t="str">
        <f t="shared" si="487"/>
        <v>film &amp; video</v>
      </c>
      <c r="T460" t="str">
        <f t="shared" si="488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ref="K461:L461" si="498">(J461/60/60/24)+DATE(1970,1,1)</f>
        <v>40800.6403587963</v>
      </c>
      <c r="L461" s="11">
        <f t="shared" si="484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485"/>
        <v>6.4102564102564097E-2</v>
      </c>
      <c r="R461" s="7">
        <f t="shared" si="486"/>
        <v>25</v>
      </c>
      <c r="S461" t="str">
        <f t="shared" si="487"/>
        <v>film &amp; video</v>
      </c>
      <c r="T461" t="str">
        <f t="shared" si="488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ref="K462:L462" si="499">(J462/60/60/24)+DATE(1970,1,1)</f>
        <v>41759.542534722219</v>
      </c>
      <c r="L462" s="11">
        <f t="shared" si="484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485"/>
        <v>0.29411764705882354</v>
      </c>
      <c r="R462" s="7">
        <f t="shared" si="486"/>
        <v>12.5</v>
      </c>
      <c r="S462" t="str">
        <f t="shared" si="487"/>
        <v>film &amp; video</v>
      </c>
      <c r="T462" t="str">
        <f t="shared" si="488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ref="K463:L463" si="500">(J463/60/60/24)+DATE(1970,1,1)</f>
        <v>41407.84684027778</v>
      </c>
      <c r="L463" s="11">
        <f t="shared" si="484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85"/>
        <v>0</v>
      </c>
      <c r="R463" s="7">
        <f t="shared" si="486"/>
        <v>0</v>
      </c>
      <c r="S463" t="str">
        <f t="shared" si="487"/>
        <v>film &amp; video</v>
      </c>
      <c r="T463" t="str">
        <f t="shared" si="488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ref="K464:L464" si="501">(J464/60/60/24)+DATE(1970,1,1)</f>
        <v>40705.126631944448</v>
      </c>
      <c r="L464" s="11">
        <f t="shared" si="484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85"/>
        <v>0</v>
      </c>
      <c r="R464" s="7">
        <f t="shared" si="486"/>
        <v>0</v>
      </c>
      <c r="S464" t="str">
        <f t="shared" si="487"/>
        <v>film &amp; video</v>
      </c>
      <c r="T464" t="str">
        <f t="shared" si="488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ref="K465:L465" si="502">(J465/60/60/24)+DATE(1970,1,1)</f>
        <v>40750.710104166668</v>
      </c>
      <c r="L465" s="11">
        <f t="shared" si="484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85"/>
        <v>2.2727272727272729</v>
      </c>
      <c r="R465" s="7">
        <f t="shared" si="486"/>
        <v>113.63636363636364</v>
      </c>
      <c r="S465" t="str">
        <f t="shared" si="487"/>
        <v>film &amp; video</v>
      </c>
      <c r="T465" t="str">
        <f t="shared" si="488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ref="K466:L466" si="503">(J466/60/60/24)+DATE(1970,1,1)</f>
        <v>42488.848784722228</v>
      </c>
      <c r="L466" s="11">
        <f t="shared" si="484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85"/>
        <v>9.9009900990099015E-2</v>
      </c>
      <c r="R466" s="7">
        <f t="shared" si="486"/>
        <v>1</v>
      </c>
      <c r="S466" t="str">
        <f t="shared" si="487"/>
        <v>film &amp; video</v>
      </c>
      <c r="T466" t="str">
        <f t="shared" si="488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ref="K467:L467" si="504">(J467/60/60/24)+DATE(1970,1,1)</f>
        <v>41801.120069444441</v>
      </c>
      <c r="L467" s="11">
        <f t="shared" si="484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85"/>
        <v>26.953125</v>
      </c>
      <c r="R467" s="7">
        <f t="shared" si="486"/>
        <v>17.25</v>
      </c>
      <c r="S467" t="str">
        <f t="shared" si="487"/>
        <v>film &amp; video</v>
      </c>
      <c r="T467" t="str">
        <f t="shared" si="488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ref="K468:L468" si="505">(J468/60/60/24)+DATE(1970,1,1)</f>
        <v>41129.942870370374</v>
      </c>
      <c r="L468" s="11">
        <f t="shared" si="484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85"/>
        <v>0.76</v>
      </c>
      <c r="R468" s="7">
        <f t="shared" si="486"/>
        <v>15.2</v>
      </c>
      <c r="S468" t="str">
        <f t="shared" si="487"/>
        <v>film &amp; video</v>
      </c>
      <c r="T468" t="str">
        <f t="shared" si="488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ref="K469:L469" si="506">(J469/60/60/24)+DATE(1970,1,1)</f>
        <v>41135.679791666669</v>
      </c>
      <c r="L469" s="11">
        <f t="shared" si="484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85"/>
        <v>21.574999999999999</v>
      </c>
      <c r="R469" s="7">
        <f t="shared" si="486"/>
        <v>110.64102564102564</v>
      </c>
      <c r="S469" t="str">
        <f t="shared" si="487"/>
        <v>film &amp; video</v>
      </c>
      <c r="T469" t="str">
        <f t="shared" si="488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ref="K470:L470" si="507">(J470/60/60/24)+DATE(1970,1,1)</f>
        <v>41041.167627314811</v>
      </c>
      <c r="L470" s="11">
        <f t="shared" si="484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485"/>
        <v>0</v>
      </c>
      <c r="R470" s="7">
        <f t="shared" si="486"/>
        <v>0</v>
      </c>
      <c r="S470" t="str">
        <f t="shared" si="487"/>
        <v>film &amp; video</v>
      </c>
      <c r="T470" t="str">
        <f t="shared" si="488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ref="K471:L471" si="508">(J471/60/60/24)+DATE(1970,1,1)</f>
        <v>41827.989861111113</v>
      </c>
      <c r="L471" s="11">
        <f t="shared" si="484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85"/>
        <v>0</v>
      </c>
      <c r="R471" s="7">
        <f t="shared" si="486"/>
        <v>0</v>
      </c>
      <c r="S471" t="str">
        <f t="shared" si="487"/>
        <v>film &amp; video</v>
      </c>
      <c r="T471" t="str">
        <f t="shared" si="488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ref="K472:L472" si="509">(J472/60/60/24)+DATE(1970,1,1)</f>
        <v>41605.167696759258</v>
      </c>
      <c r="L472" s="11">
        <f t="shared" si="484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485"/>
        <v>1.02</v>
      </c>
      <c r="R472" s="7">
        <f t="shared" si="486"/>
        <v>25.5</v>
      </c>
      <c r="S472" t="str">
        <f t="shared" si="487"/>
        <v>film &amp; video</v>
      </c>
      <c r="T472" t="str">
        <f t="shared" si="488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ref="K473:L473" si="510">(J473/60/60/24)+DATE(1970,1,1)</f>
        <v>41703.721979166665</v>
      </c>
      <c r="L473" s="11">
        <f t="shared" si="484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485"/>
        <v>11.892727272727273</v>
      </c>
      <c r="R473" s="7">
        <f t="shared" si="486"/>
        <v>38.476470588235294</v>
      </c>
      <c r="S473" t="str">
        <f t="shared" si="487"/>
        <v>film &amp; video</v>
      </c>
      <c r="T473" t="str">
        <f t="shared" si="488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ref="K474:L474" si="511">(J474/60/60/24)+DATE(1970,1,1)</f>
        <v>41844.922662037039</v>
      </c>
      <c r="L474" s="11">
        <f t="shared" si="484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85"/>
        <v>17.625</v>
      </c>
      <c r="R474" s="7">
        <f t="shared" si="486"/>
        <v>28.2</v>
      </c>
      <c r="S474" t="str">
        <f t="shared" si="487"/>
        <v>film &amp; video</v>
      </c>
      <c r="T474" t="str">
        <f t="shared" si="488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ref="K475:L475" si="512">(J475/60/60/24)+DATE(1970,1,1)</f>
        <v>41869.698136574072</v>
      </c>
      <c r="L475" s="11">
        <f t="shared" si="484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85"/>
        <v>2.87</v>
      </c>
      <c r="R475" s="7">
        <f t="shared" si="486"/>
        <v>61.5</v>
      </c>
      <c r="S475" t="str">
        <f t="shared" si="487"/>
        <v>film &amp; video</v>
      </c>
      <c r="T475" t="str">
        <f t="shared" si="488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ref="K476:L476" si="513">(J476/60/60/24)+DATE(1970,1,1)</f>
        <v>42753.329039351855</v>
      </c>
      <c r="L476" s="11">
        <f t="shared" si="484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85"/>
        <v>3.0303030303030304E-2</v>
      </c>
      <c r="R476" s="7">
        <f t="shared" si="486"/>
        <v>1</v>
      </c>
      <c r="S476" t="str">
        <f t="shared" si="487"/>
        <v>film &amp; video</v>
      </c>
      <c r="T476" t="str">
        <f t="shared" si="488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ref="K477:L477" si="514">(J477/60/60/24)+DATE(1970,1,1)</f>
        <v>42100.086145833338</v>
      </c>
      <c r="L477" s="11">
        <f t="shared" si="484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85"/>
        <v>0</v>
      </c>
      <c r="R477" s="7">
        <f t="shared" si="486"/>
        <v>0</v>
      </c>
      <c r="S477" t="str">
        <f t="shared" si="487"/>
        <v>film &amp; video</v>
      </c>
      <c r="T477" t="str">
        <f t="shared" si="488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ref="K478:L478" si="515">(J478/60/60/24)+DATE(1970,1,1)</f>
        <v>41757.975011574075</v>
      </c>
      <c r="L478" s="11">
        <f t="shared" si="484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85"/>
        <v>2.230268181818182</v>
      </c>
      <c r="R478" s="7">
        <f t="shared" si="486"/>
        <v>39.569274193548388</v>
      </c>
      <c r="S478" t="str">
        <f t="shared" si="487"/>
        <v>film &amp; video</v>
      </c>
      <c r="T478" t="str">
        <f t="shared" si="488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ref="K479:L479" si="516">(J479/60/60/24)+DATE(1970,1,1)</f>
        <v>40987.83488425926</v>
      </c>
      <c r="L479" s="11">
        <f t="shared" si="484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85"/>
        <v>0</v>
      </c>
      <c r="R479" s="7">
        <f t="shared" si="486"/>
        <v>0</v>
      </c>
      <c r="S479" t="str">
        <f t="shared" si="487"/>
        <v>film &amp; video</v>
      </c>
      <c r="T479" t="str">
        <f t="shared" si="488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ref="K480:L480" si="517">(J480/60/60/24)+DATE(1970,1,1)</f>
        <v>42065.910983796297</v>
      </c>
      <c r="L480" s="11">
        <f t="shared" si="484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485"/>
        <v>0</v>
      </c>
      <c r="R480" s="7">
        <f t="shared" si="486"/>
        <v>0</v>
      </c>
      <c r="S480" t="str">
        <f t="shared" si="487"/>
        <v>film &amp; video</v>
      </c>
      <c r="T480" t="str">
        <f t="shared" si="488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ref="K481:L481" si="518">(J481/60/60/24)+DATE(1970,1,1)</f>
        <v>41904.407812500001</v>
      </c>
      <c r="L481" s="11">
        <f t="shared" si="484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485"/>
        <v>32.56</v>
      </c>
      <c r="R481" s="7">
        <f t="shared" si="486"/>
        <v>88.8</v>
      </c>
      <c r="S481" t="str">
        <f t="shared" si="487"/>
        <v>film &amp; video</v>
      </c>
      <c r="T481" t="str">
        <f t="shared" si="488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ref="K482:L482" si="519">(J482/60/60/24)+DATE(1970,1,1)</f>
        <v>41465.500173611108</v>
      </c>
      <c r="L482" s="11">
        <f t="shared" si="484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85"/>
        <v>19.41</v>
      </c>
      <c r="R482" s="7">
        <f t="shared" si="486"/>
        <v>55.457142857142856</v>
      </c>
      <c r="S482" t="str">
        <f t="shared" si="487"/>
        <v>film &amp; video</v>
      </c>
      <c r="T482" t="str">
        <f t="shared" si="488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ref="K483:L483" si="520">(J483/60/60/24)+DATE(1970,1,1)</f>
        <v>41162.672326388885</v>
      </c>
      <c r="L483" s="11">
        <f t="shared" si="484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85"/>
        <v>6.1</v>
      </c>
      <c r="R483" s="7">
        <f t="shared" si="486"/>
        <v>87.142857142857139</v>
      </c>
      <c r="S483" t="str">
        <f t="shared" si="487"/>
        <v>film &amp; video</v>
      </c>
      <c r="T483" t="str">
        <f t="shared" si="488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ref="K484:L484" si="521">(J484/60/60/24)+DATE(1970,1,1)</f>
        <v>42447.896875000006</v>
      </c>
      <c r="L484" s="11">
        <f t="shared" si="484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485"/>
        <v>0.1</v>
      </c>
      <c r="R484" s="7">
        <f t="shared" si="486"/>
        <v>10</v>
      </c>
      <c r="S484" t="str">
        <f t="shared" si="487"/>
        <v>film &amp; video</v>
      </c>
      <c r="T484" t="str">
        <f t="shared" si="488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ref="K485:L485" si="522">(J485/60/60/24)+DATE(1970,1,1)</f>
        <v>41243.197592592594</v>
      </c>
      <c r="L485" s="11">
        <f t="shared" si="484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85"/>
        <v>50.2</v>
      </c>
      <c r="R485" s="7">
        <f t="shared" si="486"/>
        <v>51.224489795918366</v>
      </c>
      <c r="S485" t="str">
        <f t="shared" si="487"/>
        <v>film &amp; video</v>
      </c>
      <c r="T485" t="str">
        <f t="shared" si="488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ref="K486:L486" si="523">(J486/60/60/24)+DATE(1970,1,1)</f>
        <v>42272.93949074074</v>
      </c>
      <c r="L486" s="11">
        <f t="shared" si="484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485"/>
        <v>0.18625</v>
      </c>
      <c r="R486" s="7">
        <f t="shared" si="486"/>
        <v>13.545454545454545</v>
      </c>
      <c r="S486" t="str">
        <f t="shared" si="487"/>
        <v>film &amp; video</v>
      </c>
      <c r="T486" t="str">
        <f t="shared" si="488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ref="K487:L487" si="524">(J487/60/60/24)+DATE(1970,1,1)</f>
        <v>41381.50577546296</v>
      </c>
      <c r="L487" s="11">
        <f t="shared" si="484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85"/>
        <v>21.906971229845084</v>
      </c>
      <c r="R487" s="7">
        <f t="shared" si="486"/>
        <v>66.520080000000007</v>
      </c>
      <c r="S487" t="str">
        <f t="shared" si="487"/>
        <v>film &amp; video</v>
      </c>
      <c r="T487" t="str">
        <f t="shared" si="488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ref="K488:L488" si="525">(J488/60/60/24)+DATE(1970,1,1)</f>
        <v>41761.94258101852</v>
      </c>
      <c r="L488" s="11">
        <f t="shared" si="484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85"/>
        <v>9.0909090909090905E-3</v>
      </c>
      <c r="R488" s="7">
        <f t="shared" si="486"/>
        <v>50</v>
      </c>
      <c r="S488" t="str">
        <f t="shared" si="487"/>
        <v>film &amp; video</v>
      </c>
      <c r="T488" t="str">
        <f t="shared" si="488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ref="K489:L489" si="526">(J489/60/60/24)+DATE(1970,1,1)</f>
        <v>42669.594837962963</v>
      </c>
      <c r="L489" s="11">
        <f t="shared" si="484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485"/>
        <v>0</v>
      </c>
      <c r="R489" s="7">
        <f t="shared" si="486"/>
        <v>0</v>
      </c>
      <c r="S489" t="str">
        <f t="shared" si="487"/>
        <v>film &amp; video</v>
      </c>
      <c r="T489" t="str">
        <f t="shared" si="488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ref="K490:L490" si="527">(J490/60/60/24)+DATE(1970,1,1)</f>
        <v>42714.054398148146</v>
      </c>
      <c r="L490" s="11">
        <f t="shared" si="484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85"/>
        <v>0</v>
      </c>
      <c r="R490" s="7">
        <f t="shared" si="486"/>
        <v>0</v>
      </c>
      <c r="S490" t="str">
        <f t="shared" si="487"/>
        <v>film &amp; video</v>
      </c>
      <c r="T490" t="str">
        <f t="shared" si="488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ref="K491:L491" si="528">(J491/60/60/24)+DATE(1970,1,1)</f>
        <v>40882.481666666667</v>
      </c>
      <c r="L491" s="11">
        <f t="shared" si="484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485"/>
        <v>0.28667813379201834</v>
      </c>
      <c r="R491" s="7">
        <f t="shared" si="486"/>
        <v>71.666666666666671</v>
      </c>
      <c r="S491" t="str">
        <f t="shared" si="487"/>
        <v>film &amp; video</v>
      </c>
      <c r="T491" t="str">
        <f t="shared" si="488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ref="K492:L492" si="529">(J492/60/60/24)+DATE(1970,1,1)</f>
        <v>41113.968576388892</v>
      </c>
      <c r="L492" s="11">
        <f t="shared" si="484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85"/>
        <v>0</v>
      </c>
      <c r="R492" s="7">
        <f t="shared" si="486"/>
        <v>0</v>
      </c>
      <c r="S492" t="str">
        <f t="shared" si="487"/>
        <v>film &amp; video</v>
      </c>
      <c r="T492" t="str">
        <f t="shared" si="488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ref="K493:L493" si="530">(J493/60/60/24)+DATE(1970,1,1)</f>
        <v>42366.982627314821</v>
      </c>
      <c r="L493" s="11">
        <f t="shared" si="484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85"/>
        <v>0</v>
      </c>
      <c r="R493" s="7">
        <f t="shared" si="486"/>
        <v>0</v>
      </c>
      <c r="S493" t="str">
        <f t="shared" si="487"/>
        <v>film &amp; video</v>
      </c>
      <c r="T493" t="str">
        <f t="shared" si="488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ref="K494:L494" si="531">(J494/60/60/24)+DATE(1970,1,1)</f>
        <v>42596.03506944445</v>
      </c>
      <c r="L494" s="11">
        <f t="shared" si="484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85"/>
        <v>0</v>
      </c>
      <c r="R494" s="7">
        <f t="shared" si="486"/>
        <v>0</v>
      </c>
      <c r="S494" t="str">
        <f t="shared" si="487"/>
        <v>film &amp; video</v>
      </c>
      <c r="T494" t="str">
        <f t="shared" si="488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ref="K495:L495" si="532">(J495/60/60/24)+DATE(1970,1,1)</f>
        <v>42114.726134259254</v>
      </c>
      <c r="L495" s="11">
        <f t="shared" si="484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85"/>
        <v>0</v>
      </c>
      <c r="R495" s="7">
        <f t="shared" si="486"/>
        <v>0</v>
      </c>
      <c r="S495" t="str">
        <f t="shared" si="487"/>
        <v>film &amp; video</v>
      </c>
      <c r="T495" t="str">
        <f t="shared" si="488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ref="K496:L496" si="533">(J496/60/60/24)+DATE(1970,1,1)</f>
        <v>41799.830613425926</v>
      </c>
      <c r="L496" s="11">
        <f t="shared" si="484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485"/>
        <v>0.155</v>
      </c>
      <c r="R496" s="7">
        <f t="shared" si="486"/>
        <v>10.333333333333334</v>
      </c>
      <c r="S496" t="str">
        <f t="shared" si="487"/>
        <v>film &amp; video</v>
      </c>
      <c r="T496" t="str">
        <f t="shared" si="488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ref="K497:L497" si="534">(J497/60/60/24)+DATE(1970,1,1)</f>
        <v>42171.827604166669</v>
      </c>
      <c r="L497" s="11">
        <f t="shared" si="484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85"/>
        <v>0</v>
      </c>
      <c r="R497" s="7">
        <f t="shared" si="486"/>
        <v>0</v>
      </c>
      <c r="S497" t="str">
        <f t="shared" si="487"/>
        <v>film &amp; video</v>
      </c>
      <c r="T497" t="str">
        <f t="shared" si="488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ref="K498:L498" si="535">(J498/60/60/24)+DATE(1970,1,1)</f>
        <v>41620.93141203704</v>
      </c>
      <c r="L498" s="11">
        <f t="shared" si="484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85"/>
        <v>1.6666666666666668E-3</v>
      </c>
      <c r="R498" s="7">
        <f t="shared" si="486"/>
        <v>1</v>
      </c>
      <c r="S498" t="str">
        <f t="shared" si="487"/>
        <v>film &amp; video</v>
      </c>
      <c r="T498" t="str">
        <f t="shared" si="488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ref="K499:L499" si="536">(J499/60/60/24)+DATE(1970,1,1)</f>
        <v>41945.037789351853</v>
      </c>
      <c r="L499" s="11">
        <f t="shared" si="484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485"/>
        <v>0.6696428571428571</v>
      </c>
      <c r="R499" s="7">
        <f t="shared" si="486"/>
        <v>10</v>
      </c>
      <c r="S499" t="str">
        <f t="shared" si="487"/>
        <v>film &amp; video</v>
      </c>
      <c r="T499" t="str">
        <f t="shared" si="488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ref="K500:L500" si="537">(J500/60/60/24)+DATE(1970,1,1)</f>
        <v>40858.762141203704</v>
      </c>
      <c r="L500" s="11">
        <f t="shared" si="484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85"/>
        <v>4.5985132395404564</v>
      </c>
      <c r="R500" s="7">
        <f t="shared" si="486"/>
        <v>136.09090909090909</v>
      </c>
      <c r="S500" t="str">
        <f t="shared" si="487"/>
        <v>film &amp; video</v>
      </c>
      <c r="T500" t="str">
        <f t="shared" si="488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ref="K501:L501" si="538">(J501/60/60/24)+DATE(1970,1,1)</f>
        <v>40043.895462962959</v>
      </c>
      <c r="L501" s="11">
        <f t="shared" si="484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485"/>
        <v>9.5500000000000007</v>
      </c>
      <c r="R501" s="7">
        <f t="shared" si="486"/>
        <v>73.461538461538467</v>
      </c>
      <c r="S501" t="str">
        <f t="shared" si="487"/>
        <v>film &amp; video</v>
      </c>
      <c r="T501" t="str">
        <f t="shared" si="488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ref="K502:L502" si="539">(J502/60/60/24)+DATE(1970,1,1)</f>
        <v>40247.886006944449</v>
      </c>
      <c r="L502" s="11">
        <f t="shared" si="484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485"/>
        <v>3.3076923076923079</v>
      </c>
      <c r="R502" s="7">
        <f t="shared" si="486"/>
        <v>53.75</v>
      </c>
      <c r="S502" t="str">
        <f t="shared" si="487"/>
        <v>film &amp; video</v>
      </c>
      <c r="T502" t="str">
        <f t="shared" si="488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ref="K503:L503" si="540">(J503/60/60/24)+DATE(1970,1,1)</f>
        <v>40703.234386574077</v>
      </c>
      <c r="L503" s="11">
        <f t="shared" si="484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85"/>
        <v>0</v>
      </c>
      <c r="R503" s="7">
        <f t="shared" si="486"/>
        <v>0</v>
      </c>
      <c r="S503" t="str">
        <f t="shared" si="487"/>
        <v>film &amp; video</v>
      </c>
      <c r="T503" t="str">
        <f t="shared" si="488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ref="K504:L504" si="541">(J504/60/60/24)+DATE(1970,1,1)</f>
        <v>40956.553530092591</v>
      </c>
      <c r="L504" s="11">
        <f t="shared" si="484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485"/>
        <v>1.1499999999999999</v>
      </c>
      <c r="R504" s="7">
        <f t="shared" si="486"/>
        <v>57.5</v>
      </c>
      <c r="S504" t="str">
        <f t="shared" si="487"/>
        <v>film &amp; video</v>
      </c>
      <c r="T504" t="str">
        <f t="shared" si="488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ref="K505:L505" si="542">(J505/60/60/24)+DATE(1970,1,1)</f>
        <v>41991.526655092588</v>
      </c>
      <c r="L505" s="11">
        <f t="shared" si="484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85"/>
        <v>1.7538461538461538</v>
      </c>
      <c r="R505" s="7">
        <f t="shared" si="486"/>
        <v>12.666666666666666</v>
      </c>
      <c r="S505" t="str">
        <f t="shared" si="487"/>
        <v>film &amp; video</v>
      </c>
      <c r="T505" t="str">
        <f t="shared" si="488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ref="K506:L506" si="543">(J506/60/60/24)+DATE(1970,1,1)</f>
        <v>40949.98364583333</v>
      </c>
      <c r="L506" s="11">
        <f t="shared" si="484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485"/>
        <v>1.3673469387755102</v>
      </c>
      <c r="R506" s="7">
        <f t="shared" si="486"/>
        <v>67</v>
      </c>
      <c r="S506" t="str">
        <f t="shared" si="487"/>
        <v>film &amp; video</v>
      </c>
      <c r="T506" t="str">
        <f t="shared" si="488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ref="K507:L507" si="544">(J507/60/60/24)+DATE(1970,1,1)</f>
        <v>42318.098217592589</v>
      </c>
      <c r="L507" s="11">
        <f t="shared" si="484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85"/>
        <v>0.43333333333333329</v>
      </c>
      <c r="R507" s="7">
        <f t="shared" si="486"/>
        <v>3.7142857142857144</v>
      </c>
      <c r="S507" t="str">
        <f t="shared" si="487"/>
        <v>film &amp; video</v>
      </c>
      <c r="T507" t="str">
        <f t="shared" si="488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ref="K508:L508" si="545">(J508/60/60/24)+DATE(1970,1,1)</f>
        <v>41466.552314814813</v>
      </c>
      <c r="L508" s="11">
        <f t="shared" si="484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85"/>
        <v>0.125</v>
      </c>
      <c r="R508" s="7">
        <f t="shared" si="486"/>
        <v>250</v>
      </c>
      <c r="S508" t="str">
        <f t="shared" si="487"/>
        <v>film &amp; video</v>
      </c>
      <c r="T508" t="str">
        <f t="shared" si="488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ref="K509:L509" si="546">(J509/60/60/24)+DATE(1970,1,1)</f>
        <v>41156.958993055552</v>
      </c>
      <c r="L509" s="11">
        <f t="shared" si="484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85"/>
        <v>3.2</v>
      </c>
      <c r="R509" s="7">
        <f t="shared" si="486"/>
        <v>64</v>
      </c>
      <c r="S509" t="str">
        <f t="shared" si="487"/>
        <v>film &amp; video</v>
      </c>
      <c r="T509" t="str">
        <f t="shared" si="488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ref="K510:L510" si="547">(J510/60/60/24)+DATE(1970,1,1)</f>
        <v>40995.024317129632</v>
      </c>
      <c r="L510" s="11">
        <f t="shared" si="484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485"/>
        <v>0.8</v>
      </c>
      <c r="R510" s="7">
        <f t="shared" si="486"/>
        <v>133.33333333333334</v>
      </c>
      <c r="S510" t="str">
        <f t="shared" si="487"/>
        <v>film &amp; video</v>
      </c>
      <c r="T510" t="str">
        <f t="shared" si="488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ref="K511:L511" si="548">(J511/60/60/24)+DATE(1970,1,1)</f>
        <v>42153.631597222222</v>
      </c>
      <c r="L511" s="11">
        <f t="shared" si="484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85"/>
        <v>0.2</v>
      </c>
      <c r="R511" s="7">
        <f t="shared" si="486"/>
        <v>10</v>
      </c>
      <c r="S511" t="str">
        <f t="shared" si="487"/>
        <v>film &amp; video</v>
      </c>
      <c r="T511" t="str">
        <f t="shared" si="488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ref="K512:L512" si="549">(J512/60/60/24)+DATE(1970,1,1)</f>
        <v>42400.176377314812</v>
      </c>
      <c r="L512" s="11">
        <f t="shared" si="484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85"/>
        <v>0</v>
      </c>
      <c r="R512" s="7">
        <f t="shared" si="486"/>
        <v>0</v>
      </c>
      <c r="S512" t="str">
        <f t="shared" si="487"/>
        <v>film &amp; video</v>
      </c>
      <c r="T512" t="str">
        <f t="shared" si="488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ref="K513:L513" si="550">(J513/60/60/24)+DATE(1970,1,1)</f>
        <v>41340.303032407406</v>
      </c>
      <c r="L513" s="11">
        <f t="shared" si="484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485"/>
        <v>3</v>
      </c>
      <c r="R513" s="7">
        <f t="shared" si="486"/>
        <v>30</v>
      </c>
      <c r="S513" t="str">
        <f t="shared" si="487"/>
        <v>film &amp; video</v>
      </c>
      <c r="T513" t="str">
        <f t="shared" si="488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ref="K514:L514" si="551">(J514/60/60/24)+DATE(1970,1,1)</f>
        <v>42649.742210648154</v>
      </c>
      <c r="L514" s="11">
        <f t="shared" si="484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si="485"/>
        <v>0.13749999999999998</v>
      </c>
      <c r="R514" s="7">
        <f t="shared" si="486"/>
        <v>5.5</v>
      </c>
      <c r="S514" t="str">
        <f t="shared" si="487"/>
        <v>film &amp; video</v>
      </c>
      <c r="T514" t="str">
        <f t="shared" si="488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ref="K515:L515" si="552">(J515/60/60/24)+DATE(1970,1,1)</f>
        <v>42552.653993055559</v>
      </c>
      <c r="L515" s="11">
        <f t="shared" ref="L515:L578" si="553">(I515/60/60/24)+DATE(1970,1,1)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54">(E515/D515)*100</f>
        <v>13.923999999999999</v>
      </c>
      <c r="R515" s="7">
        <f t="shared" ref="R515:R578" si="555">IFERROR(E515/N515, 0)</f>
        <v>102.38235294117646</v>
      </c>
      <c r="S515" t="str">
        <f t="shared" ref="S515:S578" si="556">LEFT(P515, SEARCH("/", P515,1)-1)</f>
        <v>film &amp; video</v>
      </c>
      <c r="T515" t="str">
        <f t="shared" ref="T515:T578" si="557">RIGHT(P515,LEN(P515)-SEARCH("/",P515,SEARCH("/",P515)))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ref="K516:L516" si="558">(J516/60/60/24)+DATE(1970,1,1)</f>
        <v>41830.613969907405</v>
      </c>
      <c r="L516" s="11">
        <f t="shared" si="55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54"/>
        <v>3.3333333333333335</v>
      </c>
      <c r="R516" s="7">
        <f t="shared" si="555"/>
        <v>16.666666666666668</v>
      </c>
      <c r="S516" t="str">
        <f t="shared" si="556"/>
        <v>film &amp; video</v>
      </c>
      <c r="T516" t="str">
        <f t="shared" si="557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ref="K517:L517" si="559">(J517/60/60/24)+DATE(1970,1,1)</f>
        <v>42327.490752314814</v>
      </c>
      <c r="L517" s="11">
        <f t="shared" si="55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54"/>
        <v>25.41340206185567</v>
      </c>
      <c r="R517" s="7">
        <f t="shared" si="555"/>
        <v>725.02941176470586</v>
      </c>
      <c r="S517" t="str">
        <f t="shared" si="556"/>
        <v>film &amp; video</v>
      </c>
      <c r="T517" t="str">
        <f t="shared" si="557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ref="K518:L518" si="560">(J518/60/60/24)+DATE(1970,1,1)</f>
        <v>42091.778703703705</v>
      </c>
      <c r="L518" s="11">
        <f t="shared" si="55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54"/>
        <v>0</v>
      </c>
      <c r="R518" s="7">
        <f t="shared" si="555"/>
        <v>0</v>
      </c>
      <c r="S518" t="str">
        <f t="shared" si="556"/>
        <v>film &amp; video</v>
      </c>
      <c r="T518" t="str">
        <f t="shared" si="557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ref="K519:L519" si="561">(J519/60/60/24)+DATE(1970,1,1)</f>
        <v>42738.615289351852</v>
      </c>
      <c r="L519" s="11">
        <f t="shared" si="55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54"/>
        <v>1.3666666666666667</v>
      </c>
      <c r="R519" s="7">
        <f t="shared" si="555"/>
        <v>68.333333333333329</v>
      </c>
      <c r="S519" t="str">
        <f t="shared" si="556"/>
        <v>film &amp; video</v>
      </c>
      <c r="T519" t="str">
        <f t="shared" si="557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ref="K520:L520" si="562">(J520/60/60/24)+DATE(1970,1,1)</f>
        <v>42223.616018518514</v>
      </c>
      <c r="L520" s="11">
        <f t="shared" si="55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554"/>
        <v>0</v>
      </c>
      <c r="R520" s="7">
        <f t="shared" si="555"/>
        <v>0</v>
      </c>
      <c r="S520" t="str">
        <f t="shared" si="556"/>
        <v>film &amp; video</v>
      </c>
      <c r="T520" t="str">
        <f t="shared" si="557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ref="K521:L521" si="563">(J521/60/60/24)+DATE(1970,1,1)</f>
        <v>41218.391446759262</v>
      </c>
      <c r="L521" s="11">
        <f t="shared" si="55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54"/>
        <v>22.881426547787683</v>
      </c>
      <c r="R521" s="7">
        <f t="shared" si="555"/>
        <v>39.228571428571428</v>
      </c>
      <c r="S521" t="str">
        <f t="shared" si="556"/>
        <v>film &amp; video</v>
      </c>
      <c r="T521" t="str">
        <f t="shared" si="557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ref="K522:L522" si="564">(J522/60/60/24)+DATE(1970,1,1)</f>
        <v>42318.702094907407</v>
      </c>
      <c r="L522" s="11">
        <f t="shared" si="55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54"/>
        <v>102.1</v>
      </c>
      <c r="R522" s="7">
        <f t="shared" si="555"/>
        <v>150.14705882352942</v>
      </c>
      <c r="S522" t="str">
        <f t="shared" si="556"/>
        <v>theater</v>
      </c>
      <c r="T522" t="str">
        <f t="shared" si="557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ref="K523:L523" si="565">(J523/60/60/24)+DATE(1970,1,1)</f>
        <v>42646.092812499999</v>
      </c>
      <c r="L523" s="11">
        <f t="shared" si="55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554"/>
        <v>104.64</v>
      </c>
      <c r="R523" s="7">
        <f t="shared" si="555"/>
        <v>93.428571428571431</v>
      </c>
      <c r="S523" t="str">
        <f t="shared" si="556"/>
        <v>theater</v>
      </c>
      <c r="T523" t="str">
        <f t="shared" si="557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ref="K524:L524" si="566">(J524/60/60/24)+DATE(1970,1,1)</f>
        <v>42430.040798611109</v>
      </c>
      <c r="L524" s="11">
        <f t="shared" si="55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554"/>
        <v>114.66666666666667</v>
      </c>
      <c r="R524" s="7">
        <f t="shared" si="555"/>
        <v>110.96774193548387</v>
      </c>
      <c r="S524" t="str">
        <f t="shared" si="556"/>
        <v>theater</v>
      </c>
      <c r="T524" t="str">
        <f t="shared" si="557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ref="K525:L525" si="567">(J525/60/60/24)+DATE(1970,1,1)</f>
        <v>42238.13282407407</v>
      </c>
      <c r="L525" s="11">
        <f t="shared" si="55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54"/>
        <v>120.6</v>
      </c>
      <c r="R525" s="7">
        <f t="shared" si="555"/>
        <v>71.785714285714292</v>
      </c>
      <c r="S525" t="str">
        <f t="shared" si="556"/>
        <v>theater</v>
      </c>
      <c r="T525" t="str">
        <f t="shared" si="557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ref="K526:L526" si="568">(J526/60/60/24)+DATE(1970,1,1)</f>
        <v>42492.717233796298</v>
      </c>
      <c r="L526" s="11">
        <f t="shared" si="55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54"/>
        <v>108.67285714285715</v>
      </c>
      <c r="R526" s="7">
        <f t="shared" si="555"/>
        <v>29.258076923076924</v>
      </c>
      <c r="S526" t="str">
        <f t="shared" si="556"/>
        <v>theater</v>
      </c>
      <c r="T526" t="str">
        <f t="shared" si="557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ref="K527:L527" si="569">(J527/60/60/24)+DATE(1970,1,1)</f>
        <v>41850.400937500002</v>
      </c>
      <c r="L527" s="11">
        <f t="shared" si="55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54"/>
        <v>100</v>
      </c>
      <c r="R527" s="7">
        <f t="shared" si="555"/>
        <v>1000</v>
      </c>
      <c r="S527" t="str">
        <f t="shared" si="556"/>
        <v>theater</v>
      </c>
      <c r="T527" t="str">
        <f t="shared" si="557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ref="K528:L528" si="570">(J528/60/60/24)+DATE(1970,1,1)</f>
        <v>42192.591944444444</v>
      </c>
      <c r="L528" s="11">
        <f t="shared" si="55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554"/>
        <v>113.99999999999999</v>
      </c>
      <c r="R528" s="7">
        <f t="shared" si="555"/>
        <v>74.347826086956516</v>
      </c>
      <c r="S528" t="str">
        <f t="shared" si="556"/>
        <v>theater</v>
      </c>
      <c r="T528" t="str">
        <f t="shared" si="557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ref="K529:L529" si="571">(J529/60/60/24)+DATE(1970,1,1)</f>
        <v>42753.205625000002</v>
      </c>
      <c r="L529" s="11">
        <f t="shared" si="55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554"/>
        <v>100.85</v>
      </c>
      <c r="R529" s="7">
        <f t="shared" si="555"/>
        <v>63.829113924050631</v>
      </c>
      <c r="S529" t="str">
        <f t="shared" si="556"/>
        <v>theater</v>
      </c>
      <c r="T529" t="str">
        <f t="shared" si="557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ref="K530:L530" si="572">(J530/60/60/24)+DATE(1970,1,1)</f>
        <v>42155.920219907406</v>
      </c>
      <c r="L530" s="11">
        <f t="shared" si="55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554"/>
        <v>115.65217391304347</v>
      </c>
      <c r="R530" s="7">
        <f t="shared" si="555"/>
        <v>44.333333333333336</v>
      </c>
      <c r="S530" t="str">
        <f t="shared" si="556"/>
        <v>theater</v>
      </c>
      <c r="T530" t="str">
        <f t="shared" si="557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ref="K531:L531" si="573">(J531/60/60/24)+DATE(1970,1,1)</f>
        <v>42725.031180555554</v>
      </c>
      <c r="L531" s="11">
        <f t="shared" si="55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554"/>
        <v>130.41666666666666</v>
      </c>
      <c r="R531" s="7">
        <f t="shared" si="555"/>
        <v>86.944444444444443</v>
      </c>
      <c r="S531" t="str">
        <f t="shared" si="556"/>
        <v>theater</v>
      </c>
      <c r="T531" t="str">
        <f t="shared" si="557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ref="K532:L532" si="574">(J532/60/60/24)+DATE(1970,1,1)</f>
        <v>42157.591064814813</v>
      </c>
      <c r="L532" s="11">
        <f t="shared" si="55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554"/>
        <v>107.78267254038178</v>
      </c>
      <c r="R532" s="7">
        <f t="shared" si="555"/>
        <v>126.55172413793103</v>
      </c>
      <c r="S532" t="str">
        <f t="shared" si="556"/>
        <v>theater</v>
      </c>
      <c r="T532" t="str">
        <f t="shared" si="557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ref="K533:L533" si="575">(J533/60/60/24)+DATE(1970,1,1)</f>
        <v>42676.065150462964</v>
      </c>
      <c r="L533" s="11">
        <f t="shared" si="55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554"/>
        <v>100</v>
      </c>
      <c r="R533" s="7">
        <f t="shared" si="555"/>
        <v>129.03225806451613</v>
      </c>
      <c r="S533" t="str">
        <f t="shared" si="556"/>
        <v>theater</v>
      </c>
      <c r="T533" t="str">
        <f t="shared" si="557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ref="K534:L534" si="576">(J534/60/60/24)+DATE(1970,1,1)</f>
        <v>42473.007037037038</v>
      </c>
      <c r="L534" s="11">
        <f t="shared" si="55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54"/>
        <v>123.25</v>
      </c>
      <c r="R534" s="7">
        <f t="shared" si="555"/>
        <v>71.242774566473983</v>
      </c>
      <c r="S534" t="str">
        <f t="shared" si="556"/>
        <v>theater</v>
      </c>
      <c r="T534" t="str">
        <f t="shared" si="557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ref="K535:L535" si="577">(J535/60/60/24)+DATE(1970,1,1)</f>
        <v>42482.43478009259</v>
      </c>
      <c r="L535" s="11">
        <f t="shared" si="55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54"/>
        <v>100.2</v>
      </c>
      <c r="R535" s="7">
        <f t="shared" si="555"/>
        <v>117.88235294117646</v>
      </c>
      <c r="S535" t="str">
        <f t="shared" si="556"/>
        <v>theater</v>
      </c>
      <c r="T535" t="str">
        <f t="shared" si="557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ref="K536:L536" si="578">(J536/60/60/24)+DATE(1970,1,1)</f>
        <v>42270.810995370368</v>
      </c>
      <c r="L536" s="11">
        <f t="shared" si="55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554"/>
        <v>104.66666666666666</v>
      </c>
      <c r="R536" s="7">
        <f t="shared" si="555"/>
        <v>327.08333333333331</v>
      </c>
      <c r="S536" t="str">
        <f t="shared" si="556"/>
        <v>theater</v>
      </c>
      <c r="T536" t="str">
        <f t="shared" si="557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ref="K537:L537" si="579">(J537/60/60/24)+DATE(1970,1,1)</f>
        <v>42711.545196759253</v>
      </c>
      <c r="L537" s="11">
        <f t="shared" si="55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54"/>
        <v>102.49999999999999</v>
      </c>
      <c r="R537" s="7">
        <f t="shared" si="555"/>
        <v>34.745762711864408</v>
      </c>
      <c r="S537" t="str">
        <f t="shared" si="556"/>
        <v>theater</v>
      </c>
      <c r="T537" t="str">
        <f t="shared" si="557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ref="K538:L538" si="580">(J538/60/60/24)+DATE(1970,1,1)</f>
        <v>42179.344988425932</v>
      </c>
      <c r="L538" s="11">
        <f t="shared" si="553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554"/>
        <v>118.25757575757576</v>
      </c>
      <c r="R538" s="7">
        <f t="shared" si="555"/>
        <v>100.06410256410257</v>
      </c>
      <c r="S538" t="str">
        <f t="shared" si="556"/>
        <v>theater</v>
      </c>
      <c r="T538" t="str">
        <f t="shared" si="557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ref="K539:L539" si="581">(J539/60/60/24)+DATE(1970,1,1)</f>
        <v>42282.768414351856</v>
      </c>
      <c r="L539" s="11">
        <f t="shared" si="55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554"/>
        <v>120.5</v>
      </c>
      <c r="R539" s="7">
        <f t="shared" si="555"/>
        <v>40.847457627118644</v>
      </c>
      <c r="S539" t="str">
        <f t="shared" si="556"/>
        <v>theater</v>
      </c>
      <c r="T539" t="str">
        <f t="shared" si="557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ref="K540:L540" si="582">(J540/60/60/24)+DATE(1970,1,1)</f>
        <v>42473.794710648144</v>
      </c>
      <c r="L540" s="11">
        <f t="shared" si="55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54"/>
        <v>302.42</v>
      </c>
      <c r="R540" s="7">
        <f t="shared" si="555"/>
        <v>252.01666666666668</v>
      </c>
      <c r="S540" t="str">
        <f t="shared" si="556"/>
        <v>theater</v>
      </c>
      <c r="T540" t="str">
        <f t="shared" si="557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ref="K541:L541" si="583">(J541/60/60/24)+DATE(1970,1,1)</f>
        <v>42535.049849537041</v>
      </c>
      <c r="L541" s="11">
        <f t="shared" si="55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54"/>
        <v>100.64400000000001</v>
      </c>
      <c r="R541" s="7">
        <f t="shared" si="555"/>
        <v>25.161000000000001</v>
      </c>
      <c r="S541" t="str">
        <f t="shared" si="556"/>
        <v>theater</v>
      </c>
      <c r="T541" t="str">
        <f t="shared" si="557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ref="K542:L542" si="584">(J542/60/60/24)+DATE(1970,1,1)</f>
        <v>42009.817199074074</v>
      </c>
      <c r="L542" s="11">
        <f t="shared" si="55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54"/>
        <v>6.6666666666666671E-3</v>
      </c>
      <c r="R542" s="7">
        <f t="shared" si="555"/>
        <v>1</v>
      </c>
      <c r="S542" t="str">
        <f t="shared" si="556"/>
        <v>technology</v>
      </c>
      <c r="T542" t="str">
        <f t="shared" si="557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ref="K543:L543" si="585">(J543/60/60/24)+DATE(1970,1,1)</f>
        <v>42276.046689814815</v>
      </c>
      <c r="L543" s="11">
        <f t="shared" si="55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54"/>
        <v>0.55555555555555558</v>
      </c>
      <c r="R543" s="7">
        <f t="shared" si="555"/>
        <v>25</v>
      </c>
      <c r="S543" t="str">
        <f t="shared" si="556"/>
        <v>technology</v>
      </c>
      <c r="T543" t="str">
        <f t="shared" si="557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ref="K544:L544" si="586">(J544/60/60/24)+DATE(1970,1,1)</f>
        <v>42433.737453703703</v>
      </c>
      <c r="L544" s="11">
        <f t="shared" si="55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554"/>
        <v>3.9999999999999996E-4</v>
      </c>
      <c r="R544" s="7">
        <f t="shared" si="555"/>
        <v>1</v>
      </c>
      <c r="S544" t="str">
        <f t="shared" si="556"/>
        <v>technology</v>
      </c>
      <c r="T544" t="str">
        <f t="shared" si="557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ref="K545:L545" si="587">(J545/60/60/24)+DATE(1970,1,1)</f>
        <v>41914.092152777775</v>
      </c>
      <c r="L545" s="11">
        <f t="shared" si="55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54"/>
        <v>0.31818181818181818</v>
      </c>
      <c r="R545" s="7">
        <f t="shared" si="555"/>
        <v>35</v>
      </c>
      <c r="S545" t="str">
        <f t="shared" si="556"/>
        <v>technology</v>
      </c>
      <c r="T545" t="str">
        <f t="shared" si="557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ref="K546:L546" si="588">(J546/60/60/24)+DATE(1970,1,1)</f>
        <v>42525.656944444447</v>
      </c>
      <c r="L546" s="11">
        <f t="shared" si="55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54"/>
        <v>1.2</v>
      </c>
      <c r="R546" s="7">
        <f t="shared" si="555"/>
        <v>3</v>
      </c>
      <c r="S546" t="str">
        <f t="shared" si="556"/>
        <v>technology</v>
      </c>
      <c r="T546" t="str">
        <f t="shared" si="557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ref="K547:L547" si="589">(J547/60/60/24)+DATE(1970,1,1)</f>
        <v>42283.592465277776</v>
      </c>
      <c r="L547" s="11">
        <f t="shared" si="55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554"/>
        <v>27.383999999999997</v>
      </c>
      <c r="R547" s="7">
        <f t="shared" si="555"/>
        <v>402.70588235294116</v>
      </c>
      <c r="S547" t="str">
        <f t="shared" si="556"/>
        <v>technology</v>
      </c>
      <c r="T547" t="str">
        <f t="shared" si="557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ref="K548:L548" si="590">(J548/60/60/24)+DATE(1970,1,1)</f>
        <v>42249.667997685188</v>
      </c>
      <c r="L548" s="11">
        <f t="shared" si="55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54"/>
        <v>8.666666666666667E-2</v>
      </c>
      <c r="R548" s="7">
        <f t="shared" si="555"/>
        <v>26</v>
      </c>
      <c r="S548" t="str">
        <f t="shared" si="556"/>
        <v>technology</v>
      </c>
      <c r="T548" t="str">
        <f t="shared" si="557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ref="K549:L549" si="591">(J549/60/60/24)+DATE(1970,1,1)</f>
        <v>42380.696342592593</v>
      </c>
      <c r="L549" s="11">
        <f t="shared" si="55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54"/>
        <v>0</v>
      </c>
      <c r="R549" s="7">
        <f t="shared" si="555"/>
        <v>0</v>
      </c>
      <c r="S549" t="str">
        <f t="shared" si="556"/>
        <v>technology</v>
      </c>
      <c r="T549" t="str">
        <f t="shared" si="557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ref="K550:L550" si="592">(J550/60/60/24)+DATE(1970,1,1)</f>
        <v>42276.903333333335</v>
      </c>
      <c r="L550" s="11">
        <f t="shared" si="55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54"/>
        <v>0.09</v>
      </c>
      <c r="R550" s="7">
        <f t="shared" si="555"/>
        <v>9</v>
      </c>
      <c r="S550" t="str">
        <f t="shared" si="556"/>
        <v>technology</v>
      </c>
      <c r="T550" t="str">
        <f t="shared" si="557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ref="K551:L551" si="593">(J551/60/60/24)+DATE(1970,1,1)</f>
        <v>42163.636828703704</v>
      </c>
      <c r="L551" s="11">
        <f t="shared" si="55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54"/>
        <v>2.7199999999999998</v>
      </c>
      <c r="R551" s="7">
        <f t="shared" si="555"/>
        <v>8.5</v>
      </c>
      <c r="S551" t="str">
        <f t="shared" si="556"/>
        <v>technology</v>
      </c>
      <c r="T551" t="str">
        <f t="shared" si="557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ref="K552:L552" si="594">(J552/60/60/24)+DATE(1970,1,1)</f>
        <v>42753.678761574076</v>
      </c>
      <c r="L552" s="11">
        <f t="shared" si="55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554"/>
        <v>0.70000000000000007</v>
      </c>
      <c r="R552" s="7">
        <f t="shared" si="555"/>
        <v>8.75</v>
      </c>
      <c r="S552" t="str">
        <f t="shared" si="556"/>
        <v>technology</v>
      </c>
      <c r="T552" t="str">
        <f t="shared" si="557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ref="K553:L553" si="595">(J553/60/60/24)+DATE(1970,1,1)</f>
        <v>42173.275740740741</v>
      </c>
      <c r="L553" s="11">
        <f t="shared" si="55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554"/>
        <v>5.0413333333333332</v>
      </c>
      <c r="R553" s="7">
        <f t="shared" si="555"/>
        <v>135.03571428571428</v>
      </c>
      <c r="S553" t="str">
        <f t="shared" si="556"/>
        <v>technology</v>
      </c>
      <c r="T553" t="str">
        <f t="shared" si="557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ref="K554:L554" si="596">(J554/60/60/24)+DATE(1970,1,1)</f>
        <v>42318.616851851853</v>
      </c>
      <c r="L554" s="11">
        <f t="shared" si="55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54"/>
        <v>0</v>
      </c>
      <c r="R554" s="7">
        <f t="shared" si="555"/>
        <v>0</v>
      </c>
      <c r="S554" t="str">
        <f t="shared" si="556"/>
        <v>technology</v>
      </c>
      <c r="T554" t="str">
        <f t="shared" si="557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ref="K555:L555" si="597">(J555/60/60/24)+DATE(1970,1,1)</f>
        <v>41927.71980324074</v>
      </c>
      <c r="L555" s="11">
        <f t="shared" si="55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554"/>
        <v>0.49199999999999999</v>
      </c>
      <c r="R555" s="7">
        <f t="shared" si="555"/>
        <v>20.5</v>
      </c>
      <c r="S555" t="str">
        <f t="shared" si="556"/>
        <v>technology</v>
      </c>
      <c r="T555" t="str">
        <f t="shared" si="557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ref="K556:L556" si="598">(J556/60/60/24)+DATE(1970,1,1)</f>
        <v>41901.684861111113</v>
      </c>
      <c r="L556" s="11">
        <f t="shared" si="55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54"/>
        <v>36.589147286821706</v>
      </c>
      <c r="R556" s="7">
        <f t="shared" si="555"/>
        <v>64.36363636363636</v>
      </c>
      <c r="S556" t="str">
        <f t="shared" si="556"/>
        <v>technology</v>
      </c>
      <c r="T556" t="str">
        <f t="shared" si="557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ref="K557:L557" si="599">(J557/60/60/24)+DATE(1970,1,1)</f>
        <v>42503.353506944448</v>
      </c>
      <c r="L557" s="11">
        <f t="shared" si="55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54"/>
        <v>0</v>
      </c>
      <c r="R557" s="7">
        <f t="shared" si="555"/>
        <v>0</v>
      </c>
      <c r="S557" t="str">
        <f t="shared" si="556"/>
        <v>technology</v>
      </c>
      <c r="T557" t="str">
        <f t="shared" si="557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ref="K558:L558" si="600">(J558/60/60/24)+DATE(1970,1,1)</f>
        <v>42345.860150462962</v>
      </c>
      <c r="L558" s="11">
        <f t="shared" si="55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54"/>
        <v>2.5</v>
      </c>
      <c r="R558" s="7">
        <f t="shared" si="555"/>
        <v>200</v>
      </c>
      <c r="S558" t="str">
        <f t="shared" si="556"/>
        <v>technology</v>
      </c>
      <c r="T558" t="str">
        <f t="shared" si="557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ref="K559:L559" si="601">(J559/60/60/24)+DATE(1970,1,1)</f>
        <v>42676.942164351851</v>
      </c>
      <c r="L559" s="11">
        <f t="shared" si="55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554"/>
        <v>0.91066666666666674</v>
      </c>
      <c r="R559" s="7">
        <f t="shared" si="555"/>
        <v>68.3</v>
      </c>
      <c r="S559" t="str">
        <f t="shared" si="556"/>
        <v>technology</v>
      </c>
      <c r="T559" t="str">
        <f t="shared" si="557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ref="K560:L560" si="602">(J560/60/60/24)+DATE(1970,1,1)</f>
        <v>42057.883159722223</v>
      </c>
      <c r="L560" s="11">
        <f t="shared" si="55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554"/>
        <v>0</v>
      </c>
      <c r="R560" s="7">
        <f t="shared" si="555"/>
        <v>0</v>
      </c>
      <c r="S560" t="str">
        <f t="shared" si="556"/>
        <v>technology</v>
      </c>
      <c r="T560" t="str">
        <f t="shared" si="557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ref="K561:L561" si="603">(J561/60/60/24)+DATE(1970,1,1)</f>
        <v>42321.283101851848</v>
      </c>
      <c r="L561" s="11">
        <f t="shared" si="55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54"/>
        <v>2.0833333333333336E-2</v>
      </c>
      <c r="R561" s="7">
        <f t="shared" si="555"/>
        <v>50</v>
      </c>
      <c r="S561" t="str">
        <f t="shared" si="556"/>
        <v>technology</v>
      </c>
      <c r="T561" t="str">
        <f t="shared" si="557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ref="K562:L562" si="604">(J562/60/60/24)+DATE(1970,1,1)</f>
        <v>41960.771354166667</v>
      </c>
      <c r="L562" s="11">
        <f t="shared" si="55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54"/>
        <v>1.2E-2</v>
      </c>
      <c r="R562" s="7">
        <f t="shared" si="555"/>
        <v>4</v>
      </c>
      <c r="S562" t="str">
        <f t="shared" si="556"/>
        <v>technology</v>
      </c>
      <c r="T562" t="str">
        <f t="shared" si="557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ref="K563:L563" si="605">(J563/60/60/24)+DATE(1970,1,1)</f>
        <v>42268.658715277779</v>
      </c>
      <c r="L563" s="11">
        <f t="shared" si="55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54"/>
        <v>0.36666666666666664</v>
      </c>
      <c r="R563" s="7">
        <f t="shared" si="555"/>
        <v>27.5</v>
      </c>
      <c r="S563" t="str">
        <f t="shared" si="556"/>
        <v>technology</v>
      </c>
      <c r="T563" t="str">
        <f t="shared" si="557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ref="K564:L564" si="606">(J564/60/60/24)+DATE(1970,1,1)</f>
        <v>42692.389062500006</v>
      </c>
      <c r="L564" s="11">
        <f t="shared" si="55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54"/>
        <v>0</v>
      </c>
      <c r="R564" s="7">
        <f t="shared" si="555"/>
        <v>0</v>
      </c>
      <c r="S564" t="str">
        <f t="shared" si="556"/>
        <v>technology</v>
      </c>
      <c r="T564" t="str">
        <f t="shared" si="557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ref="K565:L565" si="607">(J565/60/60/24)+DATE(1970,1,1)</f>
        <v>42022.069988425923</v>
      </c>
      <c r="L565" s="11">
        <f t="shared" si="55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54"/>
        <v>9.0666666666666659E-2</v>
      </c>
      <c r="R565" s="7">
        <f t="shared" si="555"/>
        <v>34</v>
      </c>
      <c r="S565" t="str">
        <f t="shared" si="556"/>
        <v>technology</v>
      </c>
      <c r="T565" t="str">
        <f t="shared" si="557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ref="K566:L566" si="608">(J566/60/60/24)+DATE(1970,1,1)</f>
        <v>42411.942997685182</v>
      </c>
      <c r="L566" s="11">
        <f t="shared" si="55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54"/>
        <v>5.5555555555555558E-3</v>
      </c>
      <c r="R566" s="7">
        <f t="shared" si="555"/>
        <v>1</v>
      </c>
      <c r="S566" t="str">
        <f t="shared" si="556"/>
        <v>technology</v>
      </c>
      <c r="T566" t="str">
        <f t="shared" si="557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ref="K567:L567" si="609">(J567/60/60/24)+DATE(1970,1,1)</f>
        <v>42165.785289351858</v>
      </c>
      <c r="L567" s="11">
        <f t="shared" si="55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54"/>
        <v>0</v>
      </c>
      <c r="R567" s="7">
        <f t="shared" si="555"/>
        <v>0</v>
      </c>
      <c r="S567" t="str">
        <f t="shared" si="556"/>
        <v>technology</v>
      </c>
      <c r="T567" t="str">
        <f t="shared" si="557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ref="K568:L568" si="610">(J568/60/60/24)+DATE(1970,1,1)</f>
        <v>42535.68440972222</v>
      </c>
      <c r="L568" s="11">
        <f t="shared" si="553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54"/>
        <v>0.02</v>
      </c>
      <c r="R568" s="7">
        <f t="shared" si="555"/>
        <v>1</v>
      </c>
      <c r="S568" t="str">
        <f t="shared" si="556"/>
        <v>technology</v>
      </c>
      <c r="T568" t="str">
        <f t="shared" si="557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ref="K569:L569" si="611">(J569/60/60/24)+DATE(1970,1,1)</f>
        <v>41975.842523148152</v>
      </c>
      <c r="L569" s="11">
        <f t="shared" si="55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54"/>
        <v>0</v>
      </c>
      <c r="R569" s="7">
        <f t="shared" si="555"/>
        <v>0</v>
      </c>
      <c r="S569" t="str">
        <f t="shared" si="556"/>
        <v>technology</v>
      </c>
      <c r="T569" t="str">
        <f t="shared" si="557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ref="K570:L570" si="612">(J570/60/60/24)+DATE(1970,1,1)</f>
        <v>42348.9215625</v>
      </c>
      <c r="L570" s="11">
        <f t="shared" si="55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554"/>
        <v>1</v>
      </c>
      <c r="R570" s="7">
        <f t="shared" si="555"/>
        <v>49</v>
      </c>
      <c r="S570" t="str">
        <f t="shared" si="556"/>
        <v>technology</v>
      </c>
      <c r="T570" t="str">
        <f t="shared" si="557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ref="K571:L571" si="613">(J571/60/60/24)+DATE(1970,1,1)</f>
        <v>42340.847361111111</v>
      </c>
      <c r="L571" s="11">
        <f t="shared" si="55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54"/>
        <v>0.8</v>
      </c>
      <c r="R571" s="7">
        <f t="shared" si="555"/>
        <v>20</v>
      </c>
      <c r="S571" t="str">
        <f t="shared" si="556"/>
        <v>technology</v>
      </c>
      <c r="T571" t="str">
        <f t="shared" si="557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ref="K572:L572" si="614">(J572/60/60/24)+DATE(1970,1,1)</f>
        <v>42388.798252314817</v>
      </c>
      <c r="L572" s="11">
        <f t="shared" si="55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54"/>
        <v>0.16705882352941176</v>
      </c>
      <c r="R572" s="7">
        <f t="shared" si="555"/>
        <v>142</v>
      </c>
      <c r="S572" t="str">
        <f t="shared" si="556"/>
        <v>technology</v>
      </c>
      <c r="T572" t="str">
        <f t="shared" si="557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ref="K573:L573" si="615">(J573/60/60/24)+DATE(1970,1,1)</f>
        <v>42192.816238425927</v>
      </c>
      <c r="L573" s="11">
        <f t="shared" si="55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554"/>
        <v>0.42399999999999999</v>
      </c>
      <c r="R573" s="7">
        <f t="shared" si="555"/>
        <v>53</v>
      </c>
      <c r="S573" t="str">
        <f t="shared" si="556"/>
        <v>technology</v>
      </c>
      <c r="T573" t="str">
        <f t="shared" si="557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ref="K574:L574" si="616">(J574/60/60/24)+DATE(1970,1,1)</f>
        <v>42282.71629629629</v>
      </c>
      <c r="L574" s="11">
        <f t="shared" si="55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554"/>
        <v>0</v>
      </c>
      <c r="R574" s="7">
        <f t="shared" si="555"/>
        <v>0</v>
      </c>
      <c r="S574" t="str">
        <f t="shared" si="556"/>
        <v>technology</v>
      </c>
      <c r="T574" t="str">
        <f t="shared" si="557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ref="K575:L575" si="617">(J575/60/60/24)+DATE(1970,1,1)</f>
        <v>41963.050127314811</v>
      </c>
      <c r="L575" s="11">
        <f t="shared" si="553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554"/>
        <v>0.38925389253892539</v>
      </c>
      <c r="R575" s="7">
        <f t="shared" si="555"/>
        <v>38.444444444444443</v>
      </c>
      <c r="S575" t="str">
        <f t="shared" si="556"/>
        <v>technology</v>
      </c>
      <c r="T575" t="str">
        <f t="shared" si="557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ref="K576:L576" si="618">(J576/60/60/24)+DATE(1970,1,1)</f>
        <v>42632.443368055552</v>
      </c>
      <c r="L576" s="11">
        <f t="shared" si="55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54"/>
        <v>0.7155635062611807</v>
      </c>
      <c r="R576" s="7">
        <f t="shared" si="555"/>
        <v>20</v>
      </c>
      <c r="S576" t="str">
        <f t="shared" si="556"/>
        <v>technology</v>
      </c>
      <c r="T576" t="str">
        <f t="shared" si="557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ref="K577:L577" si="619">(J577/60/60/24)+DATE(1970,1,1)</f>
        <v>42138.692627314813</v>
      </c>
      <c r="L577" s="11">
        <f t="shared" si="55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54"/>
        <v>0.43166666666666664</v>
      </c>
      <c r="R577" s="7">
        <f t="shared" si="555"/>
        <v>64.75</v>
      </c>
      <c r="S577" t="str">
        <f t="shared" si="556"/>
        <v>technology</v>
      </c>
      <c r="T577" t="str">
        <f t="shared" si="557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ref="K578:L578" si="620">(J578/60/60/24)+DATE(1970,1,1)</f>
        <v>42031.471666666665</v>
      </c>
      <c r="L578" s="11">
        <f t="shared" si="553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si="554"/>
        <v>1.25E-3</v>
      </c>
      <c r="R578" s="7">
        <f t="shared" si="555"/>
        <v>1</v>
      </c>
      <c r="S578" t="str">
        <f t="shared" si="556"/>
        <v>technology</v>
      </c>
      <c r="T578" t="str">
        <f t="shared" si="557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ref="K579:L579" si="621">(J579/60/60/24)+DATE(1970,1,1)</f>
        <v>42450.589143518519</v>
      </c>
      <c r="L579" s="11">
        <f t="shared" ref="L579:L642" si="622">(I579/60/60/24)+DATE(1970,1,1)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623">(E579/D579)*100</f>
        <v>0.2</v>
      </c>
      <c r="R579" s="7">
        <f t="shared" ref="R579:R642" si="624">IFERROR(E579/N579, 0)</f>
        <v>10</v>
      </c>
      <c r="S579" t="str">
        <f t="shared" ref="S579:S642" si="625">LEFT(P579, SEARCH("/", P579,1)-1)</f>
        <v>technology</v>
      </c>
      <c r="T579" t="str">
        <f t="shared" ref="T579:T642" si="626">RIGHT(P579,LEN(P579)-SEARCH("/",P579,SEARCH("/",P579)))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ref="K580:L580" si="627">(J580/60/60/24)+DATE(1970,1,1)</f>
        <v>42230.578622685185</v>
      </c>
      <c r="L580" s="11">
        <f t="shared" si="622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623"/>
        <v>1.12E-2</v>
      </c>
      <c r="R580" s="7">
        <f t="shared" si="624"/>
        <v>2</v>
      </c>
      <c r="S580" t="str">
        <f t="shared" si="625"/>
        <v>technology</v>
      </c>
      <c r="T580" t="str">
        <f t="shared" si="626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ref="K581:L581" si="628">(J581/60/60/24)+DATE(1970,1,1)</f>
        <v>41968.852118055554</v>
      </c>
      <c r="L581" s="11">
        <f t="shared" si="622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623"/>
        <v>1.4583333333333333</v>
      </c>
      <c r="R581" s="7">
        <f t="shared" si="624"/>
        <v>35</v>
      </c>
      <c r="S581" t="str">
        <f t="shared" si="625"/>
        <v>technology</v>
      </c>
      <c r="T581" t="str">
        <f t="shared" si="626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ref="K582:L582" si="629">(J582/60/60/24)+DATE(1970,1,1)</f>
        <v>42605.908182870371</v>
      </c>
      <c r="L582" s="11">
        <f t="shared" si="622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623"/>
        <v>3.3333333333333333E-2</v>
      </c>
      <c r="R582" s="7">
        <f t="shared" si="624"/>
        <v>1</v>
      </c>
      <c r="S582" t="str">
        <f t="shared" si="625"/>
        <v>technology</v>
      </c>
      <c r="T582" t="str">
        <f t="shared" si="626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ref="K583:L583" si="630">(J583/60/60/24)+DATE(1970,1,1)</f>
        <v>42188.012777777782</v>
      </c>
      <c r="L583" s="11">
        <f t="shared" si="622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623"/>
        <v>0</v>
      </c>
      <c r="R583" s="7">
        <f t="shared" si="624"/>
        <v>0</v>
      </c>
      <c r="S583" t="str">
        <f t="shared" si="625"/>
        <v>technology</v>
      </c>
      <c r="T583" t="str">
        <f t="shared" si="626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ref="K584:L584" si="631">(J584/60/60/24)+DATE(1970,1,1)</f>
        <v>42055.739803240736</v>
      </c>
      <c r="L584" s="11">
        <f t="shared" si="622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623"/>
        <v>0</v>
      </c>
      <c r="R584" s="7">
        <f t="shared" si="624"/>
        <v>0</v>
      </c>
      <c r="S584" t="str">
        <f t="shared" si="625"/>
        <v>technology</v>
      </c>
      <c r="T584" t="str">
        <f t="shared" si="626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ref="K585:L585" si="632">(J585/60/60/24)+DATE(1970,1,1)</f>
        <v>42052.93850694444</v>
      </c>
      <c r="L585" s="11">
        <f t="shared" si="622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623"/>
        <v>1.1111111111111112E-2</v>
      </c>
      <c r="R585" s="7">
        <f t="shared" si="624"/>
        <v>1</v>
      </c>
      <c r="S585" t="str">
        <f t="shared" si="625"/>
        <v>technology</v>
      </c>
      <c r="T585" t="str">
        <f t="shared" si="626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ref="K586:L586" si="633">(J586/60/60/24)+DATE(1970,1,1)</f>
        <v>42049.716620370367</v>
      </c>
      <c r="L586" s="11">
        <f t="shared" si="622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623"/>
        <v>1</v>
      </c>
      <c r="R586" s="7">
        <f t="shared" si="624"/>
        <v>5</v>
      </c>
      <c r="S586" t="str">
        <f t="shared" si="625"/>
        <v>technology</v>
      </c>
      <c r="T586" t="str">
        <f t="shared" si="626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ref="K587:L587" si="634">(J587/60/60/24)+DATE(1970,1,1)</f>
        <v>42283.3909375</v>
      </c>
      <c r="L587" s="11">
        <f t="shared" si="622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623"/>
        <v>0</v>
      </c>
      <c r="R587" s="7">
        <f t="shared" si="624"/>
        <v>0</v>
      </c>
      <c r="S587" t="str">
        <f t="shared" si="625"/>
        <v>technology</v>
      </c>
      <c r="T587" t="str">
        <f t="shared" si="626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ref="K588:L588" si="635">(J588/60/60/24)+DATE(1970,1,1)</f>
        <v>42020.854247685187</v>
      </c>
      <c r="L588" s="11">
        <f t="shared" si="622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623"/>
        <v>0.55999999999999994</v>
      </c>
      <c r="R588" s="7">
        <f t="shared" si="624"/>
        <v>14</v>
      </c>
      <c r="S588" t="str">
        <f t="shared" si="625"/>
        <v>technology</v>
      </c>
      <c r="T588" t="str">
        <f t="shared" si="626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ref="K589:L589" si="636">(J589/60/60/24)+DATE(1970,1,1)</f>
        <v>42080.757326388892</v>
      </c>
      <c r="L589" s="11">
        <f t="shared" si="622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623"/>
        <v>9.0833333333333339</v>
      </c>
      <c r="R589" s="7">
        <f t="shared" si="624"/>
        <v>389.28571428571428</v>
      </c>
      <c r="S589" t="str">
        <f t="shared" si="625"/>
        <v>technology</v>
      </c>
      <c r="T589" t="str">
        <f t="shared" si="626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ref="K590:L590" si="637">(J590/60/60/24)+DATE(1970,1,1)</f>
        <v>42631.769513888896</v>
      </c>
      <c r="L590" s="11">
        <f t="shared" si="622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623"/>
        <v>3.3444444444444441</v>
      </c>
      <c r="R590" s="7">
        <f t="shared" si="624"/>
        <v>150.5</v>
      </c>
      <c r="S590" t="str">
        <f t="shared" si="625"/>
        <v>technology</v>
      </c>
      <c r="T590" t="str">
        <f t="shared" si="626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ref="K591:L591" si="638">(J591/60/60/24)+DATE(1970,1,1)</f>
        <v>42178.614571759259</v>
      </c>
      <c r="L591" s="11">
        <f t="shared" si="622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623"/>
        <v>1.3333333333333334E-2</v>
      </c>
      <c r="R591" s="7">
        <f t="shared" si="624"/>
        <v>1</v>
      </c>
      <c r="S591" t="str">
        <f t="shared" si="625"/>
        <v>technology</v>
      </c>
      <c r="T591" t="str">
        <f t="shared" si="626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ref="K592:L592" si="639">(J592/60/60/24)+DATE(1970,1,1)</f>
        <v>42377.554756944446</v>
      </c>
      <c r="L592" s="11">
        <f t="shared" si="622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623"/>
        <v>4.46</v>
      </c>
      <c r="R592" s="7">
        <f t="shared" si="624"/>
        <v>24.777777777777779</v>
      </c>
      <c r="S592" t="str">
        <f t="shared" si="625"/>
        <v>technology</v>
      </c>
      <c r="T592" t="str">
        <f t="shared" si="626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ref="K593:L593" si="640">(J593/60/60/24)+DATE(1970,1,1)</f>
        <v>42177.543171296296</v>
      </c>
      <c r="L593" s="11">
        <f t="shared" si="622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623"/>
        <v>6.0999999999999999E-2</v>
      </c>
      <c r="R593" s="7">
        <f t="shared" si="624"/>
        <v>30.5</v>
      </c>
      <c r="S593" t="str">
        <f t="shared" si="625"/>
        <v>technology</v>
      </c>
      <c r="T593" t="str">
        <f t="shared" si="626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ref="K594:L594" si="641">(J594/60/60/24)+DATE(1970,1,1)</f>
        <v>41946.232175925928</v>
      </c>
      <c r="L594" s="11">
        <f t="shared" si="622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623"/>
        <v>3.3333333333333335</v>
      </c>
      <c r="R594" s="7">
        <f t="shared" si="624"/>
        <v>250</v>
      </c>
      <c r="S594" t="str">
        <f t="shared" si="625"/>
        <v>technology</v>
      </c>
      <c r="T594" t="str">
        <f t="shared" si="626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ref="K595:L595" si="642">(J595/60/60/24)+DATE(1970,1,1)</f>
        <v>42070.677604166667</v>
      </c>
      <c r="L595" s="11">
        <f t="shared" si="622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623"/>
        <v>23</v>
      </c>
      <c r="R595" s="7">
        <f t="shared" si="624"/>
        <v>16.428571428571427</v>
      </c>
      <c r="S595" t="str">
        <f t="shared" si="625"/>
        <v>technology</v>
      </c>
      <c r="T595" t="str">
        <f t="shared" si="626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ref="K596:L596" si="643">(J596/60/60/24)+DATE(1970,1,1)</f>
        <v>42446.780162037037</v>
      </c>
      <c r="L596" s="11">
        <f t="shared" si="622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623"/>
        <v>0.104</v>
      </c>
      <c r="R596" s="7">
        <f t="shared" si="624"/>
        <v>13</v>
      </c>
      <c r="S596" t="str">
        <f t="shared" si="625"/>
        <v>technology</v>
      </c>
      <c r="T596" t="str">
        <f t="shared" si="626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ref="K597:L597" si="644">(J597/60/60/24)+DATE(1970,1,1)</f>
        <v>42083.069884259254</v>
      </c>
      <c r="L597" s="11">
        <f t="shared" si="622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623"/>
        <v>0.42599999999999999</v>
      </c>
      <c r="R597" s="7">
        <f t="shared" si="624"/>
        <v>53.25</v>
      </c>
      <c r="S597" t="str">
        <f t="shared" si="625"/>
        <v>technology</v>
      </c>
      <c r="T597" t="str">
        <f t="shared" si="626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ref="K598:L598" si="645">(J598/60/60/24)+DATE(1970,1,1)</f>
        <v>42646.896898148145</v>
      </c>
      <c r="L598" s="11">
        <f t="shared" si="622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623"/>
        <v>0.03</v>
      </c>
      <c r="R598" s="7">
        <f t="shared" si="624"/>
        <v>3</v>
      </c>
      <c r="S598" t="str">
        <f t="shared" si="625"/>
        <v>technology</v>
      </c>
      <c r="T598" t="str">
        <f t="shared" si="626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ref="K599:L599" si="646">(J599/60/60/24)+DATE(1970,1,1)</f>
        <v>42545.705266203702</v>
      </c>
      <c r="L599" s="11">
        <f t="shared" si="622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623"/>
        <v>0.26666666666666666</v>
      </c>
      <c r="R599" s="7">
        <f t="shared" si="624"/>
        <v>10</v>
      </c>
      <c r="S599" t="str">
        <f t="shared" si="625"/>
        <v>technology</v>
      </c>
      <c r="T599" t="str">
        <f t="shared" si="626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ref="K600:L600" si="647">(J600/60/60/24)+DATE(1970,1,1)</f>
        <v>41948.00209490741</v>
      </c>
      <c r="L600" s="11">
        <f t="shared" si="622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623"/>
        <v>34</v>
      </c>
      <c r="R600" s="7">
        <f t="shared" si="624"/>
        <v>121.42857142857143</v>
      </c>
      <c r="S600" t="str">
        <f t="shared" si="625"/>
        <v>technology</v>
      </c>
      <c r="T600" t="str">
        <f t="shared" si="626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ref="K601:L601" si="648">(J601/60/60/24)+DATE(1970,1,1)</f>
        <v>42047.812523148154</v>
      </c>
      <c r="L601" s="11">
        <f t="shared" si="622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623"/>
        <v>6.2E-2</v>
      </c>
      <c r="R601" s="7">
        <f t="shared" si="624"/>
        <v>15.5</v>
      </c>
      <c r="S601" t="str">
        <f t="shared" si="625"/>
        <v>technology</v>
      </c>
      <c r="T601" t="str">
        <f t="shared" si="626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ref="K602:L602" si="649">(J602/60/60/24)+DATE(1970,1,1)</f>
        <v>42073.798171296294</v>
      </c>
      <c r="L602" s="11">
        <f t="shared" si="622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623"/>
        <v>2</v>
      </c>
      <c r="R602" s="7">
        <f t="shared" si="624"/>
        <v>100</v>
      </c>
      <c r="S602" t="str">
        <f t="shared" si="625"/>
        <v>technology</v>
      </c>
      <c r="T602" t="str">
        <f t="shared" si="626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ref="K603:L603" si="650">(J603/60/60/24)+DATE(1970,1,1)</f>
        <v>41969.858090277776</v>
      </c>
      <c r="L603" s="11">
        <f t="shared" si="622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623"/>
        <v>1.4000000000000001</v>
      </c>
      <c r="R603" s="7">
        <f t="shared" si="624"/>
        <v>23.333333333333332</v>
      </c>
      <c r="S603" t="str">
        <f t="shared" si="625"/>
        <v>technology</v>
      </c>
      <c r="T603" t="str">
        <f t="shared" si="626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ref="K604:L604" si="651">(J604/60/60/24)+DATE(1970,1,1)</f>
        <v>42143.79415509259</v>
      </c>
      <c r="L604" s="11">
        <f t="shared" si="622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623"/>
        <v>0</v>
      </c>
      <c r="R604" s="7">
        <f t="shared" si="624"/>
        <v>0</v>
      </c>
      <c r="S604" t="str">
        <f t="shared" si="625"/>
        <v>technology</v>
      </c>
      <c r="T604" t="str">
        <f t="shared" si="626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ref="K605:L605" si="652">(J605/60/60/24)+DATE(1970,1,1)</f>
        <v>41835.639155092591</v>
      </c>
      <c r="L605" s="11">
        <f t="shared" si="622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623"/>
        <v>3.9334666666666664</v>
      </c>
      <c r="R605" s="7">
        <f t="shared" si="624"/>
        <v>45.386153846153846</v>
      </c>
      <c r="S605" t="str">
        <f t="shared" si="625"/>
        <v>technology</v>
      </c>
      <c r="T605" t="str">
        <f t="shared" si="626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ref="K606:L606" si="653">(J606/60/60/24)+DATE(1970,1,1)</f>
        <v>41849.035370370373</v>
      </c>
      <c r="L606" s="11">
        <f t="shared" si="622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623"/>
        <v>0</v>
      </c>
      <c r="R606" s="7">
        <f t="shared" si="624"/>
        <v>0</v>
      </c>
      <c r="S606" t="str">
        <f t="shared" si="625"/>
        <v>technology</v>
      </c>
      <c r="T606" t="str">
        <f t="shared" si="626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ref="K607:L607" si="654">(J607/60/60/24)+DATE(1970,1,1)</f>
        <v>42194.357731481476</v>
      </c>
      <c r="L607" s="11">
        <f t="shared" si="622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623"/>
        <v>2.62</v>
      </c>
      <c r="R607" s="7">
        <f t="shared" si="624"/>
        <v>16.375</v>
      </c>
      <c r="S607" t="str">
        <f t="shared" si="625"/>
        <v>technology</v>
      </c>
      <c r="T607" t="str">
        <f t="shared" si="626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ref="K608:L608" si="655">(J608/60/60/24)+DATE(1970,1,1)</f>
        <v>42102.650567129633</v>
      </c>
      <c r="L608" s="11">
        <f t="shared" si="622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623"/>
        <v>0.2</v>
      </c>
      <c r="R608" s="7">
        <f t="shared" si="624"/>
        <v>10</v>
      </c>
      <c r="S608" t="str">
        <f t="shared" si="625"/>
        <v>technology</v>
      </c>
      <c r="T608" t="str">
        <f t="shared" si="626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ref="K609:L609" si="656">(J609/60/60/24)+DATE(1970,1,1)</f>
        <v>42300.825648148151</v>
      </c>
      <c r="L609" s="11">
        <f t="shared" si="622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623"/>
        <v>0</v>
      </c>
      <c r="R609" s="7">
        <f t="shared" si="624"/>
        <v>0</v>
      </c>
      <c r="S609" t="str">
        <f t="shared" si="625"/>
        <v>technology</v>
      </c>
      <c r="T609" t="str">
        <f t="shared" si="626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ref="K610:L610" si="657">(J610/60/60/24)+DATE(1970,1,1)</f>
        <v>42140.921064814815</v>
      </c>
      <c r="L610" s="11">
        <f t="shared" si="622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623"/>
        <v>0.97400000000000009</v>
      </c>
      <c r="R610" s="7">
        <f t="shared" si="624"/>
        <v>292.2</v>
      </c>
      <c r="S610" t="str">
        <f t="shared" si="625"/>
        <v>technology</v>
      </c>
      <c r="T610" t="str">
        <f t="shared" si="626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ref="K611:L611" si="658">(J611/60/60/24)+DATE(1970,1,1)</f>
        <v>42307.034074074079</v>
      </c>
      <c r="L611" s="11">
        <f t="shared" si="622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623"/>
        <v>0.64102564102564097</v>
      </c>
      <c r="R611" s="7">
        <f t="shared" si="624"/>
        <v>5</v>
      </c>
      <c r="S611" t="str">
        <f t="shared" si="625"/>
        <v>technology</v>
      </c>
      <c r="T611" t="str">
        <f t="shared" si="626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ref="K612:L612" si="659">(J612/60/60/24)+DATE(1970,1,1)</f>
        <v>42086.83085648148</v>
      </c>
      <c r="L612" s="11">
        <f t="shared" si="622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623"/>
        <v>0</v>
      </c>
      <c r="R612" s="7">
        <f t="shared" si="624"/>
        <v>0</v>
      </c>
      <c r="S612" t="str">
        <f t="shared" si="625"/>
        <v>technology</v>
      </c>
      <c r="T612" t="str">
        <f t="shared" si="626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ref="K613:L613" si="660">(J613/60/60/24)+DATE(1970,1,1)</f>
        <v>42328.560613425929</v>
      </c>
      <c r="L613" s="11">
        <f t="shared" si="622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623"/>
        <v>0</v>
      </c>
      <c r="R613" s="7">
        <f t="shared" si="624"/>
        <v>0</v>
      </c>
      <c r="S613" t="str">
        <f t="shared" si="625"/>
        <v>technology</v>
      </c>
      <c r="T613" t="str">
        <f t="shared" si="626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ref="K614:L614" si="661">(J614/60/60/24)+DATE(1970,1,1)</f>
        <v>42585.031782407401</v>
      </c>
      <c r="L614" s="11">
        <f t="shared" si="622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623"/>
        <v>0</v>
      </c>
      <c r="R614" s="7">
        <f t="shared" si="624"/>
        <v>0</v>
      </c>
      <c r="S614" t="str">
        <f t="shared" si="625"/>
        <v>technology</v>
      </c>
      <c r="T614" t="str">
        <f t="shared" si="626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ref="K615:L615" si="662">(J615/60/60/24)+DATE(1970,1,1)</f>
        <v>42247.496759259258</v>
      </c>
      <c r="L615" s="11">
        <f t="shared" si="622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623"/>
        <v>21.363333333333333</v>
      </c>
      <c r="R615" s="7">
        <f t="shared" si="624"/>
        <v>105.93388429752066</v>
      </c>
      <c r="S615" t="str">
        <f t="shared" si="625"/>
        <v>technology</v>
      </c>
      <c r="T615" t="str">
        <f t="shared" si="626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ref="K616:L616" si="663">(J616/60/60/24)+DATE(1970,1,1)</f>
        <v>42515.061805555553</v>
      </c>
      <c r="L616" s="11">
        <f t="shared" si="622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623"/>
        <v>0</v>
      </c>
      <c r="R616" s="7">
        <f t="shared" si="624"/>
        <v>0</v>
      </c>
      <c r="S616" t="str">
        <f t="shared" si="625"/>
        <v>technology</v>
      </c>
      <c r="T616" t="str">
        <f t="shared" si="626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ref="K617:L617" si="664">(J617/60/60/24)+DATE(1970,1,1)</f>
        <v>42242.122210648144</v>
      </c>
      <c r="L617" s="11">
        <f t="shared" si="622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623"/>
        <v>0</v>
      </c>
      <c r="R617" s="7">
        <f t="shared" si="624"/>
        <v>0</v>
      </c>
      <c r="S617" t="str">
        <f t="shared" si="625"/>
        <v>technology</v>
      </c>
      <c r="T617" t="str">
        <f t="shared" si="626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ref="K618:L618" si="665">(J618/60/60/24)+DATE(1970,1,1)</f>
        <v>42761.376238425932</v>
      </c>
      <c r="L618" s="11">
        <f t="shared" si="622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623"/>
        <v>0</v>
      </c>
      <c r="R618" s="7">
        <f t="shared" si="624"/>
        <v>0</v>
      </c>
      <c r="S618" t="str">
        <f t="shared" si="625"/>
        <v>technology</v>
      </c>
      <c r="T618" t="str">
        <f t="shared" si="626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ref="K619:L619" si="666">(J619/60/60/24)+DATE(1970,1,1)</f>
        <v>42087.343090277776</v>
      </c>
      <c r="L619" s="11">
        <f t="shared" si="622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623"/>
        <v>3</v>
      </c>
      <c r="R619" s="7">
        <f t="shared" si="624"/>
        <v>20</v>
      </c>
      <c r="S619" t="str">
        <f t="shared" si="625"/>
        <v>technology</v>
      </c>
      <c r="T619" t="str">
        <f t="shared" si="626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ref="K620:L620" si="667">(J620/60/60/24)+DATE(1970,1,1)</f>
        <v>42317.810219907406</v>
      </c>
      <c r="L620" s="11">
        <f t="shared" si="622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623"/>
        <v>0</v>
      </c>
      <c r="R620" s="7">
        <f t="shared" si="624"/>
        <v>0</v>
      </c>
      <c r="S620" t="str">
        <f t="shared" si="625"/>
        <v>technology</v>
      </c>
      <c r="T620" t="str">
        <f t="shared" si="626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ref="K621:L621" si="668">(J621/60/60/24)+DATE(1970,1,1)</f>
        <v>41908.650347222225</v>
      </c>
      <c r="L621" s="11">
        <f t="shared" si="622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623"/>
        <v>3.9999999999999996E-5</v>
      </c>
      <c r="R621" s="7">
        <f t="shared" si="624"/>
        <v>1</v>
      </c>
      <c r="S621" t="str">
        <f t="shared" si="625"/>
        <v>technology</v>
      </c>
      <c r="T621" t="str">
        <f t="shared" si="626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ref="K622:L622" si="669">(J622/60/60/24)+DATE(1970,1,1)</f>
        <v>41831.716874999998</v>
      </c>
      <c r="L622" s="11">
        <f t="shared" si="622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623"/>
        <v>1</v>
      </c>
      <c r="R622" s="7">
        <f t="shared" si="624"/>
        <v>300</v>
      </c>
      <c r="S622" t="str">
        <f t="shared" si="625"/>
        <v>technology</v>
      </c>
      <c r="T622" t="str">
        <f t="shared" si="626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ref="K623:L623" si="670">(J623/60/60/24)+DATE(1970,1,1)</f>
        <v>42528.987696759257</v>
      </c>
      <c r="L623" s="11">
        <f t="shared" si="622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623"/>
        <v>1.044</v>
      </c>
      <c r="R623" s="7">
        <f t="shared" si="624"/>
        <v>87</v>
      </c>
      <c r="S623" t="str">
        <f t="shared" si="625"/>
        <v>technology</v>
      </c>
      <c r="T623" t="str">
        <f t="shared" si="626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ref="K624:L624" si="671">(J624/60/60/24)+DATE(1970,1,1)</f>
        <v>42532.774745370371</v>
      </c>
      <c r="L624" s="11">
        <f t="shared" si="622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623"/>
        <v>5.6833333333333336</v>
      </c>
      <c r="R624" s="7">
        <f t="shared" si="624"/>
        <v>37.888888888888886</v>
      </c>
      <c r="S624" t="str">
        <f t="shared" si="625"/>
        <v>technology</v>
      </c>
      <c r="T624" t="str">
        <f t="shared" si="626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ref="K625:L625" si="672">(J625/60/60/24)+DATE(1970,1,1)</f>
        <v>42122.009224537032</v>
      </c>
      <c r="L625" s="11">
        <f t="shared" si="622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623"/>
        <v>0</v>
      </c>
      <c r="R625" s="7">
        <f t="shared" si="624"/>
        <v>0</v>
      </c>
      <c r="S625" t="str">
        <f t="shared" si="625"/>
        <v>technology</v>
      </c>
      <c r="T625" t="str">
        <f t="shared" si="626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ref="K626:L626" si="673">(J626/60/60/24)+DATE(1970,1,1)</f>
        <v>42108.988900462966</v>
      </c>
      <c r="L626" s="11">
        <f t="shared" si="622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623"/>
        <v>0</v>
      </c>
      <c r="R626" s="7">
        <f t="shared" si="624"/>
        <v>0</v>
      </c>
      <c r="S626" t="str">
        <f t="shared" si="625"/>
        <v>technology</v>
      </c>
      <c r="T626" t="str">
        <f t="shared" si="626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ref="K627:L627" si="674">(J627/60/60/24)+DATE(1970,1,1)</f>
        <v>42790.895567129628</v>
      </c>
      <c r="L627" s="11">
        <f t="shared" si="622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623"/>
        <v>0</v>
      </c>
      <c r="R627" s="7">
        <f t="shared" si="624"/>
        <v>0</v>
      </c>
      <c r="S627" t="str">
        <f t="shared" si="625"/>
        <v>technology</v>
      </c>
      <c r="T627" t="str">
        <f t="shared" si="626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ref="K628:L628" si="675">(J628/60/60/24)+DATE(1970,1,1)</f>
        <v>42198.559479166666</v>
      </c>
      <c r="L628" s="11">
        <f t="shared" si="622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623"/>
        <v>17.380000000000003</v>
      </c>
      <c r="R628" s="7">
        <f t="shared" si="624"/>
        <v>111.41025641025641</v>
      </c>
      <c r="S628" t="str">
        <f t="shared" si="625"/>
        <v>technology</v>
      </c>
      <c r="T628" t="str">
        <f t="shared" si="626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ref="K629:L629" si="676">(J629/60/60/24)+DATE(1970,1,1)</f>
        <v>42384.306840277779</v>
      </c>
      <c r="L629" s="11">
        <f t="shared" si="622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623"/>
        <v>0.02</v>
      </c>
      <c r="R629" s="7">
        <f t="shared" si="624"/>
        <v>90</v>
      </c>
      <c r="S629" t="str">
        <f t="shared" si="625"/>
        <v>technology</v>
      </c>
      <c r="T629" t="str">
        <f t="shared" si="626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ref="K630:L630" si="677">(J630/60/60/24)+DATE(1970,1,1)</f>
        <v>41803.692789351851</v>
      </c>
      <c r="L630" s="11">
        <f t="shared" si="622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623"/>
        <v>0</v>
      </c>
      <c r="R630" s="7">
        <f t="shared" si="624"/>
        <v>0</v>
      </c>
      <c r="S630" t="str">
        <f t="shared" si="625"/>
        <v>technology</v>
      </c>
      <c r="T630" t="str">
        <f t="shared" si="626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ref="K631:L631" si="678">(J631/60/60/24)+DATE(1970,1,1)</f>
        <v>42474.637824074074</v>
      </c>
      <c r="L631" s="11">
        <f t="shared" si="622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623"/>
        <v>0.17500000000000002</v>
      </c>
      <c r="R631" s="7">
        <f t="shared" si="624"/>
        <v>116.66666666666667</v>
      </c>
      <c r="S631" t="str">
        <f t="shared" si="625"/>
        <v>technology</v>
      </c>
      <c r="T631" t="str">
        <f t="shared" si="626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ref="K632:L632" si="679">(J632/60/60/24)+DATE(1970,1,1)</f>
        <v>42223.619456018518</v>
      </c>
      <c r="L632" s="11">
        <f t="shared" si="622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623"/>
        <v>8.3340278356529712E-2</v>
      </c>
      <c r="R632" s="7">
        <f t="shared" si="624"/>
        <v>10</v>
      </c>
      <c r="S632" t="str">
        <f t="shared" si="625"/>
        <v>technology</v>
      </c>
      <c r="T632" t="str">
        <f t="shared" si="626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ref="K633:L633" si="680">(J633/60/60/24)+DATE(1970,1,1)</f>
        <v>42489.772326388891</v>
      </c>
      <c r="L633" s="11">
        <f t="shared" si="622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623"/>
        <v>1.38</v>
      </c>
      <c r="R633" s="7">
        <f t="shared" si="624"/>
        <v>76.666666666666671</v>
      </c>
      <c r="S633" t="str">
        <f t="shared" si="625"/>
        <v>technology</v>
      </c>
      <c r="T633" t="str">
        <f t="shared" si="626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ref="K634:L634" si="681">(J634/60/60/24)+DATE(1970,1,1)</f>
        <v>42303.659317129626</v>
      </c>
      <c r="L634" s="11">
        <f t="shared" si="622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623"/>
        <v>0</v>
      </c>
      <c r="R634" s="7">
        <f t="shared" si="624"/>
        <v>0</v>
      </c>
      <c r="S634" t="str">
        <f t="shared" si="625"/>
        <v>technology</v>
      </c>
      <c r="T634" t="str">
        <f t="shared" si="626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ref="K635:L635" si="682">(J635/60/60/24)+DATE(1970,1,1)</f>
        <v>42507.29932870371</v>
      </c>
      <c r="L635" s="11">
        <f t="shared" si="622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623"/>
        <v>12.45</v>
      </c>
      <c r="R635" s="7">
        <f t="shared" si="624"/>
        <v>49.8</v>
      </c>
      <c r="S635" t="str">
        <f t="shared" si="625"/>
        <v>technology</v>
      </c>
      <c r="T635" t="str">
        <f t="shared" si="626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ref="K636:L636" si="683">(J636/60/60/24)+DATE(1970,1,1)</f>
        <v>42031.928576388891</v>
      </c>
      <c r="L636" s="11">
        <f t="shared" si="622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623"/>
        <v>0.02</v>
      </c>
      <c r="R636" s="7">
        <f t="shared" si="624"/>
        <v>1</v>
      </c>
      <c r="S636" t="str">
        <f t="shared" si="625"/>
        <v>technology</v>
      </c>
      <c r="T636" t="str">
        <f t="shared" si="626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ref="K637:L637" si="684">(J637/60/60/24)+DATE(1970,1,1)</f>
        <v>42076.092152777783</v>
      </c>
      <c r="L637" s="11">
        <f t="shared" si="622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623"/>
        <v>8.0000000000000002E-3</v>
      </c>
      <c r="R637" s="7">
        <f t="shared" si="624"/>
        <v>2</v>
      </c>
      <c r="S637" t="str">
        <f t="shared" si="625"/>
        <v>technology</v>
      </c>
      <c r="T637" t="str">
        <f t="shared" si="626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ref="K638:L638" si="685">(J638/60/60/24)+DATE(1970,1,1)</f>
        <v>42131.455439814818</v>
      </c>
      <c r="L638" s="11">
        <f t="shared" si="622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623"/>
        <v>0.2</v>
      </c>
      <c r="R638" s="7">
        <f t="shared" si="624"/>
        <v>4</v>
      </c>
      <c r="S638" t="str">
        <f t="shared" si="625"/>
        <v>technology</v>
      </c>
      <c r="T638" t="str">
        <f t="shared" si="626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ref="K639:L639" si="686">(J639/60/60/24)+DATE(1970,1,1)</f>
        <v>42762.962013888886</v>
      </c>
      <c r="L639" s="11">
        <f t="shared" si="622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623"/>
        <v>0</v>
      </c>
      <c r="R639" s="7">
        <f t="shared" si="624"/>
        <v>0</v>
      </c>
      <c r="S639" t="str">
        <f t="shared" si="625"/>
        <v>technology</v>
      </c>
      <c r="T639" t="str">
        <f t="shared" si="626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ref="K640:L640" si="687">(J640/60/60/24)+DATE(1970,1,1)</f>
        <v>42759.593310185184</v>
      </c>
      <c r="L640" s="11">
        <f t="shared" si="622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623"/>
        <v>9.0000000000000011E-3</v>
      </c>
      <c r="R640" s="7">
        <f t="shared" si="624"/>
        <v>3</v>
      </c>
      <c r="S640" t="str">
        <f t="shared" si="625"/>
        <v>technology</v>
      </c>
      <c r="T640" t="str">
        <f t="shared" si="626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ref="K641:L641" si="688">(J641/60/60/24)+DATE(1970,1,1)</f>
        <v>41865.583275462966</v>
      </c>
      <c r="L641" s="11">
        <f t="shared" si="622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623"/>
        <v>9.9999999999999991E-5</v>
      </c>
      <c r="R641" s="7">
        <f t="shared" si="624"/>
        <v>1</v>
      </c>
      <c r="S641" t="str">
        <f t="shared" si="625"/>
        <v>technology</v>
      </c>
      <c r="T641" t="str">
        <f t="shared" si="626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ref="K642:L642" si="689">(J642/60/60/24)+DATE(1970,1,1)</f>
        <v>42683.420312500006</v>
      </c>
      <c r="L642" s="11">
        <f t="shared" si="622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si="623"/>
        <v>144.28571428571428</v>
      </c>
      <c r="R642" s="7">
        <f t="shared" si="624"/>
        <v>50.5</v>
      </c>
      <c r="S642" t="str">
        <f t="shared" si="625"/>
        <v>technology</v>
      </c>
      <c r="T642" t="str">
        <f t="shared" si="626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ref="K643:L643" si="690">(J643/60/60/24)+DATE(1970,1,1)</f>
        <v>42199.57</v>
      </c>
      <c r="L643" s="11">
        <f t="shared" ref="L643:L706" si="691">(I643/60/60/24)+DATE(1970,1,1)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92">(E643/D643)*100</f>
        <v>119.16249999999999</v>
      </c>
      <c r="R643" s="7">
        <f t="shared" ref="R643:R706" si="693">IFERROR(E643/N643, 0)</f>
        <v>151.31746031746033</v>
      </c>
      <c r="S643" t="str">
        <f t="shared" ref="S643:S706" si="694">LEFT(P643, SEARCH("/", P643,1)-1)</f>
        <v>technology</v>
      </c>
      <c r="T643" t="str">
        <f t="shared" ref="T643:T706" si="695">RIGHT(P643,LEN(P643)-SEARCH("/",P643,SEARCH("/",P643)))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ref="K644:L644" si="696">(J644/60/60/24)+DATE(1970,1,1)</f>
        <v>42199.651319444441</v>
      </c>
      <c r="L644" s="11">
        <f t="shared" si="69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92"/>
        <v>1460.4850000000001</v>
      </c>
      <c r="R644" s="7">
        <f t="shared" si="693"/>
        <v>134.3592456301748</v>
      </c>
      <c r="S644" t="str">
        <f t="shared" si="694"/>
        <v>technology</v>
      </c>
      <c r="T644" t="str">
        <f t="shared" si="69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ref="K645:L645" si="697">(J645/60/60/24)+DATE(1970,1,1)</f>
        <v>42100.642071759255</v>
      </c>
      <c r="L645" s="11">
        <f t="shared" si="69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92"/>
        <v>105.80799999999999</v>
      </c>
      <c r="R645" s="7">
        <f t="shared" si="693"/>
        <v>174.02631578947367</v>
      </c>
      <c r="S645" t="str">
        <f t="shared" si="694"/>
        <v>technology</v>
      </c>
      <c r="T645" t="str">
        <f t="shared" si="69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ref="K646:L646" si="698">(J646/60/60/24)+DATE(1970,1,1)</f>
        <v>41898.665960648148</v>
      </c>
      <c r="L646" s="11">
        <f t="shared" si="69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92"/>
        <v>300.11791999999997</v>
      </c>
      <c r="R646" s="7">
        <f t="shared" si="693"/>
        <v>73.486268364348675</v>
      </c>
      <c r="S646" t="str">
        <f t="shared" si="694"/>
        <v>technology</v>
      </c>
      <c r="T646" t="str">
        <f t="shared" si="69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ref="K647:L647" si="699">(J647/60/60/24)+DATE(1970,1,1)</f>
        <v>42564.026319444441</v>
      </c>
      <c r="L647" s="11">
        <f t="shared" si="69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92"/>
        <v>278.7</v>
      </c>
      <c r="R647" s="7">
        <f t="shared" si="693"/>
        <v>23.518987341772153</v>
      </c>
      <c r="S647" t="str">
        <f t="shared" si="694"/>
        <v>technology</v>
      </c>
      <c r="T647" t="str">
        <f t="shared" si="69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ref="K648:L648" si="700">(J648/60/60/24)+DATE(1970,1,1)</f>
        <v>41832.852627314816</v>
      </c>
      <c r="L648" s="11">
        <f t="shared" si="69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92"/>
        <v>131.87625</v>
      </c>
      <c r="R648" s="7">
        <f t="shared" si="693"/>
        <v>39.074444444444445</v>
      </c>
      <c r="S648" t="str">
        <f t="shared" si="694"/>
        <v>technology</v>
      </c>
      <c r="T648" t="str">
        <f t="shared" si="69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ref="K649:L649" si="701">(J649/60/60/24)+DATE(1970,1,1)</f>
        <v>42416.767928240741</v>
      </c>
      <c r="L649" s="11">
        <f t="shared" si="69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692"/>
        <v>107.05</v>
      </c>
      <c r="R649" s="7">
        <f t="shared" si="693"/>
        <v>125.94117647058823</v>
      </c>
      <c r="S649" t="str">
        <f t="shared" si="694"/>
        <v>technology</v>
      </c>
      <c r="T649" t="str">
        <f t="shared" si="69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ref="K650:L650" si="702">(J650/60/60/24)+DATE(1970,1,1)</f>
        <v>41891.693379629629</v>
      </c>
      <c r="L650" s="11">
        <f t="shared" si="69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92"/>
        <v>126.82285714285715</v>
      </c>
      <c r="R650" s="7">
        <f t="shared" si="693"/>
        <v>1644</v>
      </c>
      <c r="S650" t="str">
        <f t="shared" si="694"/>
        <v>technology</v>
      </c>
      <c r="T650" t="str">
        <f t="shared" si="69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ref="K651:L651" si="703">(J651/60/60/24)+DATE(1970,1,1)</f>
        <v>41877.912187499998</v>
      </c>
      <c r="L651" s="11">
        <f t="shared" si="69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92"/>
        <v>139.96</v>
      </c>
      <c r="R651" s="7">
        <f t="shared" si="693"/>
        <v>42.670731707317074</v>
      </c>
      <c r="S651" t="str">
        <f t="shared" si="694"/>
        <v>technology</v>
      </c>
      <c r="T651" t="str">
        <f t="shared" si="69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ref="K652:L652" si="704">(J652/60/60/24)+DATE(1970,1,1)</f>
        <v>41932.036851851852</v>
      </c>
      <c r="L652" s="11">
        <f t="shared" si="69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692"/>
        <v>112.4</v>
      </c>
      <c r="R652" s="7">
        <f t="shared" si="693"/>
        <v>35.125</v>
      </c>
      <c r="S652" t="str">
        <f t="shared" si="694"/>
        <v>technology</v>
      </c>
      <c r="T652" t="str">
        <f t="shared" si="69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ref="K653:L653" si="705">(J653/60/60/24)+DATE(1970,1,1)</f>
        <v>41956.017488425925</v>
      </c>
      <c r="L653" s="11">
        <f t="shared" si="69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92"/>
        <v>100.52799999999999</v>
      </c>
      <c r="R653" s="7">
        <f t="shared" si="693"/>
        <v>239.35238095238094</v>
      </c>
      <c r="S653" t="str">
        <f t="shared" si="694"/>
        <v>technology</v>
      </c>
      <c r="T653" t="str">
        <f t="shared" si="69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ref="K654:L654" si="706">(J654/60/60/24)+DATE(1970,1,1)</f>
        <v>42675.690393518518</v>
      </c>
      <c r="L654" s="11">
        <f t="shared" si="69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692"/>
        <v>100.46666666666665</v>
      </c>
      <c r="R654" s="7">
        <f t="shared" si="693"/>
        <v>107.64285714285714</v>
      </c>
      <c r="S654" t="str">
        <f t="shared" si="694"/>
        <v>technology</v>
      </c>
      <c r="T654" t="str">
        <f t="shared" si="69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ref="K655:L655" si="707">(J655/60/60/24)+DATE(1970,1,1)</f>
        <v>42199.618518518517</v>
      </c>
      <c r="L655" s="11">
        <f t="shared" si="69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92"/>
        <v>141.446</v>
      </c>
      <c r="R655" s="7">
        <f t="shared" si="693"/>
        <v>95.830623306233065</v>
      </c>
      <c r="S655" t="str">
        <f t="shared" si="694"/>
        <v>technology</v>
      </c>
      <c r="T655" t="str">
        <f t="shared" si="69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ref="K656:L656" si="708">(J656/60/60/24)+DATE(1970,1,1)</f>
        <v>42163.957326388889</v>
      </c>
      <c r="L656" s="11">
        <f t="shared" si="69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92"/>
        <v>267.29166666666669</v>
      </c>
      <c r="R656" s="7">
        <f t="shared" si="693"/>
        <v>31.663376110562684</v>
      </c>
      <c r="S656" t="str">
        <f t="shared" si="694"/>
        <v>technology</v>
      </c>
      <c r="T656" t="str">
        <f t="shared" si="69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ref="K657:L657" si="709">(J657/60/60/24)+DATE(1970,1,1)</f>
        <v>42045.957314814819</v>
      </c>
      <c r="L657" s="11">
        <f t="shared" si="69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692"/>
        <v>146.88749999999999</v>
      </c>
      <c r="R657" s="7">
        <f t="shared" si="693"/>
        <v>42.886861313868614</v>
      </c>
      <c r="S657" t="str">
        <f t="shared" si="694"/>
        <v>technology</v>
      </c>
      <c r="T657" t="str">
        <f t="shared" si="69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ref="K658:L658" si="710">(J658/60/60/24)+DATE(1970,1,1)</f>
        <v>42417.804618055554</v>
      </c>
      <c r="L658" s="11">
        <f t="shared" si="69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692"/>
        <v>213.56</v>
      </c>
      <c r="R658" s="7">
        <f t="shared" si="693"/>
        <v>122.73563218390805</v>
      </c>
      <c r="S658" t="str">
        <f t="shared" si="694"/>
        <v>technology</v>
      </c>
      <c r="T658" t="str">
        <f t="shared" si="69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ref="K659:L659" si="711">(J659/60/60/24)+DATE(1970,1,1)</f>
        <v>42331.84574074074</v>
      </c>
      <c r="L659" s="11">
        <f t="shared" si="69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92"/>
        <v>125.69999999999999</v>
      </c>
      <c r="R659" s="7">
        <f t="shared" si="693"/>
        <v>190.45454545454547</v>
      </c>
      <c r="S659" t="str">
        <f t="shared" si="694"/>
        <v>technology</v>
      </c>
      <c r="T659" t="str">
        <f t="shared" si="69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ref="K660:L660" si="712">(J660/60/60/24)+DATE(1970,1,1)</f>
        <v>42179.160752314812</v>
      </c>
      <c r="L660" s="11">
        <f t="shared" si="691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692"/>
        <v>104.46206037108834</v>
      </c>
      <c r="R660" s="7">
        <f t="shared" si="693"/>
        <v>109.33695652173913</v>
      </c>
      <c r="S660" t="str">
        <f t="shared" si="694"/>
        <v>technology</v>
      </c>
      <c r="T660" t="str">
        <f t="shared" si="69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ref="K661:L661" si="713">(J661/60/60/24)+DATE(1970,1,1)</f>
        <v>42209.593692129631</v>
      </c>
      <c r="L661" s="11">
        <f t="shared" si="69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92"/>
        <v>100.56666666666668</v>
      </c>
      <c r="R661" s="7">
        <f t="shared" si="693"/>
        <v>143.66666666666666</v>
      </c>
      <c r="S661" t="str">
        <f t="shared" si="694"/>
        <v>technology</v>
      </c>
      <c r="T661" t="str">
        <f t="shared" si="69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ref="K662:L662" si="714">(J662/60/60/24)+DATE(1970,1,1)</f>
        <v>41922.741655092592</v>
      </c>
      <c r="L662" s="11">
        <f t="shared" si="69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692"/>
        <v>3.0579999999999998</v>
      </c>
      <c r="R662" s="7">
        <f t="shared" si="693"/>
        <v>84.944444444444443</v>
      </c>
      <c r="S662" t="str">
        <f t="shared" si="694"/>
        <v>technology</v>
      </c>
      <c r="T662" t="str">
        <f t="shared" si="69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ref="K663:L663" si="715">(J663/60/60/24)+DATE(1970,1,1)</f>
        <v>42636.645358796297</v>
      </c>
      <c r="L663" s="11">
        <f t="shared" si="69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92"/>
        <v>0.95</v>
      </c>
      <c r="R663" s="7">
        <f t="shared" si="693"/>
        <v>10.555555555555555</v>
      </c>
      <c r="S663" t="str">
        <f t="shared" si="694"/>
        <v>technology</v>
      </c>
      <c r="T663" t="str">
        <f t="shared" si="69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ref="K664:L664" si="716">(J664/60/60/24)+DATE(1970,1,1)</f>
        <v>41990.438043981485</v>
      </c>
      <c r="L664" s="11">
        <f t="shared" si="69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92"/>
        <v>0.4</v>
      </c>
      <c r="R664" s="7">
        <f t="shared" si="693"/>
        <v>39</v>
      </c>
      <c r="S664" t="str">
        <f t="shared" si="694"/>
        <v>technology</v>
      </c>
      <c r="T664" t="str">
        <f t="shared" si="69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ref="K665:L665" si="717">(J665/60/60/24)+DATE(1970,1,1)</f>
        <v>42173.843240740738</v>
      </c>
      <c r="L665" s="11">
        <f t="shared" si="69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92"/>
        <v>0.35000000000000003</v>
      </c>
      <c r="R665" s="7">
        <f t="shared" si="693"/>
        <v>100</v>
      </c>
      <c r="S665" t="str">
        <f t="shared" si="694"/>
        <v>technology</v>
      </c>
      <c r="T665" t="str">
        <f t="shared" si="69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ref="K666:L666" si="718">(J666/60/60/24)+DATE(1970,1,1)</f>
        <v>42077.666377314818</v>
      </c>
      <c r="L666" s="11">
        <f t="shared" si="69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92"/>
        <v>7.5333333333333332</v>
      </c>
      <c r="R666" s="7">
        <f t="shared" si="693"/>
        <v>31.172413793103448</v>
      </c>
      <c r="S666" t="str">
        <f t="shared" si="694"/>
        <v>technology</v>
      </c>
      <c r="T666" t="str">
        <f t="shared" si="69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ref="K667:L667" si="719">(J667/60/60/24)+DATE(1970,1,1)</f>
        <v>42688.711354166662</v>
      </c>
      <c r="L667" s="11">
        <f t="shared" si="69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92"/>
        <v>18.64</v>
      </c>
      <c r="R667" s="7">
        <f t="shared" si="693"/>
        <v>155.33333333333334</v>
      </c>
      <c r="S667" t="str">
        <f t="shared" si="694"/>
        <v>technology</v>
      </c>
      <c r="T667" t="str">
        <f t="shared" si="69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ref="K668:L668" si="720">(J668/60/60/24)+DATE(1970,1,1)</f>
        <v>41838.832152777781</v>
      </c>
      <c r="L668" s="11">
        <f t="shared" si="69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92"/>
        <v>4.0000000000000001E-3</v>
      </c>
      <c r="R668" s="7">
        <f t="shared" si="693"/>
        <v>2</v>
      </c>
      <c r="S668" t="str">
        <f t="shared" si="694"/>
        <v>technology</v>
      </c>
      <c r="T668" t="str">
        <f t="shared" si="69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ref="K669:L669" si="721">(J669/60/60/24)+DATE(1970,1,1)</f>
        <v>42632.373414351852</v>
      </c>
      <c r="L669" s="11">
        <f t="shared" si="69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92"/>
        <v>10.02</v>
      </c>
      <c r="R669" s="7">
        <f t="shared" si="693"/>
        <v>178.92857142857142</v>
      </c>
      <c r="S669" t="str">
        <f t="shared" si="694"/>
        <v>technology</v>
      </c>
      <c r="T669" t="str">
        <f t="shared" si="69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ref="K670:L670" si="722">(J670/60/60/24)+DATE(1970,1,1)</f>
        <v>42090.831273148149</v>
      </c>
      <c r="L670" s="11">
        <f t="shared" si="69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92"/>
        <v>4.5600000000000005</v>
      </c>
      <c r="R670" s="7">
        <f t="shared" si="693"/>
        <v>27.36</v>
      </c>
      <c r="S670" t="str">
        <f t="shared" si="694"/>
        <v>technology</v>
      </c>
      <c r="T670" t="str">
        <f t="shared" si="69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ref="K671:L671" si="723">(J671/60/60/24)+DATE(1970,1,1)</f>
        <v>42527.625671296293</v>
      </c>
      <c r="L671" s="11">
        <f t="shared" si="69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92"/>
        <v>21.5075</v>
      </c>
      <c r="R671" s="7">
        <f t="shared" si="693"/>
        <v>1536.25</v>
      </c>
      <c r="S671" t="str">
        <f t="shared" si="694"/>
        <v>technology</v>
      </c>
      <c r="T671" t="str">
        <f t="shared" si="69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ref="K672:L672" si="724">(J672/60/60/24)+DATE(1970,1,1)</f>
        <v>42506.709722222222</v>
      </c>
      <c r="L672" s="11">
        <f t="shared" si="69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692"/>
        <v>29.276666666666667</v>
      </c>
      <c r="R672" s="7">
        <f t="shared" si="693"/>
        <v>84.99677419354839</v>
      </c>
      <c r="S672" t="str">
        <f t="shared" si="694"/>
        <v>technology</v>
      </c>
      <c r="T672" t="str">
        <f t="shared" si="69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ref="K673:L673" si="725">(J673/60/60/24)+DATE(1970,1,1)</f>
        <v>41984.692731481482</v>
      </c>
      <c r="L673" s="11">
        <f t="shared" si="69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692"/>
        <v>39.426666666666662</v>
      </c>
      <c r="R673" s="7">
        <f t="shared" si="693"/>
        <v>788.5333333333333</v>
      </c>
      <c r="S673" t="str">
        <f t="shared" si="694"/>
        <v>technology</v>
      </c>
      <c r="T673" t="str">
        <f t="shared" si="69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ref="K674:L674" si="726">(J674/60/60/24)+DATE(1970,1,1)</f>
        <v>41974.219490740739</v>
      </c>
      <c r="L674" s="11">
        <f t="shared" si="69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92"/>
        <v>21.628</v>
      </c>
      <c r="R674" s="7">
        <f t="shared" si="693"/>
        <v>50.29767441860465</v>
      </c>
      <c r="S674" t="str">
        <f t="shared" si="694"/>
        <v>technology</v>
      </c>
      <c r="T674" t="str">
        <f t="shared" si="69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ref="K675:L675" si="727">(J675/60/60/24)+DATE(1970,1,1)</f>
        <v>41838.840474537035</v>
      </c>
      <c r="L675" s="11">
        <f t="shared" si="69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92"/>
        <v>0.20500000000000002</v>
      </c>
      <c r="R675" s="7">
        <f t="shared" si="693"/>
        <v>68.333333333333329</v>
      </c>
      <c r="S675" t="str">
        <f t="shared" si="694"/>
        <v>technology</v>
      </c>
      <c r="T675" t="str">
        <f t="shared" si="69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ref="K676:L676" si="728">(J676/60/60/24)+DATE(1970,1,1)</f>
        <v>41803.116053240738</v>
      </c>
      <c r="L676" s="11">
        <f t="shared" si="69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92"/>
        <v>0.03</v>
      </c>
      <c r="R676" s="7">
        <f t="shared" si="693"/>
        <v>7.5</v>
      </c>
      <c r="S676" t="str">
        <f t="shared" si="694"/>
        <v>technology</v>
      </c>
      <c r="T676" t="str">
        <f t="shared" si="69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ref="K677:L677" si="729">(J677/60/60/24)+DATE(1970,1,1)</f>
        <v>41975.930601851855</v>
      </c>
      <c r="L677" s="11">
        <f t="shared" si="69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692"/>
        <v>14.85</v>
      </c>
      <c r="R677" s="7">
        <f t="shared" si="693"/>
        <v>34.269230769230766</v>
      </c>
      <c r="S677" t="str">
        <f t="shared" si="694"/>
        <v>technology</v>
      </c>
      <c r="T677" t="str">
        <f t="shared" si="69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ref="K678:L678" si="730">(J678/60/60/24)+DATE(1970,1,1)</f>
        <v>42012.768298611118</v>
      </c>
      <c r="L678" s="11">
        <f t="shared" si="69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92"/>
        <v>1.4710000000000001</v>
      </c>
      <c r="R678" s="7">
        <f t="shared" si="693"/>
        <v>61.291666666666664</v>
      </c>
      <c r="S678" t="str">
        <f t="shared" si="694"/>
        <v>technology</v>
      </c>
      <c r="T678" t="str">
        <f t="shared" si="69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ref="K679:L679" si="731">(J679/60/60/24)+DATE(1970,1,1)</f>
        <v>42504.403877314813</v>
      </c>
      <c r="L679" s="11">
        <f t="shared" si="69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92"/>
        <v>25.584</v>
      </c>
      <c r="R679" s="7">
        <f t="shared" si="693"/>
        <v>133.25</v>
      </c>
      <c r="S679" t="str">
        <f t="shared" si="694"/>
        <v>technology</v>
      </c>
      <c r="T679" t="str">
        <f t="shared" si="69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ref="K680:L680" si="732">(J680/60/60/24)+DATE(1970,1,1)</f>
        <v>42481.376597222217</v>
      </c>
      <c r="L680" s="11">
        <f t="shared" si="69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92"/>
        <v>3.8206896551724134</v>
      </c>
      <c r="R680" s="7">
        <f t="shared" si="693"/>
        <v>65.17647058823529</v>
      </c>
      <c r="S680" t="str">
        <f t="shared" si="694"/>
        <v>technology</v>
      </c>
      <c r="T680" t="str">
        <f t="shared" si="69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ref="K681:L681" si="733">(J681/60/60/24)+DATE(1970,1,1)</f>
        <v>42556.695706018523</v>
      </c>
      <c r="L681" s="11">
        <f t="shared" si="69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92"/>
        <v>15.485964912280703</v>
      </c>
      <c r="R681" s="7">
        <f t="shared" si="693"/>
        <v>93.90425531914893</v>
      </c>
      <c r="S681" t="str">
        <f t="shared" si="694"/>
        <v>technology</v>
      </c>
      <c r="T681" t="str">
        <f t="shared" si="69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ref="K682:L682" si="734">(J682/60/60/24)+DATE(1970,1,1)</f>
        <v>41864.501516203702</v>
      </c>
      <c r="L682" s="11">
        <f t="shared" si="69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92"/>
        <v>25.912000000000003</v>
      </c>
      <c r="R682" s="7">
        <f t="shared" si="693"/>
        <v>150.65116279069767</v>
      </c>
      <c r="S682" t="str">
        <f t="shared" si="694"/>
        <v>technology</v>
      </c>
      <c r="T682" t="str">
        <f t="shared" si="69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ref="K683:L683" si="735">(J683/60/60/24)+DATE(1970,1,1)</f>
        <v>42639.805601851855</v>
      </c>
      <c r="L683" s="11">
        <f t="shared" si="69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92"/>
        <v>0.04</v>
      </c>
      <c r="R683" s="7">
        <f t="shared" si="693"/>
        <v>1</v>
      </c>
      <c r="S683" t="str">
        <f t="shared" si="694"/>
        <v>technology</v>
      </c>
      <c r="T683" t="str">
        <f t="shared" si="69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ref="K684:L684" si="736">(J684/60/60/24)+DATE(1970,1,1)</f>
        <v>42778.765300925923</v>
      </c>
      <c r="L684" s="11">
        <f t="shared" si="69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692"/>
        <v>0.106</v>
      </c>
      <c r="R684" s="7">
        <f t="shared" si="693"/>
        <v>13.25</v>
      </c>
      <c r="S684" t="str">
        <f t="shared" si="694"/>
        <v>technology</v>
      </c>
      <c r="T684" t="str">
        <f t="shared" si="69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ref="K685:L685" si="737">(J685/60/60/24)+DATE(1970,1,1)</f>
        <v>42634.900046296301</v>
      </c>
      <c r="L685" s="11">
        <f t="shared" si="69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92"/>
        <v>0.85142857142857142</v>
      </c>
      <c r="R685" s="7">
        <f t="shared" si="693"/>
        <v>99.333333333333329</v>
      </c>
      <c r="S685" t="str">
        <f t="shared" si="694"/>
        <v>technology</v>
      </c>
      <c r="T685" t="str">
        <f t="shared" si="69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ref="K686:L686" si="738">(J686/60/60/24)+DATE(1970,1,1)</f>
        <v>41809.473275462966</v>
      </c>
      <c r="L686" s="11">
        <f t="shared" si="691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692"/>
        <v>7.4837500000000006</v>
      </c>
      <c r="R686" s="7">
        <f t="shared" si="693"/>
        <v>177.39259259259259</v>
      </c>
      <c r="S686" t="str">
        <f t="shared" si="694"/>
        <v>technology</v>
      </c>
      <c r="T686" t="str">
        <f t="shared" si="69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ref="K687:L687" si="739">(J687/60/60/24)+DATE(1970,1,1)</f>
        <v>41971.866574074069</v>
      </c>
      <c r="L687" s="11">
        <f t="shared" si="69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92"/>
        <v>27.650000000000002</v>
      </c>
      <c r="R687" s="7">
        <f t="shared" si="693"/>
        <v>55.3</v>
      </c>
      <c r="S687" t="str">
        <f t="shared" si="694"/>
        <v>technology</v>
      </c>
      <c r="T687" t="str">
        <f t="shared" si="69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ref="K688:L688" si="740">(J688/60/60/24)+DATE(1970,1,1)</f>
        <v>42189.673263888893</v>
      </c>
      <c r="L688" s="11">
        <f t="shared" si="69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92"/>
        <v>0</v>
      </c>
      <c r="R688" s="7">
        <f t="shared" si="693"/>
        <v>0</v>
      </c>
      <c r="S688" t="str">
        <f t="shared" si="694"/>
        <v>technology</v>
      </c>
      <c r="T688" t="str">
        <f t="shared" si="69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ref="K689:L689" si="741">(J689/60/60/24)+DATE(1970,1,1)</f>
        <v>42711.750613425931</v>
      </c>
      <c r="L689" s="11">
        <f t="shared" si="69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92"/>
        <v>3.55</v>
      </c>
      <c r="R689" s="7">
        <f t="shared" si="693"/>
        <v>591.66666666666663</v>
      </c>
      <c r="S689" t="str">
        <f t="shared" si="694"/>
        <v>technology</v>
      </c>
      <c r="T689" t="str">
        <f t="shared" si="69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ref="K690:L690" si="742">(J690/60/60/24)+DATE(1970,1,1)</f>
        <v>42262.104780092588</v>
      </c>
      <c r="L690" s="11">
        <f t="shared" si="69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92"/>
        <v>72.989999999999995</v>
      </c>
      <c r="R690" s="7">
        <f t="shared" si="693"/>
        <v>405.5</v>
      </c>
      <c r="S690" t="str">
        <f t="shared" si="694"/>
        <v>technology</v>
      </c>
      <c r="T690" t="str">
        <f t="shared" si="69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ref="K691:L691" si="743">(J691/60/60/24)+DATE(1970,1,1)</f>
        <v>42675.66778935185</v>
      </c>
      <c r="L691" s="11">
        <f t="shared" si="69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692"/>
        <v>57.648750000000007</v>
      </c>
      <c r="R691" s="7">
        <f t="shared" si="693"/>
        <v>343.14732142857144</v>
      </c>
      <c r="S691" t="str">
        <f t="shared" si="694"/>
        <v>technology</v>
      </c>
      <c r="T691" t="str">
        <f t="shared" si="69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ref="K692:L692" si="744">(J692/60/60/24)+DATE(1970,1,1)</f>
        <v>42579.634733796294</v>
      </c>
      <c r="L692" s="11">
        <f t="shared" si="691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692"/>
        <v>12.34</v>
      </c>
      <c r="R692" s="7">
        <f t="shared" si="693"/>
        <v>72.588235294117652</v>
      </c>
      <c r="S692" t="str">
        <f t="shared" si="694"/>
        <v>technology</v>
      </c>
      <c r="T692" t="str">
        <f t="shared" si="69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ref="K693:L693" si="745">(J693/60/60/24)+DATE(1970,1,1)</f>
        <v>42158.028310185182</v>
      </c>
      <c r="L693" s="11">
        <f t="shared" si="69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92"/>
        <v>0.52</v>
      </c>
      <c r="R693" s="7">
        <f t="shared" si="693"/>
        <v>26</v>
      </c>
      <c r="S693" t="str">
        <f t="shared" si="694"/>
        <v>technology</v>
      </c>
      <c r="T693" t="str">
        <f t="shared" si="69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ref="K694:L694" si="746">(J694/60/60/24)+DATE(1970,1,1)</f>
        <v>42696.37572916667</v>
      </c>
      <c r="L694" s="11">
        <f t="shared" si="69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92"/>
        <v>6.5299999999999994</v>
      </c>
      <c r="R694" s="7">
        <f t="shared" si="693"/>
        <v>6.4975124378109452</v>
      </c>
      <c r="S694" t="str">
        <f t="shared" si="694"/>
        <v>technology</v>
      </c>
      <c r="T694" t="str">
        <f t="shared" si="69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ref="K695:L695" si="747">(J695/60/60/24)+DATE(1970,1,1)</f>
        <v>42094.808182870373</v>
      </c>
      <c r="L695" s="11">
        <f t="shared" si="69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92"/>
        <v>35.338000000000001</v>
      </c>
      <c r="R695" s="7">
        <f t="shared" si="693"/>
        <v>119.38513513513513</v>
      </c>
      <c r="S695" t="str">
        <f t="shared" si="694"/>
        <v>technology</v>
      </c>
      <c r="T695" t="str">
        <f t="shared" si="69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ref="K696:L696" si="748">(J696/60/60/24)+DATE(1970,1,1)</f>
        <v>42737.663877314815</v>
      </c>
      <c r="L696" s="11">
        <f t="shared" si="69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92"/>
        <v>0.39333333333333331</v>
      </c>
      <c r="R696" s="7">
        <f t="shared" si="693"/>
        <v>84.285714285714292</v>
      </c>
      <c r="S696" t="str">
        <f t="shared" si="694"/>
        <v>technology</v>
      </c>
      <c r="T696" t="str">
        <f t="shared" si="69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ref="K697:L697" si="749">(J697/60/60/24)+DATE(1970,1,1)</f>
        <v>41913.521064814813</v>
      </c>
      <c r="L697" s="11">
        <f t="shared" si="69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92"/>
        <v>1.06</v>
      </c>
      <c r="R697" s="7">
        <f t="shared" si="693"/>
        <v>90.857142857142861</v>
      </c>
      <c r="S697" t="str">
        <f t="shared" si="694"/>
        <v>technology</v>
      </c>
      <c r="T697" t="str">
        <f t="shared" si="69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ref="K698:L698" si="750">(J698/60/60/24)+DATE(1970,1,1)</f>
        <v>41815.927106481482</v>
      </c>
      <c r="L698" s="11">
        <f t="shared" si="69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92"/>
        <v>5.7142857142857147E-4</v>
      </c>
      <c r="R698" s="7">
        <f t="shared" si="693"/>
        <v>1</v>
      </c>
      <c r="S698" t="str">
        <f t="shared" si="694"/>
        <v>technology</v>
      </c>
      <c r="T698" t="str">
        <f t="shared" si="69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ref="K699:L699" si="751">(J699/60/60/24)+DATE(1970,1,1)</f>
        <v>42388.523020833338</v>
      </c>
      <c r="L699" s="11">
        <f t="shared" si="69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92"/>
        <v>46.379999999999995</v>
      </c>
      <c r="R699" s="7">
        <f t="shared" si="693"/>
        <v>20.342105263157894</v>
      </c>
      <c r="S699" t="str">
        <f t="shared" si="694"/>
        <v>technology</v>
      </c>
      <c r="T699" t="str">
        <f t="shared" si="69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ref="K700:L700" si="752">(J700/60/60/24)+DATE(1970,1,1)</f>
        <v>41866.931076388886</v>
      </c>
      <c r="L700" s="11">
        <f t="shared" si="69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692"/>
        <v>15.39</v>
      </c>
      <c r="R700" s="7">
        <f t="shared" si="693"/>
        <v>530.68965517241384</v>
      </c>
      <c r="S700" t="str">
        <f t="shared" si="694"/>
        <v>technology</v>
      </c>
      <c r="T700" t="str">
        <f t="shared" si="69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ref="K701:L701" si="753">(J701/60/60/24)+DATE(1970,1,1)</f>
        <v>41563.485509259262</v>
      </c>
      <c r="L701" s="11">
        <f t="shared" si="69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692"/>
        <v>82.422107692307705</v>
      </c>
      <c r="R701" s="7">
        <f t="shared" si="693"/>
        <v>120.39184269662923</v>
      </c>
      <c r="S701" t="str">
        <f t="shared" si="694"/>
        <v>technology</v>
      </c>
      <c r="T701" t="str">
        <f t="shared" si="69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ref="K702:L702" si="754">(J702/60/60/24)+DATE(1970,1,1)</f>
        <v>42715.688437500001</v>
      </c>
      <c r="L702" s="11">
        <f t="shared" si="69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92"/>
        <v>2.6866666666666665</v>
      </c>
      <c r="R702" s="7">
        <f t="shared" si="693"/>
        <v>13</v>
      </c>
      <c r="S702" t="str">
        <f t="shared" si="694"/>
        <v>technology</v>
      </c>
      <c r="T702" t="str">
        <f t="shared" si="69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ref="K703:L703" si="755">(J703/60/60/24)+DATE(1970,1,1)</f>
        <v>41813.662962962961</v>
      </c>
      <c r="L703" s="11">
        <f t="shared" si="69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92"/>
        <v>26.6</v>
      </c>
      <c r="R703" s="7">
        <f t="shared" si="693"/>
        <v>291.33333333333331</v>
      </c>
      <c r="S703" t="str">
        <f t="shared" si="694"/>
        <v>technology</v>
      </c>
      <c r="T703" t="str">
        <f t="shared" si="69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ref="K704:L704" si="756">(J704/60/60/24)+DATE(1970,1,1)</f>
        <v>42668.726701388892</v>
      </c>
      <c r="L704" s="11">
        <f t="shared" si="69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692"/>
        <v>30.813400000000001</v>
      </c>
      <c r="R704" s="7">
        <f t="shared" si="693"/>
        <v>124.9191891891892</v>
      </c>
      <c r="S704" t="str">
        <f t="shared" si="694"/>
        <v>technology</v>
      </c>
      <c r="T704" t="str">
        <f t="shared" si="69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ref="K705:L705" si="757">(J705/60/60/24)+DATE(1970,1,1)</f>
        <v>42711.950798611113</v>
      </c>
      <c r="L705" s="11">
        <f t="shared" si="691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692"/>
        <v>5.58</v>
      </c>
      <c r="R705" s="7">
        <f t="shared" si="693"/>
        <v>119.57142857142857</v>
      </c>
      <c r="S705" t="str">
        <f t="shared" si="694"/>
        <v>technology</v>
      </c>
      <c r="T705" t="str">
        <f t="shared" si="69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ref="K706:L706" si="758">(J706/60/60/24)+DATE(1970,1,1)</f>
        <v>42726.192916666667</v>
      </c>
      <c r="L706" s="11">
        <f t="shared" si="69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692"/>
        <v>0.87454545454545463</v>
      </c>
      <c r="R706" s="7">
        <f t="shared" si="693"/>
        <v>120.25</v>
      </c>
      <c r="S706" t="str">
        <f t="shared" si="694"/>
        <v>technology</v>
      </c>
      <c r="T706" t="str">
        <f t="shared" si="69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ref="K707:L707" si="759">(J707/60/60/24)+DATE(1970,1,1)</f>
        <v>42726.491643518515</v>
      </c>
      <c r="L707" s="11">
        <f t="shared" ref="L707:L770" si="760">(I707/60/60/24)+DATE(1970,1,1)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761">(E707/D707)*100</f>
        <v>0.97699999999999987</v>
      </c>
      <c r="R707" s="7">
        <f t="shared" ref="R707:R770" si="762">IFERROR(E707/N707, 0)</f>
        <v>195.4</v>
      </c>
      <c r="S707" t="str">
        <f t="shared" ref="S707:S770" si="763">LEFT(P707, SEARCH("/", P707,1)-1)</f>
        <v>technology</v>
      </c>
      <c r="T707" t="str">
        <f t="shared" ref="T707:T770" si="764">RIGHT(P707,LEN(P707)-SEARCH("/",P707,SEARCH("/",P707)))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ref="K708:L708" si="765">(J708/60/60/24)+DATE(1970,1,1)</f>
        <v>42676.995173611111</v>
      </c>
      <c r="L708" s="11">
        <f t="shared" si="760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761"/>
        <v>0</v>
      </c>
      <c r="R708" s="7">
        <f t="shared" si="762"/>
        <v>0</v>
      </c>
      <c r="S708" t="str">
        <f t="shared" si="763"/>
        <v>technology</v>
      </c>
      <c r="T708" t="str">
        <f t="shared" si="764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ref="K709:L709" si="766">(J709/60/60/24)+DATE(1970,1,1)</f>
        <v>42696.663506944446</v>
      </c>
      <c r="L709" s="11">
        <f t="shared" si="760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761"/>
        <v>78.927352941176466</v>
      </c>
      <c r="R709" s="7">
        <f t="shared" si="762"/>
        <v>117.69868421052631</v>
      </c>
      <c r="S709" t="str">
        <f t="shared" si="763"/>
        <v>technology</v>
      </c>
      <c r="T709" t="str">
        <f t="shared" si="764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ref="K710:L710" si="767">(J710/60/60/24)+DATE(1970,1,1)</f>
        <v>41835.581018518518</v>
      </c>
      <c r="L710" s="11">
        <f t="shared" si="760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761"/>
        <v>22.092500000000001</v>
      </c>
      <c r="R710" s="7">
        <f t="shared" si="762"/>
        <v>23.948509485094849</v>
      </c>
      <c r="S710" t="str">
        <f t="shared" si="763"/>
        <v>technology</v>
      </c>
      <c r="T710" t="str">
        <f t="shared" si="764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ref="K711:L711" si="768">(J711/60/60/24)+DATE(1970,1,1)</f>
        <v>41948.041192129633</v>
      </c>
      <c r="L711" s="11">
        <f t="shared" si="760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761"/>
        <v>0.40666666666666662</v>
      </c>
      <c r="R711" s="7">
        <f t="shared" si="762"/>
        <v>30.5</v>
      </c>
      <c r="S711" t="str">
        <f t="shared" si="763"/>
        <v>technology</v>
      </c>
      <c r="T711" t="str">
        <f t="shared" si="764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ref="K712:L712" si="769">(J712/60/60/24)+DATE(1970,1,1)</f>
        <v>41837.984976851854</v>
      </c>
      <c r="L712" s="11">
        <f t="shared" si="760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761"/>
        <v>0</v>
      </c>
      <c r="R712" s="7">
        <f t="shared" si="762"/>
        <v>0</v>
      </c>
      <c r="S712" t="str">
        <f t="shared" si="763"/>
        <v>technology</v>
      </c>
      <c r="T712" t="str">
        <f t="shared" si="764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ref="K713:L713" si="770">(J713/60/60/24)+DATE(1970,1,1)</f>
        <v>42678.459120370375</v>
      </c>
      <c r="L713" s="11">
        <f t="shared" si="760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761"/>
        <v>33.790999999999997</v>
      </c>
      <c r="R713" s="7">
        <f t="shared" si="762"/>
        <v>99.973372781065095</v>
      </c>
      <c r="S713" t="str">
        <f t="shared" si="763"/>
        <v>technology</v>
      </c>
      <c r="T713" t="str">
        <f t="shared" si="764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ref="K714:L714" si="771">(J714/60/60/24)+DATE(1970,1,1)</f>
        <v>42384.680925925932</v>
      </c>
      <c r="L714" s="11">
        <f t="shared" si="760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761"/>
        <v>0.21649484536082475</v>
      </c>
      <c r="R714" s="7">
        <f t="shared" si="762"/>
        <v>26.25</v>
      </c>
      <c r="S714" t="str">
        <f t="shared" si="763"/>
        <v>technology</v>
      </c>
      <c r="T714" t="str">
        <f t="shared" si="764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ref="K715:L715" si="772">(J715/60/60/24)+DATE(1970,1,1)</f>
        <v>42496.529305555552</v>
      </c>
      <c r="L715" s="11">
        <f t="shared" si="760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761"/>
        <v>0.79600000000000004</v>
      </c>
      <c r="R715" s="7">
        <f t="shared" si="762"/>
        <v>199</v>
      </c>
      <c r="S715" t="str">
        <f t="shared" si="763"/>
        <v>technology</v>
      </c>
      <c r="T715" t="str">
        <f t="shared" si="764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ref="K716:L716" si="773">(J716/60/60/24)+DATE(1970,1,1)</f>
        <v>42734.787986111114</v>
      </c>
      <c r="L716" s="11">
        <f t="shared" si="760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761"/>
        <v>14.993333333333334</v>
      </c>
      <c r="R716" s="7">
        <f t="shared" si="762"/>
        <v>80.321428571428569</v>
      </c>
      <c r="S716" t="str">
        <f t="shared" si="763"/>
        <v>technology</v>
      </c>
      <c r="T716" t="str">
        <f t="shared" si="764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ref="K717:L717" si="774">(J717/60/60/24)+DATE(1970,1,1)</f>
        <v>42273.090740740736</v>
      </c>
      <c r="L717" s="11">
        <f t="shared" si="760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761"/>
        <v>5.0509090909090908</v>
      </c>
      <c r="R717" s="7">
        <f t="shared" si="762"/>
        <v>115.75</v>
      </c>
      <c r="S717" t="str">
        <f t="shared" si="763"/>
        <v>technology</v>
      </c>
      <c r="T717" t="str">
        <f t="shared" si="764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ref="K718:L718" si="775">(J718/60/60/24)+DATE(1970,1,1)</f>
        <v>41940.658645833333</v>
      </c>
      <c r="L718" s="11">
        <f t="shared" si="760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761"/>
        <v>10.214285714285715</v>
      </c>
      <c r="R718" s="7">
        <f t="shared" si="762"/>
        <v>44.6875</v>
      </c>
      <c r="S718" t="str">
        <f t="shared" si="763"/>
        <v>technology</v>
      </c>
      <c r="T718" t="str">
        <f t="shared" si="764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ref="K719:L719" si="776">(J719/60/60/24)+DATE(1970,1,1)</f>
        <v>41857.854189814818</v>
      </c>
      <c r="L719" s="11">
        <f t="shared" si="760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761"/>
        <v>0.30499999999999999</v>
      </c>
      <c r="R719" s="7">
        <f t="shared" si="762"/>
        <v>76.25</v>
      </c>
      <c r="S719" t="str">
        <f t="shared" si="763"/>
        <v>technology</v>
      </c>
      <c r="T719" t="str">
        <f t="shared" si="764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ref="K720:L720" si="777">(J720/60/60/24)+DATE(1970,1,1)</f>
        <v>42752.845451388886</v>
      </c>
      <c r="L720" s="11">
        <f t="shared" si="760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761"/>
        <v>0.75</v>
      </c>
      <c r="R720" s="7">
        <f t="shared" si="762"/>
        <v>22.5</v>
      </c>
      <c r="S720" t="str">
        <f t="shared" si="763"/>
        <v>technology</v>
      </c>
      <c r="T720" t="str">
        <f t="shared" si="764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ref="K721:L721" si="778">(J721/60/60/24)+DATE(1970,1,1)</f>
        <v>42409.040231481486</v>
      </c>
      <c r="L721" s="11">
        <f t="shared" si="760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761"/>
        <v>1.2933333333333332</v>
      </c>
      <c r="R721" s="7">
        <f t="shared" si="762"/>
        <v>19.399999999999999</v>
      </c>
      <c r="S721" t="str">
        <f t="shared" si="763"/>
        <v>technology</v>
      </c>
      <c r="T721" t="str">
        <f t="shared" si="764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ref="K722:L722" si="779">(J722/60/60/24)+DATE(1970,1,1)</f>
        <v>40909.649201388893</v>
      </c>
      <c r="L722" s="11">
        <f t="shared" si="760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761"/>
        <v>143.94736842105263</v>
      </c>
      <c r="R722" s="7">
        <f t="shared" si="762"/>
        <v>66.707317073170728</v>
      </c>
      <c r="S722" t="str">
        <f t="shared" si="763"/>
        <v>publishing</v>
      </c>
      <c r="T722" t="str">
        <f t="shared" si="764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ref="K723:L723" si="780">(J723/60/60/24)+DATE(1970,1,1)</f>
        <v>41807.571840277778</v>
      </c>
      <c r="L723" s="11">
        <f t="shared" si="760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761"/>
        <v>122.10975609756099</v>
      </c>
      <c r="R723" s="7">
        <f t="shared" si="762"/>
        <v>84.142857142857139</v>
      </c>
      <c r="S723" t="str">
        <f t="shared" si="763"/>
        <v>publishing</v>
      </c>
      <c r="T723" t="str">
        <f t="shared" si="764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ref="K724:L724" si="781">(J724/60/60/24)+DATE(1970,1,1)</f>
        <v>40977.805300925924</v>
      </c>
      <c r="L724" s="11">
        <f t="shared" si="760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761"/>
        <v>132.024</v>
      </c>
      <c r="R724" s="7">
        <f t="shared" si="762"/>
        <v>215.72549019607843</v>
      </c>
      <c r="S724" t="str">
        <f t="shared" si="763"/>
        <v>publishing</v>
      </c>
      <c r="T724" t="str">
        <f t="shared" si="764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ref="K725:L725" si="782">(J725/60/60/24)+DATE(1970,1,1)</f>
        <v>42184.816539351858</v>
      </c>
      <c r="L725" s="11">
        <f t="shared" si="760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761"/>
        <v>109.38000000000001</v>
      </c>
      <c r="R725" s="7">
        <f t="shared" si="762"/>
        <v>54.69</v>
      </c>
      <c r="S725" t="str">
        <f t="shared" si="763"/>
        <v>publishing</v>
      </c>
      <c r="T725" t="str">
        <f t="shared" si="764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ref="K726:L726" si="783">(J726/60/60/24)+DATE(1970,1,1)</f>
        <v>40694.638460648144</v>
      </c>
      <c r="L726" s="11">
        <f t="shared" si="760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761"/>
        <v>105.47157142857144</v>
      </c>
      <c r="R726" s="7">
        <f t="shared" si="762"/>
        <v>51.62944055944056</v>
      </c>
      <c r="S726" t="str">
        <f t="shared" si="763"/>
        <v>publishing</v>
      </c>
      <c r="T726" t="str">
        <f t="shared" si="764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ref="K727:L727" si="784">(J727/60/60/24)+DATE(1970,1,1)</f>
        <v>42321.626296296294</v>
      </c>
      <c r="L727" s="11">
        <f t="shared" si="760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761"/>
        <v>100.35000000000001</v>
      </c>
      <c r="R727" s="7">
        <f t="shared" si="762"/>
        <v>143.35714285714286</v>
      </c>
      <c r="S727" t="str">
        <f t="shared" si="763"/>
        <v>publishing</v>
      </c>
      <c r="T727" t="str">
        <f t="shared" si="764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ref="K728:L728" si="785">(J728/60/60/24)+DATE(1970,1,1)</f>
        <v>41346.042673611111</v>
      </c>
      <c r="L728" s="11">
        <f t="shared" si="760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761"/>
        <v>101.4</v>
      </c>
      <c r="R728" s="7">
        <f t="shared" si="762"/>
        <v>72.428571428571431</v>
      </c>
      <c r="S728" t="str">
        <f t="shared" si="763"/>
        <v>publishing</v>
      </c>
      <c r="T728" t="str">
        <f t="shared" si="764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ref="K729:L729" si="786">(J729/60/60/24)+DATE(1970,1,1)</f>
        <v>41247.020243055551</v>
      </c>
      <c r="L729" s="11">
        <f t="shared" si="760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761"/>
        <v>155.51428571428571</v>
      </c>
      <c r="R729" s="7">
        <f t="shared" si="762"/>
        <v>36.530201342281877</v>
      </c>
      <c r="S729" t="str">
        <f t="shared" si="763"/>
        <v>publishing</v>
      </c>
      <c r="T729" t="str">
        <f t="shared" si="764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ref="K730:L730" si="787">(J730/60/60/24)+DATE(1970,1,1)</f>
        <v>40731.837465277778</v>
      </c>
      <c r="L730" s="11">
        <f t="shared" si="760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761"/>
        <v>105.566</v>
      </c>
      <c r="R730" s="7">
        <f t="shared" si="762"/>
        <v>60.903461538461535</v>
      </c>
      <c r="S730" t="str">
        <f t="shared" si="763"/>
        <v>publishing</v>
      </c>
      <c r="T730" t="str">
        <f t="shared" si="764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ref="K731:L731" si="788">(J731/60/60/24)+DATE(1970,1,1)</f>
        <v>41111.185891203706</v>
      </c>
      <c r="L731" s="11">
        <f t="shared" si="760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761"/>
        <v>130.65</v>
      </c>
      <c r="R731" s="7">
        <f t="shared" si="762"/>
        <v>43.55</v>
      </c>
      <c r="S731" t="str">
        <f t="shared" si="763"/>
        <v>publishing</v>
      </c>
      <c r="T731" t="str">
        <f t="shared" si="764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ref="K732:L732" si="789">(J732/60/60/24)+DATE(1970,1,1)</f>
        <v>40854.745266203703</v>
      </c>
      <c r="L732" s="11">
        <f t="shared" si="760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761"/>
        <v>132.19</v>
      </c>
      <c r="R732" s="7">
        <f t="shared" si="762"/>
        <v>99.766037735849054</v>
      </c>
      <c r="S732" t="str">
        <f t="shared" si="763"/>
        <v>publishing</v>
      </c>
      <c r="T732" t="str">
        <f t="shared" si="764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ref="K733:L733" si="790">(J733/60/60/24)+DATE(1970,1,1)</f>
        <v>40879.795682870368</v>
      </c>
      <c r="L733" s="11">
        <f t="shared" si="760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761"/>
        <v>126</v>
      </c>
      <c r="R733" s="7">
        <f t="shared" si="762"/>
        <v>88.732394366197184</v>
      </c>
      <c r="S733" t="str">
        <f t="shared" si="763"/>
        <v>publishing</v>
      </c>
      <c r="T733" t="str">
        <f t="shared" si="764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ref="K734:L734" si="791">(J734/60/60/24)+DATE(1970,1,1)</f>
        <v>41486.424317129626</v>
      </c>
      <c r="L734" s="11">
        <f t="shared" si="760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761"/>
        <v>160</v>
      </c>
      <c r="R734" s="7">
        <f t="shared" si="762"/>
        <v>4.9230769230769234</v>
      </c>
      <c r="S734" t="str">
        <f t="shared" si="763"/>
        <v>publishing</v>
      </c>
      <c r="T734" t="str">
        <f t="shared" si="764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ref="K735:L735" si="792">(J735/60/60/24)+DATE(1970,1,1)</f>
        <v>41598.420046296298</v>
      </c>
      <c r="L735" s="11">
        <f t="shared" si="760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761"/>
        <v>120.48</v>
      </c>
      <c r="R735" s="7">
        <f t="shared" si="762"/>
        <v>17.822485207100591</v>
      </c>
      <c r="S735" t="str">
        <f t="shared" si="763"/>
        <v>publishing</v>
      </c>
      <c r="T735" t="str">
        <f t="shared" si="764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ref="K736:L736" si="793">(J736/60/60/24)+DATE(1970,1,1)</f>
        <v>42102.164583333331</v>
      </c>
      <c r="L736" s="11">
        <f t="shared" si="760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761"/>
        <v>125.52941176470588</v>
      </c>
      <c r="R736" s="7">
        <f t="shared" si="762"/>
        <v>187.19298245614036</v>
      </c>
      <c r="S736" t="str">
        <f t="shared" si="763"/>
        <v>publishing</v>
      </c>
      <c r="T736" t="str">
        <f t="shared" si="764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ref="K737:L737" si="794">(J737/60/60/24)+DATE(1970,1,1)</f>
        <v>41946.029467592591</v>
      </c>
      <c r="L737" s="11">
        <f t="shared" si="760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761"/>
        <v>114.40638297872341</v>
      </c>
      <c r="R737" s="7">
        <f t="shared" si="762"/>
        <v>234.80786026200875</v>
      </c>
      <c r="S737" t="str">
        <f t="shared" si="763"/>
        <v>publishing</v>
      </c>
      <c r="T737" t="str">
        <f t="shared" si="764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ref="K738:L738" si="795">(J738/60/60/24)+DATE(1970,1,1)</f>
        <v>41579.734259259261</v>
      </c>
      <c r="L738" s="11">
        <f t="shared" si="760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761"/>
        <v>315.13888888888891</v>
      </c>
      <c r="R738" s="7">
        <f t="shared" si="762"/>
        <v>105.04629629629629</v>
      </c>
      <c r="S738" t="str">
        <f t="shared" si="763"/>
        <v>publishing</v>
      </c>
      <c r="T738" t="str">
        <f t="shared" si="764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ref="K739:L739" si="796">(J739/60/60/24)+DATE(1970,1,1)</f>
        <v>41667.275312500002</v>
      </c>
      <c r="L739" s="11">
        <f t="shared" si="760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761"/>
        <v>122.39999999999999</v>
      </c>
      <c r="R739" s="7">
        <f t="shared" si="762"/>
        <v>56.666666666666664</v>
      </c>
      <c r="S739" t="str">
        <f t="shared" si="763"/>
        <v>publishing</v>
      </c>
      <c r="T739" t="str">
        <f t="shared" si="764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ref="K740:L740" si="797">(J740/60/60/24)+DATE(1970,1,1)</f>
        <v>41943.604097222218</v>
      </c>
      <c r="L740" s="11">
        <f t="shared" si="760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761"/>
        <v>106.73333333333332</v>
      </c>
      <c r="R740" s="7">
        <f t="shared" si="762"/>
        <v>39.048780487804876</v>
      </c>
      <c r="S740" t="str">
        <f t="shared" si="763"/>
        <v>publishing</v>
      </c>
      <c r="T740" t="str">
        <f t="shared" si="764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ref="K741:L741" si="798">(J741/60/60/24)+DATE(1970,1,1)</f>
        <v>41829.502650462964</v>
      </c>
      <c r="L741" s="11">
        <f t="shared" si="760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761"/>
        <v>158.33333333333331</v>
      </c>
      <c r="R741" s="7">
        <f t="shared" si="762"/>
        <v>68.345323741007192</v>
      </c>
      <c r="S741" t="str">
        <f t="shared" si="763"/>
        <v>publishing</v>
      </c>
      <c r="T741" t="str">
        <f t="shared" si="764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ref="K742:L742" si="799">(J742/60/60/24)+DATE(1970,1,1)</f>
        <v>42162.146782407406</v>
      </c>
      <c r="L742" s="11">
        <f t="shared" si="760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761"/>
        <v>107.4</v>
      </c>
      <c r="R742" s="7">
        <f t="shared" si="762"/>
        <v>169.57894736842104</v>
      </c>
      <c r="S742" t="str">
        <f t="shared" si="763"/>
        <v>publishing</v>
      </c>
      <c r="T742" t="str">
        <f t="shared" si="764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ref="K743:L743" si="800">(J743/60/60/24)+DATE(1970,1,1)</f>
        <v>41401.648217592592</v>
      </c>
      <c r="L743" s="11">
        <f t="shared" si="760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761"/>
        <v>102.25999999999999</v>
      </c>
      <c r="R743" s="7">
        <f t="shared" si="762"/>
        <v>141.42340425531913</v>
      </c>
      <c r="S743" t="str">
        <f t="shared" si="763"/>
        <v>publishing</v>
      </c>
      <c r="T743" t="str">
        <f t="shared" si="764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ref="K744:L744" si="801">(J744/60/60/24)+DATE(1970,1,1)</f>
        <v>41689.917962962965</v>
      </c>
      <c r="L744" s="11">
        <f t="shared" si="760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761"/>
        <v>110.71428571428572</v>
      </c>
      <c r="R744" s="7">
        <f t="shared" si="762"/>
        <v>67.391304347826093</v>
      </c>
      <c r="S744" t="str">
        <f t="shared" si="763"/>
        <v>publishing</v>
      </c>
      <c r="T744" t="str">
        <f t="shared" si="764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ref="K745:L745" si="802">(J745/60/60/24)+DATE(1970,1,1)</f>
        <v>40990.709317129629</v>
      </c>
      <c r="L745" s="11">
        <f t="shared" si="760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761"/>
        <v>148</v>
      </c>
      <c r="R745" s="7">
        <f t="shared" si="762"/>
        <v>54.266666666666666</v>
      </c>
      <c r="S745" t="str">
        <f t="shared" si="763"/>
        <v>publishing</v>
      </c>
      <c r="T745" t="str">
        <f t="shared" si="764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ref="K746:L746" si="803">(J746/60/60/24)+DATE(1970,1,1)</f>
        <v>41226.95721064815</v>
      </c>
      <c r="L746" s="11">
        <f t="shared" si="760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761"/>
        <v>102.32000000000001</v>
      </c>
      <c r="R746" s="7">
        <f t="shared" si="762"/>
        <v>82.516129032258064</v>
      </c>
      <c r="S746" t="str">
        <f t="shared" si="763"/>
        <v>publishing</v>
      </c>
      <c r="T746" t="str">
        <f t="shared" si="764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ref="K747:L747" si="804">(J747/60/60/24)+DATE(1970,1,1)</f>
        <v>41367.572280092594</v>
      </c>
      <c r="L747" s="11">
        <f t="shared" si="760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761"/>
        <v>179.09909909909908</v>
      </c>
      <c r="R747" s="7">
        <f t="shared" si="762"/>
        <v>53.729729729729726</v>
      </c>
      <c r="S747" t="str">
        <f t="shared" si="763"/>
        <v>publishing</v>
      </c>
      <c r="T747" t="str">
        <f t="shared" si="764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ref="K748:L748" si="805">(J748/60/60/24)+DATE(1970,1,1)</f>
        <v>41157.042928240742</v>
      </c>
      <c r="L748" s="11">
        <f t="shared" si="760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761"/>
        <v>111.08135252761969</v>
      </c>
      <c r="R748" s="7">
        <f t="shared" si="762"/>
        <v>34.206185567010309</v>
      </c>
      <c r="S748" t="str">
        <f t="shared" si="763"/>
        <v>publishing</v>
      </c>
      <c r="T748" t="str">
        <f t="shared" si="764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ref="K749:L749" si="806">(J749/60/60/24)+DATE(1970,1,1)</f>
        <v>41988.548831018517</v>
      </c>
      <c r="L749" s="11">
        <f t="shared" si="760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761"/>
        <v>100.04285714285714</v>
      </c>
      <c r="R749" s="7">
        <f t="shared" si="762"/>
        <v>127.32727272727273</v>
      </c>
      <c r="S749" t="str">
        <f t="shared" si="763"/>
        <v>publishing</v>
      </c>
      <c r="T749" t="str">
        <f t="shared" si="764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ref="K750:L750" si="807">(J750/60/60/24)+DATE(1970,1,1)</f>
        <v>41831.846828703703</v>
      </c>
      <c r="L750" s="11">
        <f t="shared" si="760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761"/>
        <v>100.25</v>
      </c>
      <c r="R750" s="7">
        <f t="shared" si="762"/>
        <v>45.56818181818182</v>
      </c>
      <c r="S750" t="str">
        <f t="shared" si="763"/>
        <v>publishing</v>
      </c>
      <c r="T750" t="str">
        <f t="shared" si="764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ref="K751:L751" si="808">(J751/60/60/24)+DATE(1970,1,1)</f>
        <v>42733.94131944445</v>
      </c>
      <c r="L751" s="11">
        <f t="shared" si="760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761"/>
        <v>105.56</v>
      </c>
      <c r="R751" s="7">
        <f t="shared" si="762"/>
        <v>95.963636363636368</v>
      </c>
      <c r="S751" t="str">
        <f t="shared" si="763"/>
        <v>publishing</v>
      </c>
      <c r="T751" t="str">
        <f t="shared" si="764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ref="K752:L752" si="809">(J752/60/60/24)+DATE(1970,1,1)</f>
        <v>41299.878148148149</v>
      </c>
      <c r="L752" s="11">
        <f t="shared" si="760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761"/>
        <v>102.58775877587757</v>
      </c>
      <c r="R752" s="7">
        <f t="shared" si="762"/>
        <v>77.271186440677965</v>
      </c>
      <c r="S752" t="str">
        <f t="shared" si="763"/>
        <v>publishing</v>
      </c>
      <c r="T752" t="str">
        <f t="shared" si="764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ref="K753:L753" si="810">(J753/60/60/24)+DATE(1970,1,1)</f>
        <v>40713.630497685182</v>
      </c>
      <c r="L753" s="11">
        <f t="shared" si="760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761"/>
        <v>118.5</v>
      </c>
      <c r="R753" s="7">
        <f t="shared" si="762"/>
        <v>57.338709677419352</v>
      </c>
      <c r="S753" t="str">
        <f t="shared" si="763"/>
        <v>publishing</v>
      </c>
      <c r="T753" t="str">
        <f t="shared" si="764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ref="K754:L754" si="811">(J754/60/60/24)+DATE(1970,1,1)</f>
        <v>42639.421493055561</v>
      </c>
      <c r="L754" s="11">
        <f t="shared" si="760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761"/>
        <v>111.7</v>
      </c>
      <c r="R754" s="7">
        <f t="shared" si="762"/>
        <v>53.19047619047619</v>
      </c>
      <c r="S754" t="str">
        <f t="shared" si="763"/>
        <v>publishing</v>
      </c>
      <c r="T754" t="str">
        <f t="shared" si="764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ref="K755:L755" si="812">(J755/60/60/24)+DATE(1970,1,1)</f>
        <v>42019.590173611112</v>
      </c>
      <c r="L755" s="11">
        <f t="shared" si="760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761"/>
        <v>128</v>
      </c>
      <c r="R755" s="7">
        <f t="shared" si="762"/>
        <v>492.30769230769232</v>
      </c>
      <c r="S755" t="str">
        <f t="shared" si="763"/>
        <v>publishing</v>
      </c>
      <c r="T755" t="str">
        <f t="shared" si="764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ref="K756:L756" si="813">(J756/60/60/24)+DATE(1970,1,1)</f>
        <v>41249.749085648145</v>
      </c>
      <c r="L756" s="11">
        <f t="shared" si="760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761"/>
        <v>103.75000000000001</v>
      </c>
      <c r="R756" s="7">
        <f t="shared" si="762"/>
        <v>42.346938775510203</v>
      </c>
      <c r="S756" t="str">
        <f t="shared" si="763"/>
        <v>publishing</v>
      </c>
      <c r="T756" t="str">
        <f t="shared" si="764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ref="K757:L757" si="814">(J757/60/60/24)+DATE(1970,1,1)</f>
        <v>41383.605057870373</v>
      </c>
      <c r="L757" s="11">
        <f t="shared" si="760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761"/>
        <v>101.9076</v>
      </c>
      <c r="R757" s="7">
        <f t="shared" si="762"/>
        <v>37.466029411764708</v>
      </c>
      <c r="S757" t="str">
        <f t="shared" si="763"/>
        <v>publishing</v>
      </c>
      <c r="T757" t="str">
        <f t="shared" si="764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ref="K758:L758" si="815">(J758/60/60/24)+DATE(1970,1,1)</f>
        <v>40590.766886574071</v>
      </c>
      <c r="L758" s="11">
        <f t="shared" si="760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761"/>
        <v>117.71428571428571</v>
      </c>
      <c r="R758" s="7">
        <f t="shared" si="762"/>
        <v>37.454545454545453</v>
      </c>
      <c r="S758" t="str">
        <f t="shared" si="763"/>
        <v>publishing</v>
      </c>
      <c r="T758" t="str">
        <f t="shared" si="764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ref="K759:L759" si="816">(J759/60/60/24)+DATE(1970,1,1)</f>
        <v>41235.054560185185</v>
      </c>
      <c r="L759" s="11">
        <f t="shared" si="760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761"/>
        <v>238</v>
      </c>
      <c r="R759" s="7">
        <f t="shared" si="762"/>
        <v>33.055555555555557</v>
      </c>
      <c r="S759" t="str">
        <f t="shared" si="763"/>
        <v>publishing</v>
      </c>
      <c r="T759" t="str">
        <f t="shared" si="764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ref="K760:L760" si="817">(J760/60/60/24)+DATE(1970,1,1)</f>
        <v>40429.836435185185</v>
      </c>
      <c r="L760" s="11">
        <f t="shared" si="760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761"/>
        <v>102</v>
      </c>
      <c r="R760" s="7">
        <f t="shared" si="762"/>
        <v>134.21052631578948</v>
      </c>
      <c r="S760" t="str">
        <f t="shared" si="763"/>
        <v>publishing</v>
      </c>
      <c r="T760" t="str">
        <f t="shared" si="764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ref="K761:L761" si="818">(J761/60/60/24)+DATE(1970,1,1)</f>
        <v>41789.330312500002</v>
      </c>
      <c r="L761" s="11">
        <f t="shared" si="760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761"/>
        <v>101.92000000000002</v>
      </c>
      <c r="R761" s="7">
        <f t="shared" si="762"/>
        <v>51.474747474747474</v>
      </c>
      <c r="S761" t="str">
        <f t="shared" si="763"/>
        <v>publishing</v>
      </c>
      <c r="T761" t="str">
        <f t="shared" si="764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ref="K762:L762" si="819">(J762/60/60/24)+DATE(1970,1,1)</f>
        <v>42670.764039351852</v>
      </c>
      <c r="L762" s="11">
        <f t="shared" si="760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761"/>
        <v>0</v>
      </c>
      <c r="R762" s="7">
        <f t="shared" si="762"/>
        <v>0</v>
      </c>
      <c r="S762" t="str">
        <f t="shared" si="763"/>
        <v>publishing</v>
      </c>
      <c r="T762" t="str">
        <f t="shared" si="764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ref="K763:L763" si="820">(J763/60/60/24)+DATE(1970,1,1)</f>
        <v>41642.751458333332</v>
      </c>
      <c r="L763" s="11">
        <f t="shared" si="760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761"/>
        <v>4.7</v>
      </c>
      <c r="R763" s="7">
        <f t="shared" si="762"/>
        <v>39.166666666666664</v>
      </c>
      <c r="S763" t="str">
        <f t="shared" si="763"/>
        <v>publishing</v>
      </c>
      <c r="T763" t="str">
        <f t="shared" si="764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ref="K764:L764" si="821">(J764/60/60/24)+DATE(1970,1,1)</f>
        <v>42690.858449074076</v>
      </c>
      <c r="L764" s="11">
        <f t="shared" si="760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761"/>
        <v>0</v>
      </c>
      <c r="R764" s="7">
        <f t="shared" si="762"/>
        <v>0</v>
      </c>
      <c r="S764" t="str">
        <f t="shared" si="763"/>
        <v>publishing</v>
      </c>
      <c r="T764" t="str">
        <f t="shared" si="764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ref="K765:L765" si="822">(J765/60/60/24)+DATE(1970,1,1)</f>
        <v>41471.446851851848</v>
      </c>
      <c r="L765" s="11">
        <f t="shared" si="760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761"/>
        <v>0.11655011655011654</v>
      </c>
      <c r="R765" s="7">
        <f t="shared" si="762"/>
        <v>5</v>
      </c>
      <c r="S765" t="str">
        <f t="shared" si="763"/>
        <v>publishing</v>
      </c>
      <c r="T765" t="str">
        <f t="shared" si="764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ref="K766:L766" si="823">(J766/60/60/24)+DATE(1970,1,1)</f>
        <v>42227.173159722224</v>
      </c>
      <c r="L766" s="11">
        <f t="shared" si="760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761"/>
        <v>0</v>
      </c>
      <c r="R766" s="7">
        <f t="shared" si="762"/>
        <v>0</v>
      </c>
      <c r="S766" t="str">
        <f t="shared" si="763"/>
        <v>publishing</v>
      </c>
      <c r="T766" t="str">
        <f t="shared" si="764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ref="K767:L767" si="824">(J767/60/60/24)+DATE(1970,1,1)</f>
        <v>41901.542638888888</v>
      </c>
      <c r="L767" s="11">
        <f t="shared" si="760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761"/>
        <v>36.014285714285712</v>
      </c>
      <c r="R767" s="7">
        <f t="shared" si="762"/>
        <v>57.295454545454547</v>
      </c>
      <c r="S767" t="str">
        <f t="shared" si="763"/>
        <v>publishing</v>
      </c>
      <c r="T767" t="str">
        <f t="shared" si="764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ref="K768:L768" si="825">(J768/60/60/24)+DATE(1970,1,1)</f>
        <v>42021.783368055556</v>
      </c>
      <c r="L768" s="11">
        <f t="shared" si="760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761"/>
        <v>0</v>
      </c>
      <c r="R768" s="7">
        <f t="shared" si="762"/>
        <v>0</v>
      </c>
      <c r="S768" t="str">
        <f t="shared" si="763"/>
        <v>publishing</v>
      </c>
      <c r="T768" t="str">
        <f t="shared" si="764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ref="K769:L769" si="826">(J769/60/60/24)+DATE(1970,1,1)</f>
        <v>42115.143634259264</v>
      </c>
      <c r="L769" s="11">
        <f t="shared" si="760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761"/>
        <v>3.54</v>
      </c>
      <c r="R769" s="7">
        <f t="shared" si="762"/>
        <v>59</v>
      </c>
      <c r="S769" t="str">
        <f t="shared" si="763"/>
        <v>publishing</v>
      </c>
      <c r="T769" t="str">
        <f t="shared" si="764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ref="K770:L770" si="827">(J770/60/60/24)+DATE(1970,1,1)</f>
        <v>41594.207060185188</v>
      </c>
      <c r="L770" s="11">
        <f t="shared" si="760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761"/>
        <v>0</v>
      </c>
      <c r="R770" s="7">
        <f t="shared" si="762"/>
        <v>0</v>
      </c>
      <c r="S770" t="str">
        <f t="shared" si="763"/>
        <v>publishing</v>
      </c>
      <c r="T770" t="str">
        <f t="shared" si="764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ref="K771:L771" si="828">(J771/60/60/24)+DATE(1970,1,1)</f>
        <v>41604.996458333335</v>
      </c>
      <c r="L771" s="11">
        <f t="shared" ref="L771:L834" si="829">(I771/60/60/24)+DATE(1970,1,1)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830">(E771/D771)*100</f>
        <v>41.4</v>
      </c>
      <c r="R771" s="7">
        <f t="shared" ref="R771:R834" si="831">IFERROR(E771/N771, 0)</f>
        <v>31.846153846153847</v>
      </c>
      <c r="S771" t="str">
        <f t="shared" ref="S771:S834" si="832">LEFT(P771, SEARCH("/", P771,1)-1)</f>
        <v>publishing</v>
      </c>
      <c r="T771" t="str">
        <f t="shared" ref="T771:T834" si="833">RIGHT(P771,LEN(P771)-SEARCH("/",P771,SEARCH("/",P771)))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ref="K772:L772" si="834">(J772/60/60/24)+DATE(1970,1,1)</f>
        <v>41289.999641203707</v>
      </c>
      <c r="L772" s="11">
        <f t="shared" si="82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830"/>
        <v>0</v>
      </c>
      <c r="R772" s="7">
        <f t="shared" si="831"/>
        <v>0</v>
      </c>
      <c r="S772" t="str">
        <f t="shared" si="832"/>
        <v>publishing</v>
      </c>
      <c r="T772" t="str">
        <f t="shared" si="833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ref="K773:L773" si="835">(J773/60/60/24)+DATE(1970,1,1)</f>
        <v>42349.824097222227</v>
      </c>
      <c r="L773" s="11">
        <f t="shared" si="82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830"/>
        <v>2.6315789473684209E-2</v>
      </c>
      <c r="R773" s="7">
        <f t="shared" si="831"/>
        <v>10</v>
      </c>
      <c r="S773" t="str">
        <f t="shared" si="832"/>
        <v>publishing</v>
      </c>
      <c r="T773" t="str">
        <f t="shared" si="833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ref="K774:L774" si="836">(J774/60/60/24)+DATE(1970,1,1)</f>
        <v>40068.056932870371</v>
      </c>
      <c r="L774" s="11">
        <f t="shared" si="82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830"/>
        <v>3.3333333333333335</v>
      </c>
      <c r="R774" s="7">
        <f t="shared" si="831"/>
        <v>50</v>
      </c>
      <c r="S774" t="str">
        <f t="shared" si="832"/>
        <v>publishing</v>
      </c>
      <c r="T774" t="str">
        <f t="shared" si="833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ref="K775:L775" si="837">(J775/60/60/24)+DATE(1970,1,1)</f>
        <v>42100.735937499994</v>
      </c>
      <c r="L775" s="11">
        <f t="shared" si="82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830"/>
        <v>0.85129023676509719</v>
      </c>
      <c r="R775" s="7">
        <f t="shared" si="831"/>
        <v>16</v>
      </c>
      <c r="S775" t="str">
        <f t="shared" si="832"/>
        <v>publishing</v>
      </c>
      <c r="T775" t="str">
        <f t="shared" si="833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ref="K776:L776" si="838">(J776/60/60/24)+DATE(1970,1,1)</f>
        <v>41663.780300925922</v>
      </c>
      <c r="L776" s="11">
        <f t="shared" si="82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830"/>
        <v>70.199999999999989</v>
      </c>
      <c r="R776" s="7">
        <f t="shared" si="831"/>
        <v>39</v>
      </c>
      <c r="S776" t="str">
        <f t="shared" si="832"/>
        <v>publishing</v>
      </c>
      <c r="T776" t="str">
        <f t="shared" si="833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ref="K777:L777" si="839">(J777/60/60/24)+DATE(1970,1,1)</f>
        <v>40863.060127314813</v>
      </c>
      <c r="L777" s="11">
        <f t="shared" si="82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830"/>
        <v>1.7000000000000002</v>
      </c>
      <c r="R777" s="7">
        <f t="shared" si="831"/>
        <v>34</v>
      </c>
      <c r="S777" t="str">
        <f t="shared" si="832"/>
        <v>publishing</v>
      </c>
      <c r="T777" t="str">
        <f t="shared" si="833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ref="K778:L778" si="840">(J778/60/60/24)+DATE(1970,1,1)</f>
        <v>42250.685706018514</v>
      </c>
      <c r="L778" s="11">
        <f t="shared" si="82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830"/>
        <v>51.4</v>
      </c>
      <c r="R778" s="7">
        <f t="shared" si="831"/>
        <v>63.122807017543863</v>
      </c>
      <c r="S778" t="str">
        <f t="shared" si="832"/>
        <v>publishing</v>
      </c>
      <c r="T778" t="str">
        <f t="shared" si="833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ref="K779:L779" si="841">(J779/60/60/24)+DATE(1970,1,1)</f>
        <v>41456.981215277774</v>
      </c>
      <c r="L779" s="11">
        <f t="shared" si="82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830"/>
        <v>0.70000000000000007</v>
      </c>
      <c r="R779" s="7">
        <f t="shared" si="831"/>
        <v>7</v>
      </c>
      <c r="S779" t="str">
        <f t="shared" si="832"/>
        <v>publishing</v>
      </c>
      <c r="T779" t="str">
        <f t="shared" si="833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ref="K780:L780" si="842">(J780/60/60/24)+DATE(1970,1,1)</f>
        <v>41729.702314814815</v>
      </c>
      <c r="L780" s="11">
        <f t="shared" si="82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830"/>
        <v>0.4</v>
      </c>
      <c r="R780" s="7">
        <f t="shared" si="831"/>
        <v>2</v>
      </c>
      <c r="S780" t="str">
        <f t="shared" si="832"/>
        <v>publishing</v>
      </c>
      <c r="T780" t="str">
        <f t="shared" si="833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ref="K781:L781" si="843">(J781/60/60/24)+DATE(1970,1,1)</f>
        <v>40436.68408564815</v>
      </c>
      <c r="L781" s="11">
        <f t="shared" si="82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830"/>
        <v>2.666666666666667</v>
      </c>
      <c r="R781" s="7">
        <f t="shared" si="831"/>
        <v>66.666666666666671</v>
      </c>
      <c r="S781" t="str">
        <f t="shared" si="832"/>
        <v>publishing</v>
      </c>
      <c r="T781" t="str">
        <f t="shared" si="833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ref="K782:L782" si="844">(J782/60/60/24)+DATE(1970,1,1)</f>
        <v>40636.673900462964</v>
      </c>
      <c r="L782" s="11">
        <f t="shared" si="82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830"/>
        <v>104</v>
      </c>
      <c r="R782" s="7">
        <f t="shared" si="831"/>
        <v>38.518518518518519</v>
      </c>
      <c r="S782" t="str">
        <f t="shared" si="832"/>
        <v>music</v>
      </c>
      <c r="T782" t="str">
        <f t="shared" si="833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ref="K783:L783" si="845">(J783/60/60/24)+DATE(1970,1,1)</f>
        <v>41403.000856481485</v>
      </c>
      <c r="L783" s="11">
        <f t="shared" si="82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830"/>
        <v>133.15375</v>
      </c>
      <c r="R783" s="7">
        <f t="shared" si="831"/>
        <v>42.609200000000001</v>
      </c>
      <c r="S783" t="str">
        <f t="shared" si="832"/>
        <v>music</v>
      </c>
      <c r="T783" t="str">
        <f t="shared" si="833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ref="K784:L784" si="846">(J784/60/60/24)+DATE(1970,1,1)</f>
        <v>41116.758125</v>
      </c>
      <c r="L784" s="11">
        <f t="shared" si="829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830"/>
        <v>100</v>
      </c>
      <c r="R784" s="7">
        <f t="shared" si="831"/>
        <v>50</v>
      </c>
      <c r="S784" t="str">
        <f t="shared" si="832"/>
        <v>music</v>
      </c>
      <c r="T784" t="str">
        <f t="shared" si="833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ref="K785:L785" si="847">(J785/60/60/24)+DATE(1970,1,1)</f>
        <v>40987.773715277777</v>
      </c>
      <c r="L785" s="11">
        <f t="shared" si="82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830"/>
        <v>148.13333333333333</v>
      </c>
      <c r="R785" s="7">
        <f t="shared" si="831"/>
        <v>63.485714285714288</v>
      </c>
      <c r="S785" t="str">
        <f t="shared" si="832"/>
        <v>music</v>
      </c>
      <c r="T785" t="str">
        <f t="shared" si="833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ref="K786:L786" si="848">(J786/60/60/24)+DATE(1970,1,1)</f>
        <v>41675.149525462963</v>
      </c>
      <c r="L786" s="11">
        <f t="shared" si="82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830"/>
        <v>102.49999999999999</v>
      </c>
      <c r="R786" s="7">
        <f t="shared" si="831"/>
        <v>102.5</v>
      </c>
      <c r="S786" t="str">
        <f t="shared" si="832"/>
        <v>music</v>
      </c>
      <c r="T786" t="str">
        <f t="shared" si="833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ref="K787:L787" si="849">(J787/60/60/24)+DATE(1970,1,1)</f>
        <v>41303.593923611108</v>
      </c>
      <c r="L787" s="11">
        <f t="shared" si="82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830"/>
        <v>180.62799999999999</v>
      </c>
      <c r="R787" s="7">
        <f t="shared" si="831"/>
        <v>31.142758620689655</v>
      </c>
      <c r="S787" t="str">
        <f t="shared" si="832"/>
        <v>music</v>
      </c>
      <c r="T787" t="str">
        <f t="shared" si="833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ref="K788:L788" si="850">(J788/60/60/24)+DATE(1970,1,1)</f>
        <v>40983.055949074071</v>
      </c>
      <c r="L788" s="11">
        <f t="shared" si="82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830"/>
        <v>142.79999999999998</v>
      </c>
      <c r="R788" s="7">
        <f t="shared" si="831"/>
        <v>162.27272727272728</v>
      </c>
      <c r="S788" t="str">
        <f t="shared" si="832"/>
        <v>music</v>
      </c>
      <c r="T788" t="str">
        <f t="shared" si="833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ref="K789:L789" si="851">(J789/60/60/24)+DATE(1970,1,1)</f>
        <v>41549.627615740741</v>
      </c>
      <c r="L789" s="11">
        <f t="shared" si="82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830"/>
        <v>114.16666666666666</v>
      </c>
      <c r="R789" s="7">
        <f t="shared" si="831"/>
        <v>80.588235294117652</v>
      </c>
      <c r="S789" t="str">
        <f t="shared" si="832"/>
        <v>music</v>
      </c>
      <c r="T789" t="str">
        <f t="shared" si="833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ref="K790:L790" si="852">(J790/60/60/24)+DATE(1970,1,1)</f>
        <v>41059.006805555553</v>
      </c>
      <c r="L790" s="11">
        <f t="shared" si="82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830"/>
        <v>203.505</v>
      </c>
      <c r="R790" s="7">
        <f t="shared" si="831"/>
        <v>59.85441176470588</v>
      </c>
      <c r="S790" t="str">
        <f t="shared" si="832"/>
        <v>music</v>
      </c>
      <c r="T790" t="str">
        <f t="shared" si="833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ref="K791:L791" si="853">(J791/60/60/24)+DATE(1970,1,1)</f>
        <v>41277.186111111114</v>
      </c>
      <c r="L791" s="11">
        <f t="shared" si="82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830"/>
        <v>109.41176470588236</v>
      </c>
      <c r="R791" s="7">
        <f t="shared" si="831"/>
        <v>132.85714285714286</v>
      </c>
      <c r="S791" t="str">
        <f t="shared" si="832"/>
        <v>music</v>
      </c>
      <c r="T791" t="str">
        <f t="shared" si="833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ref="K792:L792" si="854">(J792/60/60/24)+DATE(1970,1,1)</f>
        <v>41276.047905092593</v>
      </c>
      <c r="L792" s="11">
        <f t="shared" si="82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830"/>
        <v>144.37459999999999</v>
      </c>
      <c r="R792" s="7">
        <f t="shared" si="831"/>
        <v>92.547820512820508</v>
      </c>
      <c r="S792" t="str">
        <f t="shared" si="832"/>
        <v>music</v>
      </c>
      <c r="T792" t="str">
        <f t="shared" si="833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ref="K793:L793" si="855">(J793/60/60/24)+DATE(1970,1,1)</f>
        <v>41557.780624999999</v>
      </c>
      <c r="L793" s="11">
        <f t="shared" si="82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830"/>
        <v>103.86666666666666</v>
      </c>
      <c r="R793" s="7">
        <f t="shared" si="831"/>
        <v>60.859375</v>
      </c>
      <c r="S793" t="str">
        <f t="shared" si="832"/>
        <v>music</v>
      </c>
      <c r="T793" t="str">
        <f t="shared" si="833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ref="K794:L794" si="856">(J794/60/60/24)+DATE(1970,1,1)</f>
        <v>41555.873645833337</v>
      </c>
      <c r="L794" s="11">
        <f t="shared" si="82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830"/>
        <v>100.44440000000002</v>
      </c>
      <c r="R794" s="7">
        <f t="shared" si="831"/>
        <v>41.851833333333339</v>
      </c>
      <c r="S794" t="str">
        <f t="shared" si="832"/>
        <v>music</v>
      </c>
      <c r="T794" t="str">
        <f t="shared" si="833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ref="K795:L795" si="857">(J795/60/60/24)+DATE(1970,1,1)</f>
        <v>41442.741249999999</v>
      </c>
      <c r="L795" s="11">
        <f t="shared" si="82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830"/>
        <v>102.77927272727271</v>
      </c>
      <c r="R795" s="7">
        <f t="shared" si="831"/>
        <v>88.325937499999995</v>
      </c>
      <c r="S795" t="str">
        <f t="shared" si="832"/>
        <v>music</v>
      </c>
      <c r="T795" t="str">
        <f t="shared" si="833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ref="K796:L796" si="858">(J796/60/60/24)+DATE(1970,1,1)</f>
        <v>40736.115011574075</v>
      </c>
      <c r="L796" s="11">
        <f t="shared" si="82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830"/>
        <v>105.31250000000001</v>
      </c>
      <c r="R796" s="7">
        <f t="shared" si="831"/>
        <v>158.96226415094338</v>
      </c>
      <c r="S796" t="str">
        <f t="shared" si="832"/>
        <v>music</v>
      </c>
      <c r="T796" t="str">
        <f t="shared" si="833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ref="K797:L797" si="859">(J797/60/60/24)+DATE(1970,1,1)</f>
        <v>40963.613032407404</v>
      </c>
      <c r="L797" s="11">
        <f t="shared" si="82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830"/>
        <v>111.78571428571429</v>
      </c>
      <c r="R797" s="7">
        <f t="shared" si="831"/>
        <v>85.054347826086953</v>
      </c>
      <c r="S797" t="str">
        <f t="shared" si="832"/>
        <v>music</v>
      </c>
      <c r="T797" t="str">
        <f t="shared" si="833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ref="K798:L798" si="860">(J798/60/60/24)+DATE(1970,1,1)</f>
        <v>41502.882928240739</v>
      </c>
      <c r="L798" s="11">
        <f t="shared" si="82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830"/>
        <v>101.35000000000001</v>
      </c>
      <c r="R798" s="7">
        <f t="shared" si="831"/>
        <v>112.61111111111111</v>
      </c>
      <c r="S798" t="str">
        <f t="shared" si="832"/>
        <v>music</v>
      </c>
      <c r="T798" t="str">
        <f t="shared" si="833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ref="K799:L799" si="861">(J799/60/60/24)+DATE(1970,1,1)</f>
        <v>40996.994074074071</v>
      </c>
      <c r="L799" s="11">
        <f t="shared" si="82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830"/>
        <v>107.53333333333333</v>
      </c>
      <c r="R799" s="7">
        <f t="shared" si="831"/>
        <v>45.436619718309856</v>
      </c>
      <c r="S799" t="str">
        <f t="shared" si="832"/>
        <v>music</v>
      </c>
      <c r="T799" t="str">
        <f t="shared" si="833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ref="K800:L800" si="862">(J800/60/60/24)+DATE(1970,1,1)</f>
        <v>41882.590127314819</v>
      </c>
      <c r="L800" s="11">
        <f t="shared" si="82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830"/>
        <v>114.88571428571429</v>
      </c>
      <c r="R800" s="7">
        <f t="shared" si="831"/>
        <v>46.218390804597703</v>
      </c>
      <c r="S800" t="str">
        <f t="shared" si="832"/>
        <v>music</v>
      </c>
      <c r="T800" t="str">
        <f t="shared" si="833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ref="K801:L801" si="863">(J801/60/60/24)+DATE(1970,1,1)</f>
        <v>40996.667199074072</v>
      </c>
      <c r="L801" s="11">
        <f t="shared" si="82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830"/>
        <v>100.02</v>
      </c>
      <c r="R801" s="7">
        <f t="shared" si="831"/>
        <v>178.60714285714286</v>
      </c>
      <c r="S801" t="str">
        <f t="shared" si="832"/>
        <v>music</v>
      </c>
      <c r="T801" t="str">
        <f t="shared" si="833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ref="K802:L802" si="864">(J802/60/60/24)+DATE(1970,1,1)</f>
        <v>41863.433495370373</v>
      </c>
      <c r="L802" s="11">
        <f t="shared" si="82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830"/>
        <v>152.13333333333335</v>
      </c>
      <c r="R802" s="7">
        <f t="shared" si="831"/>
        <v>40.75</v>
      </c>
      <c r="S802" t="str">
        <f t="shared" si="832"/>
        <v>music</v>
      </c>
      <c r="T802" t="str">
        <f t="shared" si="833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ref="K803:L803" si="865">(J803/60/60/24)+DATE(1970,1,1)</f>
        <v>40695.795370370368</v>
      </c>
      <c r="L803" s="11">
        <f t="shared" si="82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830"/>
        <v>111.52149999999999</v>
      </c>
      <c r="R803" s="7">
        <f t="shared" si="831"/>
        <v>43.733921568627444</v>
      </c>
      <c r="S803" t="str">
        <f t="shared" si="832"/>
        <v>music</v>
      </c>
      <c r="T803" t="str">
        <f t="shared" si="833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ref="K804:L804" si="866">(J804/60/60/24)+DATE(1970,1,1)</f>
        <v>41123.022268518522</v>
      </c>
      <c r="L804" s="11">
        <f t="shared" si="82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830"/>
        <v>101.33333333333334</v>
      </c>
      <c r="R804" s="7">
        <f t="shared" si="831"/>
        <v>81.066666666666663</v>
      </c>
      <c r="S804" t="str">
        <f t="shared" si="832"/>
        <v>music</v>
      </c>
      <c r="T804" t="str">
        <f t="shared" si="833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ref="K805:L805" si="867">(J805/60/60/24)+DATE(1970,1,1)</f>
        <v>40665.949976851851</v>
      </c>
      <c r="L805" s="11">
        <f t="shared" si="82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830"/>
        <v>123.2608695652174</v>
      </c>
      <c r="R805" s="7">
        <f t="shared" si="831"/>
        <v>74.60526315789474</v>
      </c>
      <c r="S805" t="str">
        <f t="shared" si="832"/>
        <v>music</v>
      </c>
      <c r="T805" t="str">
        <f t="shared" si="833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ref="K806:L806" si="868">(J806/60/60/24)+DATE(1970,1,1)</f>
        <v>40730.105625000004</v>
      </c>
      <c r="L806" s="11">
        <f t="shared" si="82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830"/>
        <v>100</v>
      </c>
      <c r="R806" s="7">
        <f t="shared" si="831"/>
        <v>305.55555555555554</v>
      </c>
      <c r="S806" t="str">
        <f t="shared" si="832"/>
        <v>music</v>
      </c>
      <c r="T806" t="str">
        <f t="shared" si="833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ref="K807:L807" si="869">(J807/60/60/24)+DATE(1970,1,1)</f>
        <v>40690.823055555556</v>
      </c>
      <c r="L807" s="11">
        <f t="shared" si="82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830"/>
        <v>105</v>
      </c>
      <c r="R807" s="7">
        <f t="shared" si="831"/>
        <v>58.333333333333336</v>
      </c>
      <c r="S807" t="str">
        <f t="shared" si="832"/>
        <v>music</v>
      </c>
      <c r="T807" t="str">
        <f t="shared" si="833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ref="K808:L808" si="870">(J808/60/60/24)+DATE(1970,1,1)</f>
        <v>40763.691423611112</v>
      </c>
      <c r="L808" s="11">
        <f t="shared" si="82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830"/>
        <v>104.4375</v>
      </c>
      <c r="R808" s="7">
        <f t="shared" si="831"/>
        <v>117.67605633802818</v>
      </c>
      <c r="S808" t="str">
        <f t="shared" si="832"/>
        <v>music</v>
      </c>
      <c r="T808" t="str">
        <f t="shared" si="833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ref="K809:L809" si="871">(J809/60/60/24)+DATE(1970,1,1)</f>
        <v>42759.628599537042</v>
      </c>
      <c r="L809" s="11">
        <f t="shared" si="82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830"/>
        <v>105.125</v>
      </c>
      <c r="R809" s="7">
        <f t="shared" si="831"/>
        <v>73.771929824561397</v>
      </c>
      <c r="S809" t="str">
        <f t="shared" si="832"/>
        <v>music</v>
      </c>
      <c r="T809" t="str">
        <f t="shared" si="833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ref="K810:L810" si="872">(J810/60/60/24)+DATE(1970,1,1)</f>
        <v>41962.100532407407</v>
      </c>
      <c r="L810" s="11">
        <f t="shared" si="82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830"/>
        <v>100</v>
      </c>
      <c r="R810" s="7">
        <f t="shared" si="831"/>
        <v>104.65116279069767</v>
      </c>
      <c r="S810" t="str">
        <f t="shared" si="832"/>
        <v>music</v>
      </c>
      <c r="T810" t="str">
        <f t="shared" si="833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ref="K811:L811" si="873">(J811/60/60/24)+DATE(1970,1,1)</f>
        <v>41628.833680555559</v>
      </c>
      <c r="L811" s="11">
        <f t="shared" si="82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830"/>
        <v>103.77499999999999</v>
      </c>
      <c r="R811" s="7">
        <f t="shared" si="831"/>
        <v>79.82692307692308</v>
      </c>
      <c r="S811" t="str">
        <f t="shared" si="832"/>
        <v>music</v>
      </c>
      <c r="T811" t="str">
        <f t="shared" si="833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ref="K812:L812" si="874">(J812/60/60/24)+DATE(1970,1,1)</f>
        <v>41123.056273148148</v>
      </c>
      <c r="L812" s="11">
        <f t="shared" si="82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830"/>
        <v>105</v>
      </c>
      <c r="R812" s="7">
        <f t="shared" si="831"/>
        <v>58.333333333333336</v>
      </c>
      <c r="S812" t="str">
        <f t="shared" si="832"/>
        <v>music</v>
      </c>
      <c r="T812" t="str">
        <f t="shared" si="833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ref="K813:L813" si="875">(J813/60/60/24)+DATE(1970,1,1)</f>
        <v>41443.643541666665</v>
      </c>
      <c r="L813" s="11">
        <f t="shared" si="82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830"/>
        <v>104</v>
      </c>
      <c r="R813" s="7">
        <f t="shared" si="831"/>
        <v>86.666666666666671</v>
      </c>
      <c r="S813" t="str">
        <f t="shared" si="832"/>
        <v>music</v>
      </c>
      <c r="T813" t="str">
        <f t="shared" si="833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ref="K814:L814" si="876">(J814/60/60/24)+DATE(1970,1,1)</f>
        <v>41282.017962962964</v>
      </c>
      <c r="L814" s="11">
        <f t="shared" si="82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830"/>
        <v>151.83333333333334</v>
      </c>
      <c r="R814" s="7">
        <f t="shared" si="831"/>
        <v>27.606060606060606</v>
      </c>
      <c r="S814" t="str">
        <f t="shared" si="832"/>
        <v>music</v>
      </c>
      <c r="T814" t="str">
        <f t="shared" si="833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ref="K815:L815" si="877">(J815/60/60/24)+DATE(1970,1,1)</f>
        <v>41080.960243055553</v>
      </c>
      <c r="L815" s="11">
        <f t="shared" si="82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830"/>
        <v>159.99600000000001</v>
      </c>
      <c r="R815" s="7">
        <f t="shared" si="831"/>
        <v>24.999375000000001</v>
      </c>
      <c r="S815" t="str">
        <f t="shared" si="832"/>
        <v>music</v>
      </c>
      <c r="T815" t="str">
        <f t="shared" si="833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ref="K816:L816" si="878">(J816/60/60/24)+DATE(1970,1,1)</f>
        <v>40679.743067129632</v>
      </c>
      <c r="L816" s="11">
        <f t="shared" si="82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830"/>
        <v>127.3</v>
      </c>
      <c r="R816" s="7">
        <f t="shared" si="831"/>
        <v>45.464285714285715</v>
      </c>
      <c r="S816" t="str">
        <f t="shared" si="832"/>
        <v>music</v>
      </c>
      <c r="T816" t="str">
        <f t="shared" si="833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ref="K817:L817" si="879">(J817/60/60/24)+DATE(1970,1,1)</f>
        <v>41914.917858796296</v>
      </c>
      <c r="L817" s="11">
        <f t="shared" si="82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830"/>
        <v>107</v>
      </c>
      <c r="R817" s="7">
        <f t="shared" si="831"/>
        <v>99.534883720930239</v>
      </c>
      <c r="S817" t="str">
        <f t="shared" si="832"/>
        <v>music</v>
      </c>
      <c r="T817" t="str">
        <f t="shared" si="833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ref="K818:L818" si="880">(J818/60/60/24)+DATE(1970,1,1)</f>
        <v>41341.870868055557</v>
      </c>
      <c r="L818" s="11">
        <f t="shared" si="82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830"/>
        <v>115.12214285714286</v>
      </c>
      <c r="R818" s="7">
        <f t="shared" si="831"/>
        <v>39.31</v>
      </c>
      <c r="S818" t="str">
        <f t="shared" si="832"/>
        <v>music</v>
      </c>
      <c r="T818" t="str">
        <f t="shared" si="833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ref="K819:L819" si="881">(J819/60/60/24)+DATE(1970,1,1)</f>
        <v>40925.599664351852</v>
      </c>
      <c r="L819" s="11">
        <f t="shared" si="82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830"/>
        <v>137.11066666666665</v>
      </c>
      <c r="R819" s="7">
        <f t="shared" si="831"/>
        <v>89.419999999999987</v>
      </c>
      <c r="S819" t="str">
        <f t="shared" si="832"/>
        <v>music</v>
      </c>
      <c r="T819" t="str">
        <f t="shared" si="833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ref="K820:L820" si="882">(J820/60/60/24)+DATE(1970,1,1)</f>
        <v>41120.882881944446</v>
      </c>
      <c r="L820" s="11">
        <f t="shared" si="82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830"/>
        <v>155.71428571428572</v>
      </c>
      <c r="R820" s="7">
        <f t="shared" si="831"/>
        <v>28.684210526315791</v>
      </c>
      <c r="S820" t="str">
        <f t="shared" si="832"/>
        <v>music</v>
      </c>
      <c r="T820" t="str">
        <f t="shared" si="833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ref="K821:L821" si="883">(J821/60/60/24)+DATE(1970,1,1)</f>
        <v>41619.998310185183</v>
      </c>
      <c r="L821" s="11">
        <f t="shared" si="82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830"/>
        <v>108.74999999999999</v>
      </c>
      <c r="R821" s="7">
        <f t="shared" si="831"/>
        <v>31.071428571428573</v>
      </c>
      <c r="S821" t="str">
        <f t="shared" si="832"/>
        <v>music</v>
      </c>
      <c r="T821" t="str">
        <f t="shared" si="833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ref="K822:L822" si="884">(J822/60/60/24)+DATE(1970,1,1)</f>
        <v>41768.841921296298</v>
      </c>
      <c r="L822" s="11">
        <f t="shared" si="82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830"/>
        <v>134.05000000000001</v>
      </c>
      <c r="R822" s="7">
        <f t="shared" si="831"/>
        <v>70.55263157894737</v>
      </c>
      <c r="S822" t="str">
        <f t="shared" si="832"/>
        <v>music</v>
      </c>
      <c r="T822" t="str">
        <f t="shared" si="833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ref="K823:L823" si="885">(J823/60/60/24)+DATE(1970,1,1)</f>
        <v>42093.922048611115</v>
      </c>
      <c r="L823" s="11">
        <f t="shared" si="82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830"/>
        <v>100</v>
      </c>
      <c r="R823" s="7">
        <f t="shared" si="831"/>
        <v>224.12820512820514</v>
      </c>
      <c r="S823" t="str">
        <f t="shared" si="832"/>
        <v>music</v>
      </c>
      <c r="T823" t="str">
        <f t="shared" si="833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ref="K824:L824" si="886">(J824/60/60/24)+DATE(1970,1,1)</f>
        <v>41157.947337962964</v>
      </c>
      <c r="L824" s="11">
        <f t="shared" si="82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830"/>
        <v>119.16666666666667</v>
      </c>
      <c r="R824" s="7">
        <f t="shared" si="831"/>
        <v>51.811594202898547</v>
      </c>
      <c r="S824" t="str">
        <f t="shared" si="832"/>
        <v>music</v>
      </c>
      <c r="T824" t="str">
        <f t="shared" si="833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ref="K825:L825" si="887">(J825/60/60/24)+DATE(1970,1,1)</f>
        <v>42055.972824074073</v>
      </c>
      <c r="L825" s="11">
        <f t="shared" si="82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830"/>
        <v>179.5</v>
      </c>
      <c r="R825" s="7">
        <f t="shared" si="831"/>
        <v>43.515151515151516</v>
      </c>
      <c r="S825" t="str">
        <f t="shared" si="832"/>
        <v>music</v>
      </c>
      <c r="T825" t="str">
        <f t="shared" si="833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ref="K826:L826" si="888">(J826/60/60/24)+DATE(1970,1,1)</f>
        <v>40250.242106481484</v>
      </c>
      <c r="L826" s="11">
        <f t="shared" si="82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830"/>
        <v>134.38124999999999</v>
      </c>
      <c r="R826" s="7">
        <f t="shared" si="831"/>
        <v>39.816666666666663</v>
      </c>
      <c r="S826" t="str">
        <f t="shared" si="832"/>
        <v>music</v>
      </c>
      <c r="T826" t="str">
        <f t="shared" si="833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ref="K827:L827" si="889">(J827/60/60/24)+DATE(1970,1,1)</f>
        <v>41186.306527777779</v>
      </c>
      <c r="L827" s="11">
        <f t="shared" si="82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830"/>
        <v>100.43200000000002</v>
      </c>
      <c r="R827" s="7">
        <f t="shared" si="831"/>
        <v>126.8080808080808</v>
      </c>
      <c r="S827" t="str">
        <f t="shared" si="832"/>
        <v>music</v>
      </c>
      <c r="T827" t="str">
        <f t="shared" si="833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ref="K828:L828" si="890">(J828/60/60/24)+DATE(1970,1,1)</f>
        <v>40973.038541666669</v>
      </c>
      <c r="L828" s="11">
        <f t="shared" si="82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830"/>
        <v>101.45454545454547</v>
      </c>
      <c r="R828" s="7">
        <f t="shared" si="831"/>
        <v>113.87755102040816</v>
      </c>
      <c r="S828" t="str">
        <f t="shared" si="832"/>
        <v>music</v>
      </c>
      <c r="T828" t="str">
        <f t="shared" si="833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ref="K829:L829" si="891">(J829/60/60/24)+DATE(1970,1,1)</f>
        <v>40927.473460648151</v>
      </c>
      <c r="L829" s="11">
        <f t="shared" si="82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830"/>
        <v>103.33333333333334</v>
      </c>
      <c r="R829" s="7">
        <f t="shared" si="831"/>
        <v>28.181818181818183</v>
      </c>
      <c r="S829" t="str">
        <f t="shared" si="832"/>
        <v>music</v>
      </c>
      <c r="T829" t="str">
        <f t="shared" si="833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ref="K830:L830" si="892">(J830/60/60/24)+DATE(1970,1,1)</f>
        <v>41073.050717592596</v>
      </c>
      <c r="L830" s="11">
        <f t="shared" si="82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830"/>
        <v>107</v>
      </c>
      <c r="R830" s="7">
        <f t="shared" si="831"/>
        <v>36.60526315789474</v>
      </c>
      <c r="S830" t="str">
        <f t="shared" si="832"/>
        <v>music</v>
      </c>
      <c r="T830" t="str">
        <f t="shared" si="833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ref="K831:L831" si="893">(J831/60/60/24)+DATE(1970,1,1)</f>
        <v>42504.801388888889</v>
      </c>
      <c r="L831" s="11">
        <f t="shared" si="82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830"/>
        <v>104</v>
      </c>
      <c r="R831" s="7">
        <f t="shared" si="831"/>
        <v>32.5</v>
      </c>
      <c r="S831" t="str">
        <f t="shared" si="832"/>
        <v>music</v>
      </c>
      <c r="T831" t="str">
        <f t="shared" si="833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ref="K832:L832" si="894">(J832/60/60/24)+DATE(1970,1,1)</f>
        <v>41325.525752314818</v>
      </c>
      <c r="L832" s="11">
        <f t="shared" si="82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830"/>
        <v>107.83333333333334</v>
      </c>
      <c r="R832" s="7">
        <f t="shared" si="831"/>
        <v>60.65625</v>
      </c>
      <c r="S832" t="str">
        <f t="shared" si="832"/>
        <v>music</v>
      </c>
      <c r="T832" t="str">
        <f t="shared" si="833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ref="K833:L833" si="895">(J833/60/60/24)+DATE(1970,1,1)</f>
        <v>40996.646921296298</v>
      </c>
      <c r="L833" s="11">
        <f t="shared" si="82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830"/>
        <v>233.33333333333334</v>
      </c>
      <c r="R833" s="7">
        <f t="shared" si="831"/>
        <v>175</v>
      </c>
      <c r="S833" t="str">
        <f t="shared" si="832"/>
        <v>music</v>
      </c>
      <c r="T833" t="str">
        <f t="shared" si="833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ref="K834:L834" si="896">(J834/60/60/24)+DATE(1970,1,1)</f>
        <v>40869.675173611111</v>
      </c>
      <c r="L834" s="11">
        <f t="shared" si="82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si="830"/>
        <v>100.60706666666665</v>
      </c>
      <c r="R834" s="7">
        <f t="shared" si="831"/>
        <v>97.993896103896105</v>
      </c>
      <c r="S834" t="str">
        <f t="shared" si="832"/>
        <v>music</v>
      </c>
      <c r="T834" t="str">
        <f t="shared" si="833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ref="K835:L835" si="897">(J835/60/60/24)+DATE(1970,1,1)</f>
        <v>41718.878182870372</v>
      </c>
      <c r="L835" s="11">
        <f t="shared" ref="L835:L898" si="898">(I835/60/60/24)+DATE(1970,1,1)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99">(E835/D835)*100</f>
        <v>101.66666666666666</v>
      </c>
      <c r="R835" s="7">
        <f t="shared" ref="R835:R898" si="900">IFERROR(E835/N835, 0)</f>
        <v>148.78048780487805</v>
      </c>
      <c r="S835" t="str">
        <f t="shared" ref="S835:S898" si="901">LEFT(P835, SEARCH("/", P835,1)-1)</f>
        <v>music</v>
      </c>
      <c r="T835" t="str">
        <f t="shared" ref="T835:T898" si="902">RIGHT(P835,LEN(P835)-SEARCH("/",P835,SEARCH("/",P835)))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ref="K836:L836" si="903">(J836/60/60/24)+DATE(1970,1,1)</f>
        <v>41422.822824074072</v>
      </c>
      <c r="L836" s="11">
        <f t="shared" si="898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899"/>
        <v>131.0181818181818</v>
      </c>
      <c r="R836" s="7">
        <f t="shared" si="900"/>
        <v>96.08</v>
      </c>
      <c r="S836" t="str">
        <f t="shared" si="901"/>
        <v>music</v>
      </c>
      <c r="T836" t="str">
        <f t="shared" si="902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ref="K837:L837" si="904">(J837/60/60/24)+DATE(1970,1,1)</f>
        <v>41005.45784722222</v>
      </c>
      <c r="L837" s="11">
        <f t="shared" si="898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899"/>
        <v>117.25000000000001</v>
      </c>
      <c r="R837" s="7">
        <f t="shared" si="900"/>
        <v>58.625</v>
      </c>
      <c r="S837" t="str">
        <f t="shared" si="901"/>
        <v>music</v>
      </c>
      <c r="T837" t="str">
        <f t="shared" si="902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ref="K838:L838" si="905">(J838/60/60/24)+DATE(1970,1,1)</f>
        <v>41524.056921296295</v>
      </c>
      <c r="L838" s="11">
        <f t="shared" si="898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899"/>
        <v>100.93039999999999</v>
      </c>
      <c r="R838" s="7">
        <f t="shared" si="900"/>
        <v>109.70695652173914</v>
      </c>
      <c r="S838" t="str">
        <f t="shared" si="901"/>
        <v>music</v>
      </c>
      <c r="T838" t="str">
        <f t="shared" si="902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ref="K839:L839" si="906">(J839/60/60/24)+DATE(1970,1,1)</f>
        <v>41730.998402777775</v>
      </c>
      <c r="L839" s="11">
        <f t="shared" si="898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899"/>
        <v>121.8</v>
      </c>
      <c r="R839" s="7">
        <f t="shared" si="900"/>
        <v>49.112903225806448</v>
      </c>
      <c r="S839" t="str">
        <f t="shared" si="901"/>
        <v>music</v>
      </c>
      <c r="T839" t="str">
        <f t="shared" si="902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ref="K840:L840" si="907">(J840/60/60/24)+DATE(1970,1,1)</f>
        <v>40895.897974537038</v>
      </c>
      <c r="L840" s="11">
        <f t="shared" si="898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899"/>
        <v>145.4</v>
      </c>
      <c r="R840" s="7">
        <f t="shared" si="900"/>
        <v>47.672131147540981</v>
      </c>
      <c r="S840" t="str">
        <f t="shared" si="901"/>
        <v>music</v>
      </c>
      <c r="T840" t="str">
        <f t="shared" si="902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ref="K841:L841" si="908">(J841/60/60/24)+DATE(1970,1,1)</f>
        <v>41144.763379629629</v>
      </c>
      <c r="L841" s="11">
        <f t="shared" si="898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899"/>
        <v>116.61660000000001</v>
      </c>
      <c r="R841" s="7">
        <f t="shared" si="900"/>
        <v>60.737812499999997</v>
      </c>
      <c r="S841" t="str">
        <f t="shared" si="901"/>
        <v>music</v>
      </c>
      <c r="T841" t="str">
        <f t="shared" si="902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ref="K842:L842" si="909">(J842/60/60/24)+DATE(1970,1,1)</f>
        <v>42607.226701388892</v>
      </c>
      <c r="L842" s="11">
        <f t="shared" si="898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899"/>
        <v>120.4166</v>
      </c>
      <c r="R842" s="7">
        <f t="shared" si="900"/>
        <v>63.37715789473684</v>
      </c>
      <c r="S842" t="str">
        <f t="shared" si="901"/>
        <v>music</v>
      </c>
      <c r="T842" t="str">
        <f t="shared" si="902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ref="K843:L843" si="910">(J843/60/60/24)+DATE(1970,1,1)</f>
        <v>41923.838692129626</v>
      </c>
      <c r="L843" s="11">
        <f t="shared" si="898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899"/>
        <v>101.32000000000001</v>
      </c>
      <c r="R843" s="7">
        <f t="shared" si="900"/>
        <v>53.893617021276597</v>
      </c>
      <c r="S843" t="str">
        <f t="shared" si="901"/>
        <v>music</v>
      </c>
      <c r="T843" t="str">
        <f t="shared" si="902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ref="K844:L844" si="911">(J844/60/60/24)+DATE(1970,1,1)</f>
        <v>41526.592395833337</v>
      </c>
      <c r="L844" s="11">
        <f t="shared" si="898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899"/>
        <v>104.32</v>
      </c>
      <c r="R844" s="7">
        <f t="shared" si="900"/>
        <v>66.871794871794876</v>
      </c>
      <c r="S844" t="str">
        <f t="shared" si="901"/>
        <v>music</v>
      </c>
      <c r="T844" t="str">
        <f t="shared" si="902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ref="K845:L845" si="912">(J845/60/60/24)+DATE(1970,1,1)</f>
        <v>42695.257870370369</v>
      </c>
      <c r="L845" s="11">
        <f t="shared" si="898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899"/>
        <v>267.13333333333333</v>
      </c>
      <c r="R845" s="7">
        <f t="shared" si="900"/>
        <v>63.102362204724407</v>
      </c>
      <c r="S845" t="str">
        <f t="shared" si="901"/>
        <v>music</v>
      </c>
      <c r="T845" t="str">
        <f t="shared" si="902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ref="K846:L846" si="913">(J846/60/60/24)+DATE(1970,1,1)</f>
        <v>41905.684629629628</v>
      </c>
      <c r="L846" s="11">
        <f t="shared" si="898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899"/>
        <v>194.13333333333333</v>
      </c>
      <c r="R846" s="7">
        <f t="shared" si="900"/>
        <v>36.628930817610062</v>
      </c>
      <c r="S846" t="str">
        <f t="shared" si="901"/>
        <v>music</v>
      </c>
      <c r="T846" t="str">
        <f t="shared" si="902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ref="K847:L847" si="914">(J847/60/60/24)+DATE(1970,1,1)</f>
        <v>42578.205972222218</v>
      </c>
      <c r="L847" s="11">
        <f t="shared" si="898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899"/>
        <v>120.3802</v>
      </c>
      <c r="R847" s="7">
        <f t="shared" si="900"/>
        <v>34.005706214689269</v>
      </c>
      <c r="S847" t="str">
        <f t="shared" si="901"/>
        <v>music</v>
      </c>
      <c r="T847" t="str">
        <f t="shared" si="902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ref="K848:L848" si="915">(J848/60/60/24)+DATE(1970,1,1)</f>
        <v>41694.391840277778</v>
      </c>
      <c r="L848" s="11">
        <f t="shared" si="898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899"/>
        <v>122.00090909090908</v>
      </c>
      <c r="R848" s="7">
        <f t="shared" si="900"/>
        <v>28.553404255319148</v>
      </c>
      <c r="S848" t="str">
        <f t="shared" si="901"/>
        <v>music</v>
      </c>
      <c r="T848" t="str">
        <f t="shared" si="902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ref="K849:L849" si="916">(J849/60/60/24)+DATE(1970,1,1)</f>
        <v>42165.79833333334</v>
      </c>
      <c r="L849" s="11">
        <f t="shared" si="898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899"/>
        <v>100</v>
      </c>
      <c r="R849" s="7">
        <f t="shared" si="900"/>
        <v>10</v>
      </c>
      <c r="S849" t="str">
        <f t="shared" si="901"/>
        <v>music</v>
      </c>
      <c r="T849" t="str">
        <f t="shared" si="902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ref="K850:L850" si="917">(J850/60/60/24)+DATE(1970,1,1)</f>
        <v>42078.792048611111</v>
      </c>
      <c r="L850" s="11">
        <f t="shared" si="898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899"/>
        <v>100</v>
      </c>
      <c r="R850" s="7">
        <f t="shared" si="900"/>
        <v>18.75</v>
      </c>
      <c r="S850" t="str">
        <f t="shared" si="901"/>
        <v>music</v>
      </c>
      <c r="T850" t="str">
        <f t="shared" si="902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ref="K851:L851" si="918">(J851/60/60/24)+DATE(1970,1,1)</f>
        <v>42051.148888888885</v>
      </c>
      <c r="L851" s="11">
        <f t="shared" si="898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899"/>
        <v>119.9</v>
      </c>
      <c r="R851" s="7">
        <f t="shared" si="900"/>
        <v>41.704347826086959</v>
      </c>
      <c r="S851" t="str">
        <f t="shared" si="901"/>
        <v>music</v>
      </c>
      <c r="T851" t="str">
        <f t="shared" si="902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ref="K852:L852" si="919">(J852/60/60/24)+DATE(1970,1,1)</f>
        <v>42452.827743055561</v>
      </c>
      <c r="L852" s="11">
        <f t="shared" si="898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899"/>
        <v>155.17499999999998</v>
      </c>
      <c r="R852" s="7">
        <f t="shared" si="900"/>
        <v>46.669172932330824</v>
      </c>
      <c r="S852" t="str">
        <f t="shared" si="901"/>
        <v>music</v>
      </c>
      <c r="T852" t="str">
        <f t="shared" si="902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ref="K853:L853" si="920">(J853/60/60/24)+DATE(1970,1,1)</f>
        <v>42522.880243055552</v>
      </c>
      <c r="L853" s="11">
        <f t="shared" si="898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899"/>
        <v>130.44999999999999</v>
      </c>
      <c r="R853" s="7">
        <f t="shared" si="900"/>
        <v>37.271428571428572</v>
      </c>
      <c r="S853" t="str">
        <f t="shared" si="901"/>
        <v>music</v>
      </c>
      <c r="T853" t="str">
        <f t="shared" si="902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ref="K854:L854" si="921">(J854/60/60/24)+DATE(1970,1,1)</f>
        <v>42656.805497685185</v>
      </c>
      <c r="L854" s="11">
        <f t="shared" si="898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899"/>
        <v>104.97142857142859</v>
      </c>
      <c r="R854" s="7">
        <f t="shared" si="900"/>
        <v>59.258064516129032</v>
      </c>
      <c r="S854" t="str">
        <f t="shared" si="901"/>
        <v>music</v>
      </c>
      <c r="T854" t="str">
        <f t="shared" si="902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ref="K855:L855" si="922">(J855/60/60/24)+DATE(1970,1,1)</f>
        <v>42021.832280092596</v>
      </c>
      <c r="L855" s="11">
        <f t="shared" si="898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899"/>
        <v>100</v>
      </c>
      <c r="R855" s="7">
        <f t="shared" si="900"/>
        <v>30</v>
      </c>
      <c r="S855" t="str">
        <f t="shared" si="901"/>
        <v>music</v>
      </c>
      <c r="T855" t="str">
        <f t="shared" si="902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ref="K856:L856" si="923">(J856/60/60/24)+DATE(1970,1,1)</f>
        <v>42702.212337962963</v>
      </c>
      <c r="L856" s="11">
        <f t="shared" si="898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899"/>
        <v>118.2205035971223</v>
      </c>
      <c r="R856" s="7">
        <f t="shared" si="900"/>
        <v>65.8623246492986</v>
      </c>
      <c r="S856" t="str">
        <f t="shared" si="901"/>
        <v>music</v>
      </c>
      <c r="T856" t="str">
        <f t="shared" si="902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ref="K857:L857" si="924">(J857/60/60/24)+DATE(1970,1,1)</f>
        <v>42545.125196759262</v>
      </c>
      <c r="L857" s="11">
        <f t="shared" si="898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899"/>
        <v>103.44827586206897</v>
      </c>
      <c r="R857" s="7">
        <f t="shared" si="900"/>
        <v>31.914893617021278</v>
      </c>
      <c r="S857" t="str">
        <f t="shared" si="901"/>
        <v>music</v>
      </c>
      <c r="T857" t="str">
        <f t="shared" si="902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ref="K858:L858" si="925">(J858/60/60/24)+DATE(1970,1,1)</f>
        <v>42609.311990740738</v>
      </c>
      <c r="L858" s="11">
        <f t="shared" si="898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899"/>
        <v>218.00000000000003</v>
      </c>
      <c r="R858" s="7">
        <f t="shared" si="900"/>
        <v>19.464285714285715</v>
      </c>
      <c r="S858" t="str">
        <f t="shared" si="901"/>
        <v>music</v>
      </c>
      <c r="T858" t="str">
        <f t="shared" si="902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ref="K859:L859" si="926">(J859/60/60/24)+DATE(1970,1,1)</f>
        <v>42291.581377314811</v>
      </c>
      <c r="L859" s="11">
        <f t="shared" si="898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899"/>
        <v>100</v>
      </c>
      <c r="R859" s="7">
        <f t="shared" si="900"/>
        <v>50</v>
      </c>
      <c r="S859" t="str">
        <f t="shared" si="901"/>
        <v>music</v>
      </c>
      <c r="T859" t="str">
        <f t="shared" si="902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ref="K860:L860" si="927">(J860/60/60/24)+DATE(1970,1,1)</f>
        <v>42079.745578703703</v>
      </c>
      <c r="L860" s="11">
        <f t="shared" si="898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899"/>
        <v>144.00583333333333</v>
      </c>
      <c r="R860" s="7">
        <f t="shared" si="900"/>
        <v>22.737763157894737</v>
      </c>
      <c r="S860" t="str">
        <f t="shared" si="901"/>
        <v>music</v>
      </c>
      <c r="T860" t="str">
        <f t="shared" si="902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ref="K861:L861" si="928">(J861/60/60/24)+DATE(1970,1,1)</f>
        <v>42128.820231481484</v>
      </c>
      <c r="L861" s="11">
        <f t="shared" si="898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899"/>
        <v>104.67500000000001</v>
      </c>
      <c r="R861" s="7">
        <f t="shared" si="900"/>
        <v>42.724489795918366</v>
      </c>
      <c r="S861" t="str">
        <f t="shared" si="901"/>
        <v>music</v>
      </c>
      <c r="T861" t="str">
        <f t="shared" si="902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ref="K862:L862" si="929">(J862/60/60/24)+DATE(1970,1,1)</f>
        <v>41570.482789351852</v>
      </c>
      <c r="L862" s="11">
        <f t="shared" si="898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899"/>
        <v>18.142857142857142</v>
      </c>
      <c r="R862" s="7">
        <f t="shared" si="900"/>
        <v>52.916666666666664</v>
      </c>
      <c r="S862" t="str">
        <f t="shared" si="901"/>
        <v>music</v>
      </c>
      <c r="T862" t="str">
        <f t="shared" si="902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ref="K863:L863" si="930">(J863/60/60/24)+DATE(1970,1,1)</f>
        <v>42599.965324074074</v>
      </c>
      <c r="L863" s="11">
        <f t="shared" si="898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899"/>
        <v>2.2444444444444445</v>
      </c>
      <c r="R863" s="7">
        <f t="shared" si="900"/>
        <v>50.5</v>
      </c>
      <c r="S863" t="str">
        <f t="shared" si="901"/>
        <v>music</v>
      </c>
      <c r="T863" t="str">
        <f t="shared" si="902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ref="K864:L864" si="931">(J864/60/60/24)+DATE(1970,1,1)</f>
        <v>41559.5549537037</v>
      </c>
      <c r="L864" s="11">
        <f t="shared" si="898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899"/>
        <v>0.33999999999999997</v>
      </c>
      <c r="R864" s="7">
        <f t="shared" si="900"/>
        <v>42.5</v>
      </c>
      <c r="S864" t="str">
        <f t="shared" si="901"/>
        <v>music</v>
      </c>
      <c r="T864" t="str">
        <f t="shared" si="902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ref="K865:L865" si="932">(J865/60/60/24)+DATE(1970,1,1)</f>
        <v>40921.117662037039</v>
      </c>
      <c r="L865" s="11">
        <f t="shared" si="898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899"/>
        <v>4.5</v>
      </c>
      <c r="R865" s="7">
        <f t="shared" si="900"/>
        <v>18</v>
      </c>
      <c r="S865" t="str">
        <f t="shared" si="901"/>
        <v>music</v>
      </c>
      <c r="T865" t="str">
        <f t="shared" si="902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ref="K866:L866" si="933">(J866/60/60/24)+DATE(1970,1,1)</f>
        <v>41541.106921296298</v>
      </c>
      <c r="L866" s="11">
        <f t="shared" si="898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899"/>
        <v>41.53846153846154</v>
      </c>
      <c r="R866" s="7">
        <f t="shared" si="900"/>
        <v>34.177215189873415</v>
      </c>
      <c r="S866" t="str">
        <f t="shared" si="901"/>
        <v>music</v>
      </c>
      <c r="T866" t="str">
        <f t="shared" si="902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ref="K867:L867" si="934">(J867/60/60/24)+DATE(1970,1,1)</f>
        <v>41230.77311342593</v>
      </c>
      <c r="L867" s="11">
        <f t="shared" si="898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899"/>
        <v>2.0454545454545454</v>
      </c>
      <c r="R867" s="7">
        <f t="shared" si="900"/>
        <v>22.5</v>
      </c>
      <c r="S867" t="str">
        <f t="shared" si="901"/>
        <v>music</v>
      </c>
      <c r="T867" t="str">
        <f t="shared" si="902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ref="K868:L868" si="935">(J868/60/60/24)+DATE(1970,1,1)</f>
        <v>42025.637939814813</v>
      </c>
      <c r="L868" s="11">
        <f t="shared" si="898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899"/>
        <v>18.285714285714285</v>
      </c>
      <c r="R868" s="7">
        <f t="shared" si="900"/>
        <v>58.18181818181818</v>
      </c>
      <c r="S868" t="str">
        <f t="shared" si="901"/>
        <v>music</v>
      </c>
      <c r="T868" t="str">
        <f t="shared" si="902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ref="K869:L869" si="936">(J869/60/60/24)+DATE(1970,1,1)</f>
        <v>40088.105393518519</v>
      </c>
      <c r="L869" s="11">
        <f t="shared" si="898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899"/>
        <v>24.02</v>
      </c>
      <c r="R869" s="7">
        <f t="shared" si="900"/>
        <v>109.18181818181819</v>
      </c>
      <c r="S869" t="str">
        <f t="shared" si="901"/>
        <v>music</v>
      </c>
      <c r="T869" t="str">
        <f t="shared" si="902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ref="K870:L870" si="937">(J870/60/60/24)+DATE(1970,1,1)</f>
        <v>41616.027754629627</v>
      </c>
      <c r="L870" s="11">
        <f t="shared" si="898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899"/>
        <v>0.1111111111111111</v>
      </c>
      <c r="R870" s="7">
        <f t="shared" si="900"/>
        <v>50</v>
      </c>
      <c r="S870" t="str">
        <f t="shared" si="901"/>
        <v>music</v>
      </c>
      <c r="T870" t="str">
        <f t="shared" si="902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ref="K871:L871" si="938">(J871/60/60/24)+DATE(1970,1,1)</f>
        <v>41342.845567129632</v>
      </c>
      <c r="L871" s="11">
        <f t="shared" si="898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899"/>
        <v>11.818181818181818</v>
      </c>
      <c r="R871" s="7">
        <f t="shared" si="900"/>
        <v>346.66666666666669</v>
      </c>
      <c r="S871" t="str">
        <f t="shared" si="901"/>
        <v>music</v>
      </c>
      <c r="T871" t="str">
        <f t="shared" si="902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ref="K872:L872" si="939">(J872/60/60/24)+DATE(1970,1,1)</f>
        <v>41488.022256944445</v>
      </c>
      <c r="L872" s="11">
        <f t="shared" si="898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899"/>
        <v>0.31</v>
      </c>
      <c r="R872" s="7">
        <f t="shared" si="900"/>
        <v>12.4</v>
      </c>
      <c r="S872" t="str">
        <f t="shared" si="901"/>
        <v>music</v>
      </c>
      <c r="T872" t="str">
        <f t="shared" si="902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ref="K873:L873" si="940">(J873/60/60/24)+DATE(1970,1,1)</f>
        <v>41577.561284722222</v>
      </c>
      <c r="L873" s="11">
        <f t="shared" si="898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899"/>
        <v>5.416666666666667</v>
      </c>
      <c r="R873" s="7">
        <f t="shared" si="900"/>
        <v>27.083333333333332</v>
      </c>
      <c r="S873" t="str">
        <f t="shared" si="901"/>
        <v>music</v>
      </c>
      <c r="T873" t="str">
        <f t="shared" si="902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ref="K874:L874" si="941">(J874/60/60/24)+DATE(1970,1,1)</f>
        <v>40567.825543981482</v>
      </c>
      <c r="L874" s="11">
        <f t="shared" si="898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899"/>
        <v>0.8125</v>
      </c>
      <c r="R874" s="7">
        <f t="shared" si="900"/>
        <v>32.5</v>
      </c>
      <c r="S874" t="str">
        <f t="shared" si="901"/>
        <v>music</v>
      </c>
      <c r="T874" t="str">
        <f t="shared" si="902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ref="K875:L875" si="942">(J875/60/60/24)+DATE(1970,1,1)</f>
        <v>41184.167129629634</v>
      </c>
      <c r="L875" s="11">
        <f t="shared" si="898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899"/>
        <v>1.2857142857142856</v>
      </c>
      <c r="R875" s="7">
        <f t="shared" si="900"/>
        <v>9</v>
      </c>
      <c r="S875" t="str">
        <f t="shared" si="901"/>
        <v>music</v>
      </c>
      <c r="T875" t="str">
        <f t="shared" si="902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ref="K876:L876" si="943">(J876/60/60/24)+DATE(1970,1,1)</f>
        <v>41368.583726851852</v>
      </c>
      <c r="L876" s="11">
        <f t="shared" si="898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899"/>
        <v>24.333333333333336</v>
      </c>
      <c r="R876" s="7">
        <f t="shared" si="900"/>
        <v>34.761904761904759</v>
      </c>
      <c r="S876" t="str">
        <f t="shared" si="901"/>
        <v>music</v>
      </c>
      <c r="T876" t="str">
        <f t="shared" si="902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ref="K877:L877" si="944">(J877/60/60/24)+DATE(1970,1,1)</f>
        <v>42248.723738425921</v>
      </c>
      <c r="L877" s="11">
        <f t="shared" si="898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899"/>
        <v>0</v>
      </c>
      <c r="R877" s="7">
        <f t="shared" si="900"/>
        <v>0</v>
      </c>
      <c r="S877" t="str">
        <f t="shared" si="901"/>
        <v>music</v>
      </c>
      <c r="T877" t="str">
        <f t="shared" si="902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ref="K878:L878" si="945">(J878/60/60/24)+DATE(1970,1,1)</f>
        <v>41276.496840277774</v>
      </c>
      <c r="L878" s="11">
        <f t="shared" si="898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899"/>
        <v>40.799492385786799</v>
      </c>
      <c r="R878" s="7">
        <f t="shared" si="900"/>
        <v>28.577777777777779</v>
      </c>
      <c r="S878" t="str">
        <f t="shared" si="901"/>
        <v>music</v>
      </c>
      <c r="T878" t="str">
        <f t="shared" si="902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ref="K879:L879" si="946">(J879/60/60/24)+DATE(1970,1,1)</f>
        <v>41597.788888888892</v>
      </c>
      <c r="L879" s="11">
        <f t="shared" si="898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899"/>
        <v>67.55</v>
      </c>
      <c r="R879" s="7">
        <f t="shared" si="900"/>
        <v>46.586206896551722</v>
      </c>
      <c r="S879" t="str">
        <f t="shared" si="901"/>
        <v>music</v>
      </c>
      <c r="T879" t="str">
        <f t="shared" si="902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ref="K880:L880" si="947">(J880/60/60/24)+DATE(1970,1,1)</f>
        <v>40505.232916666668</v>
      </c>
      <c r="L880" s="11">
        <f t="shared" si="898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899"/>
        <v>1.3</v>
      </c>
      <c r="R880" s="7">
        <f t="shared" si="900"/>
        <v>32.5</v>
      </c>
      <c r="S880" t="str">
        <f t="shared" si="901"/>
        <v>music</v>
      </c>
      <c r="T880" t="str">
        <f t="shared" si="902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ref="K881:L881" si="948">(J881/60/60/24)+DATE(1970,1,1)</f>
        <v>41037.829918981479</v>
      </c>
      <c r="L881" s="11">
        <f t="shared" si="898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899"/>
        <v>30.666666666666664</v>
      </c>
      <c r="R881" s="7">
        <f t="shared" si="900"/>
        <v>21.466666666666665</v>
      </c>
      <c r="S881" t="str">
        <f t="shared" si="901"/>
        <v>music</v>
      </c>
      <c r="T881" t="str">
        <f t="shared" si="902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ref="K882:L882" si="949">(J882/60/60/24)+DATE(1970,1,1)</f>
        <v>41179.32104166667</v>
      </c>
      <c r="L882" s="11">
        <f t="shared" si="898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899"/>
        <v>2.9894179894179893</v>
      </c>
      <c r="R882" s="7">
        <f t="shared" si="900"/>
        <v>14.125</v>
      </c>
      <c r="S882" t="str">
        <f t="shared" si="901"/>
        <v>music</v>
      </c>
      <c r="T882" t="str">
        <f t="shared" si="902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ref="K883:L883" si="950">(J883/60/60/24)+DATE(1970,1,1)</f>
        <v>40877.25099537037</v>
      </c>
      <c r="L883" s="11">
        <f t="shared" si="898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899"/>
        <v>0.8</v>
      </c>
      <c r="R883" s="7">
        <f t="shared" si="900"/>
        <v>30</v>
      </c>
      <c r="S883" t="str">
        <f t="shared" si="901"/>
        <v>music</v>
      </c>
      <c r="T883" t="str">
        <f t="shared" si="902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ref="K884:L884" si="951">(J884/60/60/24)+DATE(1970,1,1)</f>
        <v>40759.860532407409</v>
      </c>
      <c r="L884" s="11">
        <f t="shared" si="898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899"/>
        <v>20.133333333333333</v>
      </c>
      <c r="R884" s="7">
        <f t="shared" si="900"/>
        <v>21.571428571428573</v>
      </c>
      <c r="S884" t="str">
        <f t="shared" si="901"/>
        <v>music</v>
      </c>
      <c r="T884" t="str">
        <f t="shared" si="902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ref="K885:L885" si="952">(J885/60/60/24)+DATE(1970,1,1)</f>
        <v>42371.935590277775</v>
      </c>
      <c r="L885" s="11">
        <f t="shared" si="898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899"/>
        <v>40.020000000000003</v>
      </c>
      <c r="R885" s="7">
        <f t="shared" si="900"/>
        <v>83.375</v>
      </c>
      <c r="S885" t="str">
        <f t="shared" si="901"/>
        <v>music</v>
      </c>
      <c r="T885" t="str">
        <f t="shared" si="902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ref="K886:L886" si="953">(J886/60/60/24)+DATE(1970,1,1)</f>
        <v>40981.802615740737</v>
      </c>
      <c r="L886" s="11">
        <f t="shared" si="898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899"/>
        <v>1</v>
      </c>
      <c r="R886" s="7">
        <f t="shared" si="900"/>
        <v>10</v>
      </c>
      <c r="S886" t="str">
        <f t="shared" si="901"/>
        <v>music</v>
      </c>
      <c r="T886" t="str">
        <f t="shared" si="902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ref="K887:L887" si="954">(J887/60/60/24)+DATE(1970,1,1)</f>
        <v>42713.941099537042</v>
      </c>
      <c r="L887" s="11">
        <f t="shared" si="898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899"/>
        <v>75</v>
      </c>
      <c r="R887" s="7">
        <f t="shared" si="900"/>
        <v>35.714285714285715</v>
      </c>
      <c r="S887" t="str">
        <f t="shared" si="901"/>
        <v>music</v>
      </c>
      <c r="T887" t="str">
        <f t="shared" si="902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ref="K888:L888" si="955">(J888/60/60/24)+DATE(1970,1,1)</f>
        <v>42603.870520833334</v>
      </c>
      <c r="L888" s="11">
        <f t="shared" si="898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899"/>
        <v>41</v>
      </c>
      <c r="R888" s="7">
        <f t="shared" si="900"/>
        <v>29.285714285714285</v>
      </c>
      <c r="S888" t="str">
        <f t="shared" si="901"/>
        <v>music</v>
      </c>
      <c r="T888" t="str">
        <f t="shared" si="902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ref="K889:L889" si="956">(J889/60/60/24)+DATE(1970,1,1)</f>
        <v>41026.958969907406</v>
      </c>
      <c r="L889" s="11">
        <f t="shared" si="898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899"/>
        <v>0</v>
      </c>
      <c r="R889" s="7">
        <f t="shared" si="900"/>
        <v>0</v>
      </c>
      <c r="S889" t="str">
        <f t="shared" si="901"/>
        <v>music</v>
      </c>
      <c r="T889" t="str">
        <f t="shared" si="902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ref="K890:L890" si="957">(J890/60/60/24)+DATE(1970,1,1)</f>
        <v>40751.753298611111</v>
      </c>
      <c r="L890" s="11">
        <f t="shared" si="898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899"/>
        <v>7.1999999999999993</v>
      </c>
      <c r="R890" s="7">
        <f t="shared" si="900"/>
        <v>18</v>
      </c>
      <c r="S890" t="str">
        <f t="shared" si="901"/>
        <v>music</v>
      </c>
      <c r="T890" t="str">
        <f t="shared" si="902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ref="K891:L891" si="958">(J891/60/60/24)+DATE(1970,1,1)</f>
        <v>41887.784062500003</v>
      </c>
      <c r="L891" s="11">
        <f t="shared" si="898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899"/>
        <v>9.4412800000000008</v>
      </c>
      <c r="R891" s="7">
        <f t="shared" si="900"/>
        <v>73.760000000000005</v>
      </c>
      <c r="S891" t="str">
        <f t="shared" si="901"/>
        <v>music</v>
      </c>
      <c r="T891" t="str">
        <f t="shared" si="902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ref="K892:L892" si="959">(J892/60/60/24)+DATE(1970,1,1)</f>
        <v>41569.698831018519</v>
      </c>
      <c r="L892" s="11">
        <f t="shared" si="898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899"/>
        <v>4.1666666666666661</v>
      </c>
      <c r="R892" s="7">
        <f t="shared" si="900"/>
        <v>31.25</v>
      </c>
      <c r="S892" t="str">
        <f t="shared" si="901"/>
        <v>music</v>
      </c>
      <c r="T892" t="str">
        <f t="shared" si="902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ref="K893:L893" si="960">(J893/60/60/24)+DATE(1970,1,1)</f>
        <v>41842.031597222223</v>
      </c>
      <c r="L893" s="11">
        <f t="shared" si="898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899"/>
        <v>3.25</v>
      </c>
      <c r="R893" s="7">
        <f t="shared" si="900"/>
        <v>28.888888888888889</v>
      </c>
      <c r="S893" t="str">
        <f t="shared" si="901"/>
        <v>music</v>
      </c>
      <c r="T893" t="str">
        <f t="shared" si="902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ref="K894:L894" si="961">(J894/60/60/24)+DATE(1970,1,1)</f>
        <v>40304.20003472222</v>
      </c>
      <c r="L894" s="11">
        <f t="shared" si="898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899"/>
        <v>40.75</v>
      </c>
      <c r="R894" s="7">
        <f t="shared" si="900"/>
        <v>143.8235294117647</v>
      </c>
      <c r="S894" t="str">
        <f t="shared" si="901"/>
        <v>music</v>
      </c>
      <c r="T894" t="str">
        <f t="shared" si="902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ref="K895:L895" si="962">(J895/60/60/24)+DATE(1970,1,1)</f>
        <v>42065.897719907407</v>
      </c>
      <c r="L895" s="11">
        <f t="shared" si="898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899"/>
        <v>10</v>
      </c>
      <c r="R895" s="7">
        <f t="shared" si="900"/>
        <v>40</v>
      </c>
      <c r="S895" t="str">
        <f t="shared" si="901"/>
        <v>music</v>
      </c>
      <c r="T895" t="str">
        <f t="shared" si="902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ref="K896:L896" si="963">(J896/60/60/24)+DATE(1970,1,1)</f>
        <v>42496.981597222228</v>
      </c>
      <c r="L896" s="11">
        <f t="shared" si="898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899"/>
        <v>39.17</v>
      </c>
      <c r="R896" s="7">
        <f t="shared" si="900"/>
        <v>147.81132075471697</v>
      </c>
      <c r="S896" t="str">
        <f t="shared" si="901"/>
        <v>music</v>
      </c>
      <c r="T896" t="str">
        <f t="shared" si="902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ref="K897:L897" si="964">(J897/60/60/24)+DATE(1970,1,1)</f>
        <v>40431.127650462964</v>
      </c>
      <c r="L897" s="11">
        <f t="shared" si="898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899"/>
        <v>2.4375</v>
      </c>
      <c r="R897" s="7">
        <f t="shared" si="900"/>
        <v>27.857142857142858</v>
      </c>
      <c r="S897" t="str">
        <f t="shared" si="901"/>
        <v>music</v>
      </c>
      <c r="T897" t="str">
        <f t="shared" si="902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ref="K898:L898" si="965">(J898/60/60/24)+DATE(1970,1,1)</f>
        <v>42218.872986111113</v>
      </c>
      <c r="L898" s="11">
        <f t="shared" si="898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si="899"/>
        <v>40</v>
      </c>
      <c r="R898" s="7">
        <f t="shared" si="900"/>
        <v>44.444444444444443</v>
      </c>
      <c r="S898" t="str">
        <f t="shared" si="901"/>
        <v>music</v>
      </c>
      <c r="T898" t="str">
        <f t="shared" si="902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ref="K899:L899" si="966">(J899/60/60/24)+DATE(1970,1,1)</f>
        <v>41211.688750000001</v>
      </c>
      <c r="L899" s="11">
        <f t="shared" ref="L899:L962" si="967">(I899/60/60/24)+DATE(1970,1,1)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968">(E899/D899)*100</f>
        <v>0</v>
      </c>
      <c r="R899" s="7">
        <f t="shared" ref="R899:R962" si="969">IFERROR(E899/N899, 0)</f>
        <v>0</v>
      </c>
      <c r="S899" t="str">
        <f t="shared" ref="S899:S962" si="970">LEFT(P899, SEARCH("/", P899,1)-1)</f>
        <v>music</v>
      </c>
      <c r="T899" t="str">
        <f t="shared" ref="T899:T962" si="971">RIGHT(P899,LEN(P899)-SEARCH("/",P899,SEARCH("/",P899)))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ref="K900:L900" si="972">(J900/60/60/24)+DATE(1970,1,1)</f>
        <v>40878.758217592593</v>
      </c>
      <c r="L900" s="11">
        <f t="shared" si="96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968"/>
        <v>2.8000000000000003</v>
      </c>
      <c r="R900" s="7">
        <f t="shared" si="969"/>
        <v>35</v>
      </c>
      <c r="S900" t="str">
        <f t="shared" si="970"/>
        <v>music</v>
      </c>
      <c r="T900" t="str">
        <f t="shared" si="971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ref="K901:L901" si="973">(J901/60/60/24)+DATE(1970,1,1)</f>
        <v>40646.099097222221</v>
      </c>
      <c r="L901" s="11">
        <f t="shared" si="96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968"/>
        <v>37.333333333333336</v>
      </c>
      <c r="R901" s="7">
        <f t="shared" si="969"/>
        <v>35</v>
      </c>
      <c r="S901" t="str">
        <f t="shared" si="970"/>
        <v>music</v>
      </c>
      <c r="T901" t="str">
        <f t="shared" si="971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ref="K902:L902" si="974">(J902/60/60/24)+DATE(1970,1,1)</f>
        <v>42429.84956018519</v>
      </c>
      <c r="L902" s="11">
        <f t="shared" si="96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968"/>
        <v>0.42</v>
      </c>
      <c r="R902" s="7">
        <f t="shared" si="969"/>
        <v>10.5</v>
      </c>
      <c r="S902" t="str">
        <f t="shared" si="970"/>
        <v>music</v>
      </c>
      <c r="T902" t="str">
        <f t="shared" si="971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ref="K903:L903" si="975">(J903/60/60/24)+DATE(1970,1,1)</f>
        <v>40291.81150462963</v>
      </c>
      <c r="L903" s="11">
        <f t="shared" si="96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968"/>
        <v>0</v>
      </c>
      <c r="R903" s="7">
        <f t="shared" si="969"/>
        <v>0</v>
      </c>
      <c r="S903" t="str">
        <f t="shared" si="970"/>
        <v>music</v>
      </c>
      <c r="T903" t="str">
        <f t="shared" si="971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ref="K904:L904" si="976">(J904/60/60/24)+DATE(1970,1,1)</f>
        <v>41829.965532407405</v>
      </c>
      <c r="L904" s="11">
        <f t="shared" si="96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968"/>
        <v>0.3</v>
      </c>
      <c r="R904" s="7">
        <f t="shared" si="969"/>
        <v>30</v>
      </c>
      <c r="S904" t="str">
        <f t="shared" si="970"/>
        <v>music</v>
      </c>
      <c r="T904" t="str">
        <f t="shared" si="971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ref="K905:L905" si="977">(J905/60/60/24)+DATE(1970,1,1)</f>
        <v>41149.796064814815</v>
      </c>
      <c r="L905" s="11">
        <f t="shared" si="96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968"/>
        <v>3.2</v>
      </c>
      <c r="R905" s="7">
        <f t="shared" si="969"/>
        <v>40</v>
      </c>
      <c r="S905" t="str">
        <f t="shared" si="970"/>
        <v>music</v>
      </c>
      <c r="T905" t="str">
        <f t="shared" si="971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ref="K906:L906" si="978">(J906/60/60/24)+DATE(1970,1,1)</f>
        <v>42342.080289351856</v>
      </c>
      <c r="L906" s="11">
        <f t="shared" si="96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968"/>
        <v>0.30199999999999999</v>
      </c>
      <c r="R906" s="7">
        <f t="shared" si="969"/>
        <v>50.333333333333336</v>
      </c>
      <c r="S906" t="str">
        <f t="shared" si="970"/>
        <v>music</v>
      </c>
      <c r="T906" t="str">
        <f t="shared" si="971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ref="K907:L907" si="979">(J907/60/60/24)+DATE(1970,1,1)</f>
        <v>40507.239884259259</v>
      </c>
      <c r="L907" s="11">
        <f t="shared" si="96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968"/>
        <v>3.0153846153846153</v>
      </c>
      <c r="R907" s="7">
        <f t="shared" si="969"/>
        <v>32.666666666666664</v>
      </c>
      <c r="S907" t="str">
        <f t="shared" si="970"/>
        <v>music</v>
      </c>
      <c r="T907" t="str">
        <f t="shared" si="971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ref="K908:L908" si="980">(J908/60/60/24)+DATE(1970,1,1)</f>
        <v>41681.189699074072</v>
      </c>
      <c r="L908" s="11">
        <f t="shared" si="96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968"/>
        <v>0</v>
      </c>
      <c r="R908" s="7">
        <f t="shared" si="969"/>
        <v>0</v>
      </c>
      <c r="S908" t="str">
        <f t="shared" si="970"/>
        <v>music</v>
      </c>
      <c r="T908" t="str">
        <f t="shared" si="971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ref="K909:L909" si="981">(J909/60/60/24)+DATE(1970,1,1)</f>
        <v>40767.192395833335</v>
      </c>
      <c r="L909" s="11">
        <f t="shared" si="96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968"/>
        <v>0</v>
      </c>
      <c r="R909" s="7">
        <f t="shared" si="969"/>
        <v>0</v>
      </c>
      <c r="S909" t="str">
        <f t="shared" si="970"/>
        <v>music</v>
      </c>
      <c r="T909" t="str">
        <f t="shared" si="971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ref="K910:L910" si="982">(J910/60/60/24)+DATE(1970,1,1)</f>
        <v>40340.801562499997</v>
      </c>
      <c r="L910" s="11">
        <f t="shared" si="96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968"/>
        <v>0</v>
      </c>
      <c r="R910" s="7">
        <f t="shared" si="969"/>
        <v>0</v>
      </c>
      <c r="S910" t="str">
        <f t="shared" si="970"/>
        <v>music</v>
      </c>
      <c r="T910" t="str">
        <f t="shared" si="971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ref="K911:L911" si="983">(J911/60/60/24)+DATE(1970,1,1)</f>
        <v>41081.69027777778</v>
      </c>
      <c r="L911" s="11">
        <f t="shared" si="96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968"/>
        <v>3.25</v>
      </c>
      <c r="R911" s="7">
        <f t="shared" si="969"/>
        <v>65</v>
      </c>
      <c r="S911" t="str">
        <f t="shared" si="970"/>
        <v>music</v>
      </c>
      <c r="T911" t="str">
        <f t="shared" si="971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ref="K912:L912" si="984">(J912/60/60/24)+DATE(1970,1,1)</f>
        <v>42737.545358796298</v>
      </c>
      <c r="L912" s="11">
        <f t="shared" si="96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968"/>
        <v>22.363636363636363</v>
      </c>
      <c r="R912" s="7">
        <f t="shared" si="969"/>
        <v>24.6</v>
      </c>
      <c r="S912" t="str">
        <f t="shared" si="970"/>
        <v>music</v>
      </c>
      <c r="T912" t="str">
        <f t="shared" si="971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ref="K913:L913" si="985">(J913/60/60/24)+DATE(1970,1,1)</f>
        <v>41642.005150462966</v>
      </c>
      <c r="L913" s="11">
        <f t="shared" si="96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968"/>
        <v>0</v>
      </c>
      <c r="R913" s="7">
        <f t="shared" si="969"/>
        <v>0</v>
      </c>
      <c r="S913" t="str">
        <f t="shared" si="970"/>
        <v>music</v>
      </c>
      <c r="T913" t="str">
        <f t="shared" si="971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ref="K914:L914" si="986">(J914/60/60/24)+DATE(1970,1,1)</f>
        <v>41194.109340277777</v>
      </c>
      <c r="L914" s="11">
        <f t="shared" si="96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968"/>
        <v>0.85714285714285721</v>
      </c>
      <c r="R914" s="7">
        <f t="shared" si="969"/>
        <v>15</v>
      </c>
      <c r="S914" t="str">
        <f t="shared" si="970"/>
        <v>music</v>
      </c>
      <c r="T914" t="str">
        <f t="shared" si="971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ref="K915:L915" si="987">(J915/60/60/24)+DATE(1970,1,1)</f>
        <v>41004.139108796298</v>
      </c>
      <c r="L915" s="11">
        <f t="shared" si="96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968"/>
        <v>6.6066666666666665</v>
      </c>
      <c r="R915" s="7">
        <f t="shared" si="969"/>
        <v>82.583333333333329</v>
      </c>
      <c r="S915" t="str">
        <f t="shared" si="970"/>
        <v>music</v>
      </c>
      <c r="T915" t="str">
        <f t="shared" si="971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ref="K916:L916" si="988">(J916/60/60/24)+DATE(1970,1,1)</f>
        <v>41116.763275462967</v>
      </c>
      <c r="L916" s="11">
        <f t="shared" si="96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968"/>
        <v>0</v>
      </c>
      <c r="R916" s="7">
        <f t="shared" si="969"/>
        <v>0</v>
      </c>
      <c r="S916" t="str">
        <f t="shared" si="970"/>
        <v>music</v>
      </c>
      <c r="T916" t="str">
        <f t="shared" si="971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ref="K917:L917" si="989">(J917/60/60/24)+DATE(1970,1,1)</f>
        <v>40937.679560185185</v>
      </c>
      <c r="L917" s="11">
        <f t="shared" si="96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968"/>
        <v>5.7692307692307692</v>
      </c>
      <c r="R917" s="7">
        <f t="shared" si="969"/>
        <v>41.666666666666664</v>
      </c>
      <c r="S917" t="str">
        <f t="shared" si="970"/>
        <v>music</v>
      </c>
      <c r="T917" t="str">
        <f t="shared" si="971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ref="K918:L918" si="990">(J918/60/60/24)+DATE(1970,1,1)</f>
        <v>40434.853402777779</v>
      </c>
      <c r="L918" s="11">
        <f t="shared" si="96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968"/>
        <v>0</v>
      </c>
      <c r="R918" s="7">
        <f t="shared" si="969"/>
        <v>0</v>
      </c>
      <c r="S918" t="str">
        <f t="shared" si="970"/>
        <v>music</v>
      </c>
      <c r="T918" t="str">
        <f t="shared" si="971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ref="K919:L919" si="991">(J919/60/60/24)+DATE(1970,1,1)</f>
        <v>41802.94363425926</v>
      </c>
      <c r="L919" s="11">
        <f t="shared" si="96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968"/>
        <v>0.6</v>
      </c>
      <c r="R919" s="7">
        <f t="shared" si="969"/>
        <v>30</v>
      </c>
      <c r="S919" t="str">
        <f t="shared" si="970"/>
        <v>music</v>
      </c>
      <c r="T919" t="str">
        <f t="shared" si="971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ref="K920:L920" si="992">(J920/60/60/24)+DATE(1970,1,1)</f>
        <v>41944.916215277779</v>
      </c>
      <c r="L920" s="11">
        <f t="shared" si="96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968"/>
        <v>5.0256410256410255</v>
      </c>
      <c r="R920" s="7">
        <f t="shared" si="969"/>
        <v>19.600000000000001</v>
      </c>
      <c r="S920" t="str">
        <f t="shared" si="970"/>
        <v>music</v>
      </c>
      <c r="T920" t="str">
        <f t="shared" si="971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ref="K921:L921" si="993">(J921/60/60/24)+DATE(1970,1,1)</f>
        <v>41227.641724537039</v>
      </c>
      <c r="L921" s="11">
        <f t="shared" si="96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968"/>
        <v>0.5</v>
      </c>
      <c r="R921" s="7">
        <f t="shared" si="969"/>
        <v>100</v>
      </c>
      <c r="S921" t="str">
        <f t="shared" si="970"/>
        <v>music</v>
      </c>
      <c r="T921" t="str">
        <f t="shared" si="971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ref="K922:L922" si="994">(J922/60/60/24)+DATE(1970,1,1)</f>
        <v>41562.67155092593</v>
      </c>
      <c r="L922" s="11">
        <f t="shared" si="96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968"/>
        <v>0</v>
      </c>
      <c r="R922" s="7">
        <f t="shared" si="969"/>
        <v>0</v>
      </c>
      <c r="S922" t="str">
        <f t="shared" si="970"/>
        <v>music</v>
      </c>
      <c r="T922" t="str">
        <f t="shared" si="971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ref="K923:L923" si="995">(J923/60/60/24)+DATE(1970,1,1)</f>
        <v>40847.171018518515</v>
      </c>
      <c r="L923" s="11">
        <f t="shared" si="96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968"/>
        <v>30.9</v>
      </c>
      <c r="R923" s="7">
        <f t="shared" si="969"/>
        <v>231.75</v>
      </c>
      <c r="S923" t="str">
        <f t="shared" si="970"/>
        <v>music</v>
      </c>
      <c r="T923" t="str">
        <f t="shared" si="971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ref="K924:L924" si="996">(J924/60/60/24)+DATE(1970,1,1)</f>
        <v>41878.530011574076</v>
      </c>
      <c r="L924" s="11">
        <f t="shared" si="96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968"/>
        <v>21.037037037037038</v>
      </c>
      <c r="R924" s="7">
        <f t="shared" si="969"/>
        <v>189.33333333333334</v>
      </c>
      <c r="S924" t="str">
        <f t="shared" si="970"/>
        <v>music</v>
      </c>
      <c r="T924" t="str">
        <f t="shared" si="971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ref="K925:L925" si="997">(J925/60/60/24)+DATE(1970,1,1)</f>
        <v>41934.959756944445</v>
      </c>
      <c r="L925" s="11">
        <f t="shared" si="96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968"/>
        <v>2.1999999999999997</v>
      </c>
      <c r="R925" s="7">
        <f t="shared" si="969"/>
        <v>55</v>
      </c>
      <c r="S925" t="str">
        <f t="shared" si="970"/>
        <v>music</v>
      </c>
      <c r="T925" t="str">
        <f t="shared" si="971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ref="K926:L926" si="998">(J926/60/60/24)+DATE(1970,1,1)</f>
        <v>41288.942928240744</v>
      </c>
      <c r="L926" s="11">
        <f t="shared" si="96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968"/>
        <v>10.9</v>
      </c>
      <c r="R926" s="7">
        <f t="shared" si="969"/>
        <v>21.8</v>
      </c>
      <c r="S926" t="str">
        <f t="shared" si="970"/>
        <v>music</v>
      </c>
      <c r="T926" t="str">
        <f t="shared" si="971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ref="K927:L927" si="999">(J927/60/60/24)+DATE(1970,1,1)</f>
        <v>41575.880914351852</v>
      </c>
      <c r="L927" s="11">
        <f t="shared" si="96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968"/>
        <v>2.666666666666667</v>
      </c>
      <c r="R927" s="7">
        <f t="shared" si="969"/>
        <v>32</v>
      </c>
      <c r="S927" t="str">
        <f t="shared" si="970"/>
        <v>music</v>
      </c>
      <c r="T927" t="str">
        <f t="shared" si="971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ref="K928:L928" si="1000">(J928/60/60/24)+DATE(1970,1,1)</f>
        <v>40338.02002314815</v>
      </c>
      <c r="L928" s="11">
        <f t="shared" si="96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968"/>
        <v>0</v>
      </c>
      <c r="R928" s="7">
        <f t="shared" si="969"/>
        <v>0</v>
      </c>
      <c r="S928" t="str">
        <f t="shared" si="970"/>
        <v>music</v>
      </c>
      <c r="T928" t="str">
        <f t="shared" si="971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ref="K929:L929" si="1001">(J929/60/60/24)+DATE(1970,1,1)</f>
        <v>41013.822858796295</v>
      </c>
      <c r="L929" s="11">
        <f t="shared" si="96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968"/>
        <v>0</v>
      </c>
      <c r="R929" s="7">
        <f t="shared" si="969"/>
        <v>0</v>
      </c>
      <c r="S929" t="str">
        <f t="shared" si="970"/>
        <v>music</v>
      </c>
      <c r="T929" t="str">
        <f t="shared" si="971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ref="K930:L930" si="1002">(J930/60/60/24)+DATE(1970,1,1)</f>
        <v>41180.86241898148</v>
      </c>
      <c r="L930" s="11">
        <f t="shared" si="967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968"/>
        <v>10.86206896551724</v>
      </c>
      <c r="R930" s="7">
        <f t="shared" si="969"/>
        <v>56.25</v>
      </c>
      <c r="S930" t="str">
        <f t="shared" si="970"/>
        <v>music</v>
      </c>
      <c r="T930" t="str">
        <f t="shared" si="971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ref="K931:L931" si="1003">(J931/60/60/24)+DATE(1970,1,1)</f>
        <v>40978.238067129627</v>
      </c>
      <c r="L931" s="11">
        <f t="shared" si="96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968"/>
        <v>0</v>
      </c>
      <c r="R931" s="7">
        <f t="shared" si="969"/>
        <v>0</v>
      </c>
      <c r="S931" t="str">
        <f t="shared" si="970"/>
        <v>music</v>
      </c>
      <c r="T931" t="str">
        <f t="shared" si="971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ref="K932:L932" si="1004">(J932/60/60/24)+DATE(1970,1,1)</f>
        <v>40312.915578703702</v>
      </c>
      <c r="L932" s="11">
        <f t="shared" si="96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968"/>
        <v>38.333333333333336</v>
      </c>
      <c r="R932" s="7">
        <f t="shared" si="969"/>
        <v>69</v>
      </c>
      <c r="S932" t="str">
        <f t="shared" si="970"/>
        <v>music</v>
      </c>
      <c r="T932" t="str">
        <f t="shared" si="971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ref="K933:L933" si="1005">(J933/60/60/24)+DATE(1970,1,1)</f>
        <v>41680.359976851854</v>
      </c>
      <c r="L933" s="11">
        <f t="shared" si="96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968"/>
        <v>6.5500000000000007</v>
      </c>
      <c r="R933" s="7">
        <f t="shared" si="969"/>
        <v>18.714285714285715</v>
      </c>
      <c r="S933" t="str">
        <f t="shared" si="970"/>
        <v>music</v>
      </c>
      <c r="T933" t="str">
        <f t="shared" si="971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ref="K934:L934" si="1006">(J934/60/60/24)+DATE(1970,1,1)</f>
        <v>41310.969270833331</v>
      </c>
      <c r="L934" s="11">
        <f t="shared" si="96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968"/>
        <v>14.536842105263158</v>
      </c>
      <c r="R934" s="7">
        <f t="shared" si="969"/>
        <v>46.033333333333331</v>
      </c>
      <c r="S934" t="str">
        <f t="shared" si="970"/>
        <v>music</v>
      </c>
      <c r="T934" t="str">
        <f t="shared" si="971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ref="K935:L935" si="1007">(J935/60/60/24)+DATE(1970,1,1)</f>
        <v>41711.169085648151</v>
      </c>
      <c r="L935" s="11">
        <f t="shared" si="96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968"/>
        <v>6</v>
      </c>
      <c r="R935" s="7">
        <f t="shared" si="969"/>
        <v>60</v>
      </c>
      <c r="S935" t="str">
        <f t="shared" si="970"/>
        <v>music</v>
      </c>
      <c r="T935" t="str">
        <f t="shared" si="971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ref="K936:L936" si="1008">(J936/60/60/24)+DATE(1970,1,1)</f>
        <v>41733.737083333333</v>
      </c>
      <c r="L936" s="11">
        <f t="shared" si="967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968"/>
        <v>30.4</v>
      </c>
      <c r="R936" s="7">
        <f t="shared" si="969"/>
        <v>50.666666666666664</v>
      </c>
      <c r="S936" t="str">
        <f t="shared" si="970"/>
        <v>music</v>
      </c>
      <c r="T936" t="str">
        <f t="shared" si="971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ref="K937:L937" si="1009">(J937/60/60/24)+DATE(1970,1,1)</f>
        <v>42368.333668981482</v>
      </c>
      <c r="L937" s="11">
        <f t="shared" si="96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968"/>
        <v>1.4285714285714286</v>
      </c>
      <c r="R937" s="7">
        <f t="shared" si="969"/>
        <v>25</v>
      </c>
      <c r="S937" t="str">
        <f t="shared" si="970"/>
        <v>music</v>
      </c>
      <c r="T937" t="str">
        <f t="shared" si="971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ref="K938:L938" si="1010">(J938/60/60/24)+DATE(1970,1,1)</f>
        <v>40883.024178240739</v>
      </c>
      <c r="L938" s="11">
        <f t="shared" si="96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968"/>
        <v>0</v>
      </c>
      <c r="R938" s="7">
        <f t="shared" si="969"/>
        <v>0</v>
      </c>
      <c r="S938" t="str">
        <f t="shared" si="970"/>
        <v>music</v>
      </c>
      <c r="T938" t="str">
        <f t="shared" si="971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ref="K939:L939" si="1011">(J939/60/60/24)+DATE(1970,1,1)</f>
        <v>41551.798113425924</v>
      </c>
      <c r="L939" s="11">
        <f t="shared" si="96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968"/>
        <v>1.1428571428571428</v>
      </c>
      <c r="R939" s="7">
        <f t="shared" si="969"/>
        <v>20</v>
      </c>
      <c r="S939" t="str">
        <f t="shared" si="970"/>
        <v>music</v>
      </c>
      <c r="T939" t="str">
        <f t="shared" si="971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ref="K940:L940" si="1012">(J940/60/60/24)+DATE(1970,1,1)</f>
        <v>41124.479722222226</v>
      </c>
      <c r="L940" s="11">
        <f t="shared" si="96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968"/>
        <v>0.35714285714285715</v>
      </c>
      <c r="R940" s="7">
        <f t="shared" si="969"/>
        <v>25</v>
      </c>
      <c r="S940" t="str">
        <f t="shared" si="970"/>
        <v>music</v>
      </c>
      <c r="T940" t="str">
        <f t="shared" si="971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ref="K941:L941" si="1013">(J941/60/60/24)+DATE(1970,1,1)</f>
        <v>41416.763171296298</v>
      </c>
      <c r="L941" s="11">
        <f t="shared" si="96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968"/>
        <v>1.4545454545454546</v>
      </c>
      <c r="R941" s="7">
        <f t="shared" si="969"/>
        <v>20</v>
      </c>
      <c r="S941" t="str">
        <f t="shared" si="970"/>
        <v>music</v>
      </c>
      <c r="T941" t="str">
        <f t="shared" si="971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ref="K942:L942" si="1014">(J942/60/60/24)+DATE(1970,1,1)</f>
        <v>42182.008402777778</v>
      </c>
      <c r="L942" s="11">
        <f t="shared" si="96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968"/>
        <v>17.155555555555555</v>
      </c>
      <c r="R942" s="7">
        <f t="shared" si="969"/>
        <v>110.28571428571429</v>
      </c>
      <c r="S942" t="str">
        <f t="shared" si="970"/>
        <v>technology</v>
      </c>
      <c r="T942" t="str">
        <f t="shared" si="971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ref="K943:L943" si="1015">(J943/60/60/24)+DATE(1970,1,1)</f>
        <v>42746.096585648149</v>
      </c>
      <c r="L943" s="11">
        <f t="shared" si="96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968"/>
        <v>2.3220000000000001</v>
      </c>
      <c r="R943" s="7">
        <f t="shared" si="969"/>
        <v>37.451612903225808</v>
      </c>
      <c r="S943" t="str">
        <f t="shared" si="970"/>
        <v>technology</v>
      </c>
      <c r="T943" t="str">
        <f t="shared" si="971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ref="K944:L944" si="1016">(J944/60/60/24)+DATE(1970,1,1)</f>
        <v>42382.843287037031</v>
      </c>
      <c r="L944" s="11">
        <f t="shared" si="96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968"/>
        <v>8.9066666666666663</v>
      </c>
      <c r="R944" s="7">
        <f t="shared" si="969"/>
        <v>41.75</v>
      </c>
      <c r="S944" t="str">
        <f t="shared" si="970"/>
        <v>technology</v>
      </c>
      <c r="T944" t="str">
        <f t="shared" si="971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ref="K945:L945" si="1017">(J945/60/60/24)+DATE(1970,1,1)</f>
        <v>42673.66788194445</v>
      </c>
      <c r="L945" s="11">
        <f t="shared" si="96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968"/>
        <v>9.6333333333333346</v>
      </c>
      <c r="R945" s="7">
        <f t="shared" si="969"/>
        <v>24.083333333333332</v>
      </c>
      <c r="S945" t="str">
        <f t="shared" si="970"/>
        <v>technology</v>
      </c>
      <c r="T945" t="str">
        <f t="shared" si="971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ref="K946:L946" si="1018">(J946/60/60/24)+DATE(1970,1,1)</f>
        <v>42444.583912037036</v>
      </c>
      <c r="L946" s="11">
        <f t="shared" si="96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968"/>
        <v>13.325999999999999</v>
      </c>
      <c r="R946" s="7">
        <f t="shared" si="969"/>
        <v>69.40625</v>
      </c>
      <c r="S946" t="str">
        <f t="shared" si="970"/>
        <v>technology</v>
      </c>
      <c r="T946" t="str">
        <f t="shared" si="971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ref="K947:L947" si="1019">(J947/60/60/24)+DATE(1970,1,1)</f>
        <v>42732.872986111113</v>
      </c>
      <c r="L947" s="11">
        <f t="shared" si="96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968"/>
        <v>2.484</v>
      </c>
      <c r="R947" s="7">
        <f t="shared" si="969"/>
        <v>155.25</v>
      </c>
      <c r="S947" t="str">
        <f t="shared" si="970"/>
        <v>technology</v>
      </c>
      <c r="T947" t="str">
        <f t="shared" si="971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ref="K948:L948" si="1020">(J948/60/60/24)+DATE(1970,1,1)</f>
        <v>42592.750555555554</v>
      </c>
      <c r="L948" s="11">
        <f t="shared" si="96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968"/>
        <v>1.9066666666666665</v>
      </c>
      <c r="R948" s="7">
        <f t="shared" si="969"/>
        <v>57.2</v>
      </c>
      <c r="S948" t="str">
        <f t="shared" si="970"/>
        <v>technology</v>
      </c>
      <c r="T948" t="str">
        <f t="shared" si="971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ref="K949:L949" si="1021">(J949/60/60/24)+DATE(1970,1,1)</f>
        <v>42491.781319444446</v>
      </c>
      <c r="L949" s="11">
        <f t="shared" si="96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968"/>
        <v>0</v>
      </c>
      <c r="R949" s="7">
        <f t="shared" si="969"/>
        <v>0</v>
      </c>
      <c r="S949" t="str">
        <f t="shared" si="970"/>
        <v>technology</v>
      </c>
      <c r="T949" t="str">
        <f t="shared" si="971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ref="K950:L950" si="1022">(J950/60/60/24)+DATE(1970,1,1)</f>
        <v>42411.828287037039</v>
      </c>
      <c r="L950" s="11">
        <f t="shared" si="96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968"/>
        <v>12</v>
      </c>
      <c r="R950" s="7">
        <f t="shared" si="969"/>
        <v>60</v>
      </c>
      <c r="S950" t="str">
        <f t="shared" si="970"/>
        <v>technology</v>
      </c>
      <c r="T950" t="str">
        <f t="shared" si="971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ref="K951:L951" si="1023">(J951/60/60/24)+DATE(1970,1,1)</f>
        <v>42361.043703703705</v>
      </c>
      <c r="L951" s="11">
        <f t="shared" si="96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968"/>
        <v>1.365</v>
      </c>
      <c r="R951" s="7">
        <f t="shared" si="969"/>
        <v>39</v>
      </c>
      <c r="S951" t="str">
        <f t="shared" si="970"/>
        <v>technology</v>
      </c>
      <c r="T951" t="str">
        <f t="shared" si="971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ref="K952:L952" si="1024">(J952/60/60/24)+DATE(1970,1,1)</f>
        <v>42356.750706018516</v>
      </c>
      <c r="L952" s="11">
        <f t="shared" si="96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968"/>
        <v>28.04</v>
      </c>
      <c r="R952" s="7">
        <f t="shared" si="969"/>
        <v>58.416666666666664</v>
      </c>
      <c r="S952" t="str">
        <f t="shared" si="970"/>
        <v>technology</v>
      </c>
      <c r="T952" t="str">
        <f t="shared" si="971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ref="K953:L953" si="1025">(J953/60/60/24)+DATE(1970,1,1)</f>
        <v>42480.653611111105</v>
      </c>
      <c r="L953" s="11">
        <f t="shared" si="96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968"/>
        <v>38.39</v>
      </c>
      <c r="R953" s="7">
        <f t="shared" si="969"/>
        <v>158.63636363636363</v>
      </c>
      <c r="S953" t="str">
        <f t="shared" si="970"/>
        <v>technology</v>
      </c>
      <c r="T953" t="str">
        <f t="shared" si="971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ref="K954:L954" si="1026">(J954/60/60/24)+DATE(1970,1,1)</f>
        <v>42662.613564814819</v>
      </c>
      <c r="L954" s="11">
        <f t="shared" si="96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968"/>
        <v>39.942857142857143</v>
      </c>
      <c r="R954" s="7">
        <f t="shared" si="969"/>
        <v>99.857142857142861</v>
      </c>
      <c r="S954" t="str">
        <f t="shared" si="970"/>
        <v>technology</v>
      </c>
      <c r="T954" t="str">
        <f t="shared" si="971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ref="K955:L955" si="1027">(J955/60/60/24)+DATE(1970,1,1)</f>
        <v>41999.164340277777</v>
      </c>
      <c r="L955" s="11">
        <f t="shared" si="96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968"/>
        <v>0.84</v>
      </c>
      <c r="R955" s="7">
        <f t="shared" si="969"/>
        <v>25.2</v>
      </c>
      <c r="S955" t="str">
        <f t="shared" si="970"/>
        <v>technology</v>
      </c>
      <c r="T955" t="str">
        <f t="shared" si="971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ref="K956:L956" si="1028">(J956/60/60/24)+DATE(1970,1,1)</f>
        <v>42194.833784722221</v>
      </c>
      <c r="L956" s="11">
        <f t="shared" si="96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968"/>
        <v>43.406666666666666</v>
      </c>
      <c r="R956" s="7">
        <f t="shared" si="969"/>
        <v>89.191780821917803</v>
      </c>
      <c r="S956" t="str">
        <f t="shared" si="970"/>
        <v>technology</v>
      </c>
      <c r="T956" t="str">
        <f t="shared" si="971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ref="K957:L957" si="1029">(J957/60/60/24)+DATE(1970,1,1)</f>
        <v>42586.295138888891</v>
      </c>
      <c r="L957" s="11">
        <f t="shared" si="96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968"/>
        <v>5.6613333333333333</v>
      </c>
      <c r="R957" s="7">
        <f t="shared" si="969"/>
        <v>182.6236559139785</v>
      </c>
      <c r="S957" t="str">
        <f t="shared" si="970"/>
        <v>technology</v>
      </c>
      <c r="T957" t="str">
        <f t="shared" si="971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ref="K958:L958" si="1030">(J958/60/60/24)+DATE(1970,1,1)</f>
        <v>42060.913877314815</v>
      </c>
      <c r="L958" s="11">
        <f t="shared" si="96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968"/>
        <v>1.722</v>
      </c>
      <c r="R958" s="7">
        <f t="shared" si="969"/>
        <v>50.647058823529413</v>
      </c>
      <c r="S958" t="str">
        <f t="shared" si="970"/>
        <v>technology</v>
      </c>
      <c r="T958" t="str">
        <f t="shared" si="971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ref="K959:L959" si="1031">(J959/60/60/24)+DATE(1970,1,1)</f>
        <v>42660.552465277782</v>
      </c>
      <c r="L959" s="11">
        <f t="shared" si="96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968"/>
        <v>1.9416666666666664</v>
      </c>
      <c r="R959" s="7">
        <f t="shared" si="969"/>
        <v>33.285714285714285</v>
      </c>
      <c r="S959" t="str">
        <f t="shared" si="970"/>
        <v>technology</v>
      </c>
      <c r="T959" t="str">
        <f t="shared" si="971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ref="K960:L960" si="1032">(J960/60/60/24)+DATE(1970,1,1)</f>
        <v>42082.802812499998</v>
      </c>
      <c r="L960" s="11">
        <f t="shared" si="96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968"/>
        <v>11.328275684711327</v>
      </c>
      <c r="R960" s="7">
        <f t="shared" si="969"/>
        <v>51.823529411764703</v>
      </c>
      <c r="S960" t="str">
        <f t="shared" si="970"/>
        <v>technology</v>
      </c>
      <c r="T960" t="str">
        <f t="shared" si="971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ref="K961:L961" si="1033">(J961/60/60/24)+DATE(1970,1,1)</f>
        <v>41993.174363425926</v>
      </c>
      <c r="L961" s="11">
        <f t="shared" si="96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968"/>
        <v>38.86</v>
      </c>
      <c r="R961" s="7">
        <f t="shared" si="969"/>
        <v>113.62573099415205</v>
      </c>
      <c r="S961" t="str">
        <f t="shared" si="970"/>
        <v>technology</v>
      </c>
      <c r="T961" t="str">
        <f t="shared" si="971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ref="K962:L962" si="1034">(J962/60/60/24)+DATE(1970,1,1)</f>
        <v>42766.626793981486</v>
      </c>
      <c r="L962" s="11">
        <f t="shared" si="96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968"/>
        <v>46.100628930817614</v>
      </c>
      <c r="R962" s="7">
        <f t="shared" si="969"/>
        <v>136.46276595744681</v>
      </c>
      <c r="S962" t="str">
        <f t="shared" si="970"/>
        <v>technology</v>
      </c>
      <c r="T962" t="str">
        <f t="shared" si="971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ref="K963:L963" si="1035">(J963/60/60/24)+DATE(1970,1,1)</f>
        <v>42740.693692129629</v>
      </c>
      <c r="L963" s="11">
        <f t="shared" ref="L963:L1026" si="1036">(I963/60/60/24)+DATE(1970,1,1)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1037">(E963/D963)*100</f>
        <v>42.188421052631583</v>
      </c>
      <c r="R963" s="7">
        <f t="shared" ref="R963:R1026" si="1038">IFERROR(E963/N963, 0)</f>
        <v>364.35454545454547</v>
      </c>
      <c r="S963" t="str">
        <f t="shared" ref="S963:S1026" si="1039">LEFT(P963, SEARCH("/", P963,1)-1)</f>
        <v>technology</v>
      </c>
      <c r="T963" t="str">
        <f t="shared" ref="T963:T1026" si="1040">RIGHT(P963,LEN(P963)-SEARCH("/",P963,SEARCH("/",P963)))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ref="K964:L964" si="1041">(J964/60/60/24)+DATE(1970,1,1)</f>
        <v>42373.712418981479</v>
      </c>
      <c r="L964" s="11">
        <f t="shared" si="1036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1037"/>
        <v>28.48</v>
      </c>
      <c r="R964" s="7">
        <f t="shared" si="1038"/>
        <v>19.243243243243242</v>
      </c>
      <c r="S964" t="str">
        <f t="shared" si="1039"/>
        <v>technology</v>
      </c>
      <c r="T964" t="str">
        <f t="shared" si="1040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ref="K965:L965" si="1042">(J965/60/60/24)+DATE(1970,1,1)</f>
        <v>42625.635636574079</v>
      </c>
      <c r="L965" s="11">
        <f t="shared" si="1036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1037"/>
        <v>1.077142857142857</v>
      </c>
      <c r="R965" s="7">
        <f t="shared" si="1038"/>
        <v>41.888888888888886</v>
      </c>
      <c r="S965" t="str">
        <f t="shared" si="1039"/>
        <v>technology</v>
      </c>
      <c r="T965" t="str">
        <f t="shared" si="1040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ref="K966:L966" si="1043">(J966/60/60/24)+DATE(1970,1,1)</f>
        <v>42208.628692129627</v>
      </c>
      <c r="L966" s="11">
        <f t="shared" si="1036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1037"/>
        <v>0.79909090909090907</v>
      </c>
      <c r="R966" s="7">
        <f t="shared" si="1038"/>
        <v>30.310344827586206</v>
      </c>
      <c r="S966" t="str">
        <f t="shared" si="1039"/>
        <v>technology</v>
      </c>
      <c r="T966" t="str">
        <f t="shared" si="1040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ref="K967:L967" si="1044">(J967/60/60/24)+DATE(1970,1,1)</f>
        <v>42637.016736111109</v>
      </c>
      <c r="L967" s="11">
        <f t="shared" si="1036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1037"/>
        <v>1.1919999999999999</v>
      </c>
      <c r="R967" s="7">
        <f t="shared" si="1038"/>
        <v>49.666666666666664</v>
      </c>
      <c r="S967" t="str">
        <f t="shared" si="1039"/>
        <v>technology</v>
      </c>
      <c r="T967" t="str">
        <f t="shared" si="1040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ref="K968:L968" si="1045">(J968/60/60/24)+DATE(1970,1,1)</f>
        <v>42619.635787037041</v>
      </c>
      <c r="L968" s="11">
        <f t="shared" si="1036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1037"/>
        <v>14.799999999999999</v>
      </c>
      <c r="R968" s="7">
        <f t="shared" si="1038"/>
        <v>59.2</v>
      </c>
      <c r="S968" t="str">
        <f t="shared" si="1039"/>
        <v>technology</v>
      </c>
      <c r="T968" t="str">
        <f t="shared" si="1040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ref="K969:L969" si="1046">(J969/60/60/24)+DATE(1970,1,1)</f>
        <v>42422.254328703704</v>
      </c>
      <c r="L969" s="11">
        <f t="shared" si="1036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1037"/>
        <v>17.810000000000002</v>
      </c>
      <c r="R969" s="7">
        <f t="shared" si="1038"/>
        <v>43.97530864197531</v>
      </c>
      <c r="S969" t="str">
        <f t="shared" si="1039"/>
        <v>technology</v>
      </c>
      <c r="T969" t="str">
        <f t="shared" si="1040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ref="K970:L970" si="1047">(J970/60/60/24)+DATE(1970,1,1)</f>
        <v>41836.847615740742</v>
      </c>
      <c r="L970" s="11">
        <f t="shared" si="1036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1037"/>
        <v>1.325</v>
      </c>
      <c r="R970" s="7">
        <f t="shared" si="1038"/>
        <v>26.5</v>
      </c>
      <c r="S970" t="str">
        <f t="shared" si="1039"/>
        <v>technology</v>
      </c>
      <c r="T970" t="str">
        <f t="shared" si="1040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ref="K971:L971" si="1048">(J971/60/60/24)+DATE(1970,1,1)</f>
        <v>42742.30332175926</v>
      </c>
      <c r="L971" s="11">
        <f t="shared" si="1036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1037"/>
        <v>46.666666666666664</v>
      </c>
      <c r="R971" s="7">
        <f t="shared" si="1038"/>
        <v>1272.7272727272727</v>
      </c>
      <c r="S971" t="str">
        <f t="shared" si="1039"/>
        <v>technology</v>
      </c>
      <c r="T971" t="str">
        <f t="shared" si="1040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ref="K972:L972" si="1049">(J972/60/60/24)+DATE(1970,1,1)</f>
        <v>42721.220520833333</v>
      </c>
      <c r="L972" s="11">
        <f t="shared" si="1036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1037"/>
        <v>45.92</v>
      </c>
      <c r="R972" s="7">
        <f t="shared" si="1038"/>
        <v>164</v>
      </c>
      <c r="S972" t="str">
        <f t="shared" si="1039"/>
        <v>technology</v>
      </c>
      <c r="T972" t="str">
        <f t="shared" si="1040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ref="K973:L973" si="1050">(J973/60/60/24)+DATE(1970,1,1)</f>
        <v>42111.709027777775</v>
      </c>
      <c r="L973" s="11">
        <f t="shared" si="1036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1037"/>
        <v>0.22599999999999998</v>
      </c>
      <c r="R973" s="7">
        <f t="shared" si="1038"/>
        <v>45.2</v>
      </c>
      <c r="S973" t="str">
        <f t="shared" si="1039"/>
        <v>technology</v>
      </c>
      <c r="T973" t="str">
        <f t="shared" si="1040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ref="K974:L974" si="1051">(J974/60/60/24)+DATE(1970,1,1)</f>
        <v>41856.865717592591</v>
      </c>
      <c r="L974" s="11">
        <f t="shared" si="1036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1037"/>
        <v>34.625</v>
      </c>
      <c r="R974" s="7">
        <f t="shared" si="1038"/>
        <v>153.88888888888889</v>
      </c>
      <c r="S974" t="str">
        <f t="shared" si="1039"/>
        <v>technology</v>
      </c>
      <c r="T974" t="str">
        <f t="shared" si="1040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ref="K975:L975" si="1052">(J975/60/60/24)+DATE(1970,1,1)</f>
        <v>42257.014965277776</v>
      </c>
      <c r="L975" s="11">
        <f t="shared" si="1036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1037"/>
        <v>2.0549999999999997</v>
      </c>
      <c r="R975" s="7">
        <f t="shared" si="1038"/>
        <v>51.375</v>
      </c>
      <c r="S975" t="str">
        <f t="shared" si="1039"/>
        <v>technology</v>
      </c>
      <c r="T975" t="str">
        <f t="shared" si="1040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ref="K976:L976" si="1053">(J976/60/60/24)+DATE(1970,1,1)</f>
        <v>42424.749490740738</v>
      </c>
      <c r="L976" s="11">
        <f t="shared" si="1036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1037"/>
        <v>0.55999999999999994</v>
      </c>
      <c r="R976" s="7">
        <f t="shared" si="1038"/>
        <v>93.333333333333329</v>
      </c>
      <c r="S976" t="str">
        <f t="shared" si="1039"/>
        <v>technology</v>
      </c>
      <c r="T976" t="str">
        <f t="shared" si="1040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ref="K977:L977" si="1054">(J977/60/60/24)+DATE(1970,1,1)</f>
        <v>42489.696585648147</v>
      </c>
      <c r="L977" s="11">
        <f t="shared" si="1036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1037"/>
        <v>2.6069999999999998</v>
      </c>
      <c r="R977" s="7">
        <f t="shared" si="1038"/>
        <v>108.625</v>
      </c>
      <c r="S977" t="str">
        <f t="shared" si="1039"/>
        <v>technology</v>
      </c>
      <c r="T977" t="str">
        <f t="shared" si="1040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ref="K978:L978" si="1055">(J978/60/60/24)+DATE(1970,1,1)</f>
        <v>42185.058993055558</v>
      </c>
      <c r="L978" s="11">
        <f t="shared" si="1036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1037"/>
        <v>1.9259999999999999</v>
      </c>
      <c r="R978" s="7">
        <f t="shared" si="1038"/>
        <v>160.5</v>
      </c>
      <c r="S978" t="str">
        <f t="shared" si="1039"/>
        <v>technology</v>
      </c>
      <c r="T978" t="str">
        <f t="shared" si="1040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ref="K979:L979" si="1056">(J979/60/60/24)+DATE(1970,1,1)</f>
        <v>42391.942094907412</v>
      </c>
      <c r="L979" s="11">
        <f t="shared" si="1036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1037"/>
        <v>33.666666666666664</v>
      </c>
      <c r="R979" s="7">
        <f t="shared" si="1038"/>
        <v>75.75</v>
      </c>
      <c r="S979" t="str">
        <f t="shared" si="1039"/>
        <v>technology</v>
      </c>
      <c r="T979" t="str">
        <f t="shared" si="1040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ref="K980:L980" si="1057">(J980/60/60/24)+DATE(1970,1,1)</f>
        <v>42395.309039351851</v>
      </c>
      <c r="L980" s="11">
        <f t="shared" si="1036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1037"/>
        <v>56.263267182990241</v>
      </c>
      <c r="R980" s="7">
        <f t="shared" si="1038"/>
        <v>790.83739837398377</v>
      </c>
      <c r="S980" t="str">
        <f t="shared" si="1039"/>
        <v>technology</v>
      </c>
      <c r="T980" t="str">
        <f t="shared" si="1040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ref="K981:L981" si="1058">(J981/60/60/24)+DATE(1970,1,1)</f>
        <v>42506.416990740734</v>
      </c>
      <c r="L981" s="11">
        <f t="shared" si="1036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1037"/>
        <v>82.817599999999999</v>
      </c>
      <c r="R981" s="7">
        <f t="shared" si="1038"/>
        <v>301.93916666666667</v>
      </c>
      <c r="S981" t="str">
        <f t="shared" si="1039"/>
        <v>technology</v>
      </c>
      <c r="T981" t="str">
        <f t="shared" si="1040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ref="K982:L982" si="1059">(J982/60/60/24)+DATE(1970,1,1)</f>
        <v>41928.904189814813</v>
      </c>
      <c r="L982" s="11">
        <f t="shared" si="1036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1037"/>
        <v>14.860000000000001</v>
      </c>
      <c r="R982" s="7">
        <f t="shared" si="1038"/>
        <v>47.935483870967744</v>
      </c>
      <c r="S982" t="str">
        <f t="shared" si="1039"/>
        <v>technology</v>
      </c>
      <c r="T982" t="str">
        <f t="shared" si="1040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ref="K983:L983" si="1060">(J983/60/60/24)+DATE(1970,1,1)</f>
        <v>41830.947013888886</v>
      </c>
      <c r="L983" s="11">
        <f t="shared" si="1036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1037"/>
        <v>1.2375123751237513E-2</v>
      </c>
      <c r="R983" s="7">
        <f t="shared" si="1038"/>
        <v>2.75</v>
      </c>
      <c r="S983" t="str">
        <f t="shared" si="1039"/>
        <v>technology</v>
      </c>
      <c r="T983" t="str">
        <f t="shared" si="1040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ref="K984:L984" si="1061">(J984/60/60/24)+DATE(1970,1,1)</f>
        <v>42615.753310185188</v>
      </c>
      <c r="L984" s="11">
        <f t="shared" si="1036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1037"/>
        <v>1.7142857142857144E-2</v>
      </c>
      <c r="R984" s="7">
        <f t="shared" si="1038"/>
        <v>1</v>
      </c>
      <c r="S984" t="str">
        <f t="shared" si="1039"/>
        <v>technology</v>
      </c>
      <c r="T984" t="str">
        <f t="shared" si="1040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ref="K985:L985" si="1062">(J985/60/60/24)+DATE(1970,1,1)</f>
        <v>42574.667650462965</v>
      </c>
      <c r="L985" s="11">
        <f t="shared" si="1036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1037"/>
        <v>29.506136117214709</v>
      </c>
      <c r="R985" s="7">
        <f t="shared" si="1038"/>
        <v>171.79329608938548</v>
      </c>
      <c r="S985" t="str">
        <f t="shared" si="1039"/>
        <v>technology</v>
      </c>
      <c r="T985" t="str">
        <f t="shared" si="1040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ref="K986:L986" si="1063">(J986/60/60/24)+DATE(1970,1,1)</f>
        <v>42061.11583333333</v>
      </c>
      <c r="L986" s="11">
        <f t="shared" si="1036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1037"/>
        <v>1.06</v>
      </c>
      <c r="R986" s="7">
        <f t="shared" si="1038"/>
        <v>35.333333333333336</v>
      </c>
      <c r="S986" t="str">
        <f t="shared" si="1039"/>
        <v>technology</v>
      </c>
      <c r="T986" t="str">
        <f t="shared" si="1040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ref="K987:L987" si="1064">(J987/60/60/24)+DATE(1970,1,1)</f>
        <v>42339.967708333337</v>
      </c>
      <c r="L987" s="11">
        <f t="shared" si="1036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1037"/>
        <v>6.293333333333333</v>
      </c>
      <c r="R987" s="7">
        <f t="shared" si="1038"/>
        <v>82.086956521739125</v>
      </c>
      <c r="S987" t="str">
        <f t="shared" si="1039"/>
        <v>technology</v>
      </c>
      <c r="T987" t="str">
        <f t="shared" si="1040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ref="K988:L988" si="1065">(J988/60/60/24)+DATE(1970,1,1)</f>
        <v>42324.767361111109</v>
      </c>
      <c r="L988" s="11">
        <f t="shared" si="1036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1037"/>
        <v>12.75</v>
      </c>
      <c r="R988" s="7">
        <f t="shared" si="1038"/>
        <v>110.8695652173913</v>
      </c>
      <c r="S988" t="str">
        <f t="shared" si="1039"/>
        <v>technology</v>
      </c>
      <c r="T988" t="str">
        <f t="shared" si="1040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ref="K989:L989" si="1066">(J989/60/60/24)+DATE(1970,1,1)</f>
        <v>41773.294560185182</v>
      </c>
      <c r="L989" s="11">
        <f t="shared" si="1036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1037"/>
        <v>13.22</v>
      </c>
      <c r="R989" s="7">
        <f t="shared" si="1038"/>
        <v>161.21951219512195</v>
      </c>
      <c r="S989" t="str">
        <f t="shared" si="1039"/>
        <v>technology</v>
      </c>
      <c r="T989" t="str">
        <f t="shared" si="1040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ref="K990:L990" si="1067">(J990/60/60/24)+DATE(1970,1,1)</f>
        <v>42614.356770833328</v>
      </c>
      <c r="L990" s="11">
        <f t="shared" si="1036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1037"/>
        <v>0</v>
      </c>
      <c r="R990" s="7">
        <f t="shared" si="1038"/>
        <v>0</v>
      </c>
      <c r="S990" t="str">
        <f t="shared" si="1039"/>
        <v>technology</v>
      </c>
      <c r="T990" t="str">
        <f t="shared" si="1040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ref="K991:L991" si="1068">(J991/60/60/24)+DATE(1970,1,1)</f>
        <v>42611.933969907404</v>
      </c>
      <c r="L991" s="11">
        <f t="shared" si="1036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1037"/>
        <v>16.77</v>
      </c>
      <c r="R991" s="7">
        <f t="shared" si="1038"/>
        <v>52.40625</v>
      </c>
      <c r="S991" t="str">
        <f t="shared" si="1039"/>
        <v>technology</v>
      </c>
      <c r="T991" t="str">
        <f t="shared" si="1040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ref="K992:L992" si="1069">(J992/60/60/24)+DATE(1970,1,1)</f>
        <v>41855.784305555557</v>
      </c>
      <c r="L992" s="11">
        <f t="shared" si="1036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1037"/>
        <v>0.104</v>
      </c>
      <c r="R992" s="7">
        <f t="shared" si="1038"/>
        <v>13</v>
      </c>
      <c r="S992" t="str">
        <f t="shared" si="1039"/>
        <v>technology</v>
      </c>
      <c r="T992" t="str">
        <f t="shared" si="1040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ref="K993:L993" si="1070">(J993/60/60/24)+DATE(1970,1,1)</f>
        <v>42538.75680555556</v>
      </c>
      <c r="L993" s="11">
        <f t="shared" si="1036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1037"/>
        <v>4.24</v>
      </c>
      <c r="R993" s="7">
        <f t="shared" si="1038"/>
        <v>30.285714285714285</v>
      </c>
      <c r="S993" t="str">
        <f t="shared" si="1039"/>
        <v>technology</v>
      </c>
      <c r="T993" t="str">
        <f t="shared" si="1040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ref="K994:L994" si="1071">(J994/60/60/24)+DATE(1970,1,1)</f>
        <v>42437.924988425926</v>
      </c>
      <c r="L994" s="11">
        <f t="shared" si="1036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1037"/>
        <v>0.46699999999999997</v>
      </c>
      <c r="R994" s="7">
        <f t="shared" si="1038"/>
        <v>116.75</v>
      </c>
      <c r="S994" t="str">
        <f t="shared" si="1039"/>
        <v>technology</v>
      </c>
      <c r="T994" t="str">
        <f t="shared" si="1040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ref="K995:L995" si="1072">(J995/60/60/24)+DATE(1970,1,1)</f>
        <v>42652.964907407411</v>
      </c>
      <c r="L995" s="11">
        <f t="shared" si="1036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1037"/>
        <v>25.087142857142858</v>
      </c>
      <c r="R995" s="7">
        <f t="shared" si="1038"/>
        <v>89.59693877551021</v>
      </c>
      <c r="S995" t="str">
        <f t="shared" si="1039"/>
        <v>technology</v>
      </c>
      <c r="T995" t="str">
        <f t="shared" si="1040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ref="K996:L996" si="1073">(J996/60/60/24)+DATE(1970,1,1)</f>
        <v>41921.263078703705</v>
      </c>
      <c r="L996" s="11">
        <f t="shared" si="1036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1037"/>
        <v>2.3345000000000002</v>
      </c>
      <c r="R996" s="7">
        <f t="shared" si="1038"/>
        <v>424.45454545454544</v>
      </c>
      <c r="S996" t="str">
        <f t="shared" si="1039"/>
        <v>technology</v>
      </c>
      <c r="T996" t="str">
        <f t="shared" si="1040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ref="K997:L997" si="1074">(J997/60/60/24)+DATE(1970,1,1)</f>
        <v>41947.940740740742</v>
      </c>
      <c r="L997" s="11">
        <f t="shared" si="1036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1037"/>
        <v>7.26</v>
      </c>
      <c r="R997" s="7">
        <f t="shared" si="1038"/>
        <v>80.666666666666671</v>
      </c>
      <c r="S997" t="str">
        <f t="shared" si="1039"/>
        <v>technology</v>
      </c>
      <c r="T997" t="str">
        <f t="shared" si="1040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ref="K998:L998" si="1075">(J998/60/60/24)+DATE(1970,1,1)</f>
        <v>41817.866435185184</v>
      </c>
      <c r="L998" s="11">
        <f t="shared" si="1036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1037"/>
        <v>1.625</v>
      </c>
      <c r="R998" s="7">
        <f t="shared" si="1038"/>
        <v>13</v>
      </c>
      <c r="S998" t="str">
        <f t="shared" si="1039"/>
        <v>technology</v>
      </c>
      <c r="T998" t="str">
        <f t="shared" si="1040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ref="K999:L999" si="1076">(J999/60/60/24)+DATE(1970,1,1)</f>
        <v>41941.10297453704</v>
      </c>
      <c r="L999" s="11">
        <f t="shared" si="1036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1037"/>
        <v>1.3</v>
      </c>
      <c r="R999" s="7">
        <f t="shared" si="1038"/>
        <v>8.125</v>
      </c>
      <c r="S999" t="str">
        <f t="shared" si="1039"/>
        <v>technology</v>
      </c>
      <c r="T999" t="str">
        <f t="shared" si="1040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ref="K1000:L1000" si="1077">(J1000/60/60/24)+DATE(1970,1,1)</f>
        <v>42282.168993055559</v>
      </c>
      <c r="L1000" s="11">
        <f t="shared" si="1036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1037"/>
        <v>58.558333333333337</v>
      </c>
      <c r="R1000" s="7">
        <f t="shared" si="1038"/>
        <v>153.42794759825327</v>
      </c>
      <c r="S1000" t="str">
        <f t="shared" si="1039"/>
        <v>technology</v>
      </c>
      <c r="T1000" t="str">
        <f t="shared" si="1040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ref="K1001:L1001" si="1078">(J1001/60/60/24)+DATE(1970,1,1)</f>
        <v>41926.29965277778</v>
      </c>
      <c r="L1001" s="11">
        <f t="shared" si="1036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1037"/>
        <v>7.7886666666666677</v>
      </c>
      <c r="R1001" s="7">
        <f t="shared" si="1038"/>
        <v>292.07499999999999</v>
      </c>
      <c r="S1001" t="str">
        <f t="shared" si="1039"/>
        <v>technology</v>
      </c>
      <c r="T1001" t="str">
        <f t="shared" si="1040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ref="K1002:L1002" si="1079">(J1002/60/60/24)+DATE(1970,1,1)</f>
        <v>42749.059722222228</v>
      </c>
      <c r="L1002" s="11">
        <f t="shared" si="1036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1037"/>
        <v>2.2157147647256061</v>
      </c>
      <c r="R1002" s="7">
        <f t="shared" si="1038"/>
        <v>3304</v>
      </c>
      <c r="S1002" t="str">
        <f t="shared" si="1039"/>
        <v>technology</v>
      </c>
      <c r="T1002" t="str">
        <f t="shared" si="1040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ref="K1003:L1003" si="1080">(J1003/60/60/24)+DATE(1970,1,1)</f>
        <v>42720.720057870371</v>
      </c>
      <c r="L1003" s="11">
        <f t="shared" si="1036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1037"/>
        <v>104</v>
      </c>
      <c r="R1003" s="7">
        <f t="shared" si="1038"/>
        <v>1300</v>
      </c>
      <c r="S1003" t="str">
        <f t="shared" si="1039"/>
        <v>technology</v>
      </c>
      <c r="T1003" t="str">
        <f t="shared" si="1040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ref="K1004:L1004" si="1081">(J1004/60/60/24)+DATE(1970,1,1)</f>
        <v>42325.684189814812</v>
      </c>
      <c r="L1004" s="11">
        <f t="shared" si="1036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1037"/>
        <v>29.6029602960296</v>
      </c>
      <c r="R1004" s="7">
        <f t="shared" si="1038"/>
        <v>134.54545454545453</v>
      </c>
      <c r="S1004" t="str">
        <f t="shared" si="1039"/>
        <v>technology</v>
      </c>
      <c r="T1004" t="str">
        <f t="shared" si="1040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ref="K1005:L1005" si="1082">(J1005/60/60/24)+DATE(1970,1,1)</f>
        <v>42780.709039351852</v>
      </c>
      <c r="L1005" s="11">
        <f t="shared" si="1036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1037"/>
        <v>16.055</v>
      </c>
      <c r="R1005" s="7">
        <f t="shared" si="1038"/>
        <v>214.06666666666666</v>
      </c>
      <c r="S1005" t="str">
        <f t="shared" si="1039"/>
        <v>technology</v>
      </c>
      <c r="T1005" t="str">
        <f t="shared" si="1040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ref="K1006:L1006" si="1083">(J1006/60/60/24)+DATE(1970,1,1)</f>
        <v>42388.708645833336</v>
      </c>
      <c r="L1006" s="11">
        <f t="shared" si="1036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1037"/>
        <v>82.207999999999998</v>
      </c>
      <c r="R1006" s="7">
        <f t="shared" si="1038"/>
        <v>216.33684210526314</v>
      </c>
      <c r="S1006" t="str">
        <f t="shared" si="1039"/>
        <v>technology</v>
      </c>
      <c r="T1006" t="str">
        <f t="shared" si="1040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ref="K1007:L1007" si="1084">(J1007/60/60/24)+DATE(1970,1,1)</f>
        <v>42276.624803240738</v>
      </c>
      <c r="L1007" s="11">
        <f t="shared" si="1036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1037"/>
        <v>75.051000000000002</v>
      </c>
      <c r="R1007" s="7">
        <f t="shared" si="1038"/>
        <v>932.31055900621118</v>
      </c>
      <c r="S1007" t="str">
        <f t="shared" si="1039"/>
        <v>technology</v>
      </c>
      <c r="T1007" t="str">
        <f t="shared" si="1040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ref="K1008:L1008" si="1085">(J1008/60/60/24)+DATE(1970,1,1)</f>
        <v>41977.040185185186</v>
      </c>
      <c r="L1008" s="11">
        <f t="shared" si="1036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1037"/>
        <v>5.8500000000000005</v>
      </c>
      <c r="R1008" s="7">
        <f t="shared" si="1038"/>
        <v>29.25</v>
      </c>
      <c r="S1008" t="str">
        <f t="shared" si="1039"/>
        <v>technology</v>
      </c>
      <c r="T1008" t="str">
        <f t="shared" si="1040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ref="K1009:L1009" si="1086">(J1009/60/60/24)+DATE(1970,1,1)</f>
        <v>42676.583599537036</v>
      </c>
      <c r="L1009" s="11">
        <f t="shared" si="1036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1037"/>
        <v>44.32</v>
      </c>
      <c r="R1009" s="7">
        <f t="shared" si="1038"/>
        <v>174.94736842105263</v>
      </c>
      <c r="S1009" t="str">
        <f t="shared" si="1039"/>
        <v>technology</v>
      </c>
      <c r="T1009" t="str">
        <f t="shared" si="1040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ref="K1010:L1010" si="1087">(J1010/60/60/24)+DATE(1970,1,1)</f>
        <v>42702.809201388889</v>
      </c>
      <c r="L1010" s="11">
        <f t="shared" si="1036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1037"/>
        <v>0.26737967914438499</v>
      </c>
      <c r="R1010" s="7">
        <f t="shared" si="1038"/>
        <v>250</v>
      </c>
      <c r="S1010" t="str">
        <f t="shared" si="1039"/>
        <v>technology</v>
      </c>
      <c r="T1010" t="str">
        <f t="shared" si="1040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ref="K1011:L1011" si="1088">(J1011/60/60/24)+DATE(1970,1,1)</f>
        <v>42510.604699074072</v>
      </c>
      <c r="L1011" s="11">
        <f t="shared" si="1036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1037"/>
        <v>13.13</v>
      </c>
      <c r="R1011" s="7">
        <f t="shared" si="1038"/>
        <v>65</v>
      </c>
      <c r="S1011" t="str">
        <f t="shared" si="1039"/>
        <v>technology</v>
      </c>
      <c r="T1011" t="str">
        <f t="shared" si="1040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ref="K1012:L1012" si="1089">(J1012/60/60/24)+DATE(1970,1,1)</f>
        <v>42561.829421296294</v>
      </c>
      <c r="L1012" s="11">
        <f t="shared" si="1036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1037"/>
        <v>0.19088937093275488</v>
      </c>
      <c r="R1012" s="7">
        <f t="shared" si="1038"/>
        <v>55</v>
      </c>
      <c r="S1012" t="str">
        <f t="shared" si="1039"/>
        <v>technology</v>
      </c>
      <c r="T1012" t="str">
        <f t="shared" si="1040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ref="K1013:L1013" si="1090">(J1013/60/60/24)+DATE(1970,1,1)</f>
        <v>41946.898090277777</v>
      </c>
      <c r="L1013" s="11">
        <f t="shared" si="1036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1037"/>
        <v>0.375</v>
      </c>
      <c r="R1013" s="7">
        <f t="shared" si="1038"/>
        <v>75</v>
      </c>
      <c r="S1013" t="str">
        <f t="shared" si="1039"/>
        <v>technology</v>
      </c>
      <c r="T1013" t="str">
        <f t="shared" si="1040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ref="K1014:L1014" si="1091">(J1014/60/60/24)+DATE(1970,1,1)</f>
        <v>42714.440416666665</v>
      </c>
      <c r="L1014" s="11">
        <f t="shared" si="1036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1037"/>
        <v>21535.021000000001</v>
      </c>
      <c r="R1014" s="7">
        <f t="shared" si="1038"/>
        <v>1389.3561935483872</v>
      </c>
      <c r="S1014" t="str">
        <f t="shared" si="1039"/>
        <v>technology</v>
      </c>
      <c r="T1014" t="str">
        <f t="shared" si="1040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ref="K1015:L1015" si="1092">(J1015/60/60/24)+DATE(1970,1,1)</f>
        <v>42339.833981481483</v>
      </c>
      <c r="L1015" s="11">
        <f t="shared" si="1036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1037"/>
        <v>34.527999999999999</v>
      </c>
      <c r="R1015" s="7">
        <f t="shared" si="1038"/>
        <v>95.911111111111111</v>
      </c>
      <c r="S1015" t="str">
        <f t="shared" si="1039"/>
        <v>technology</v>
      </c>
      <c r="T1015" t="str">
        <f t="shared" si="1040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ref="K1016:L1016" si="1093">(J1016/60/60/24)+DATE(1970,1,1)</f>
        <v>41955.002488425926</v>
      </c>
      <c r="L1016" s="11">
        <f t="shared" si="1036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1037"/>
        <v>30.599999999999998</v>
      </c>
      <c r="R1016" s="7">
        <f t="shared" si="1038"/>
        <v>191.25</v>
      </c>
      <c r="S1016" t="str">
        <f t="shared" si="1039"/>
        <v>technology</v>
      </c>
      <c r="T1016" t="str">
        <f t="shared" si="1040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ref="K1017:L1017" si="1094">(J1017/60/60/24)+DATE(1970,1,1)</f>
        <v>42303.878414351857</v>
      </c>
      <c r="L1017" s="11">
        <f t="shared" si="1036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1037"/>
        <v>2.666666666666667</v>
      </c>
      <c r="R1017" s="7">
        <f t="shared" si="1038"/>
        <v>40</v>
      </c>
      <c r="S1017" t="str">
        <f t="shared" si="1039"/>
        <v>technology</v>
      </c>
      <c r="T1017" t="str">
        <f t="shared" si="1040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ref="K1018:L1018" si="1095">(J1018/60/60/24)+DATE(1970,1,1)</f>
        <v>42422.107129629629</v>
      </c>
      <c r="L1018" s="11">
        <f t="shared" si="1036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1037"/>
        <v>2.8420000000000001</v>
      </c>
      <c r="R1018" s="7">
        <f t="shared" si="1038"/>
        <v>74.78947368421052</v>
      </c>
      <c r="S1018" t="str">
        <f t="shared" si="1039"/>
        <v>technology</v>
      </c>
      <c r="T1018" t="str">
        <f t="shared" si="1040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ref="K1019:L1019" si="1096">(J1019/60/60/24)+DATE(1970,1,1)</f>
        <v>42289.675173611111</v>
      </c>
      <c r="L1019" s="11">
        <f t="shared" si="1036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1037"/>
        <v>22.878799999999998</v>
      </c>
      <c r="R1019" s="7">
        <f t="shared" si="1038"/>
        <v>161.11830985915492</v>
      </c>
      <c r="S1019" t="str">
        <f t="shared" si="1039"/>
        <v>technology</v>
      </c>
      <c r="T1019" t="str">
        <f t="shared" si="1040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ref="K1020:L1020" si="1097">(J1020/60/60/24)+DATE(1970,1,1)</f>
        <v>42535.492280092592</v>
      </c>
      <c r="L1020" s="11">
        <f t="shared" si="1036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1037"/>
        <v>3.105</v>
      </c>
      <c r="R1020" s="7">
        <f t="shared" si="1038"/>
        <v>88.714285714285708</v>
      </c>
      <c r="S1020" t="str">
        <f t="shared" si="1039"/>
        <v>technology</v>
      </c>
      <c r="T1020" t="str">
        <f t="shared" si="1040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ref="K1021:L1021" si="1098">(J1021/60/60/24)+DATE(1970,1,1)</f>
        <v>42009.973946759259</v>
      </c>
      <c r="L1021" s="11">
        <f t="shared" si="1036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1037"/>
        <v>47.333333333333336</v>
      </c>
      <c r="R1021" s="7">
        <f t="shared" si="1038"/>
        <v>53.25</v>
      </c>
      <c r="S1021" t="str">
        <f t="shared" si="1039"/>
        <v>technology</v>
      </c>
      <c r="T1021" t="str">
        <f t="shared" si="1040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ref="K1022:L1022" si="1099">(J1022/60/60/24)+DATE(1970,1,1)</f>
        <v>42127.069548611107</v>
      </c>
      <c r="L1022" s="11">
        <f t="shared" si="1036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1037"/>
        <v>205.54838709677421</v>
      </c>
      <c r="R1022" s="7">
        <f t="shared" si="1038"/>
        <v>106.2</v>
      </c>
      <c r="S1022" t="str">
        <f t="shared" si="1039"/>
        <v>music</v>
      </c>
      <c r="T1022" t="str">
        <f t="shared" si="1040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ref="K1023:L1023" si="1100">(J1023/60/60/24)+DATE(1970,1,1)</f>
        <v>42271.251979166671</v>
      </c>
      <c r="L1023" s="11">
        <f t="shared" si="1036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1037"/>
        <v>351.80366666666669</v>
      </c>
      <c r="R1023" s="7">
        <f t="shared" si="1038"/>
        <v>22.079728033472804</v>
      </c>
      <c r="S1023" t="str">
        <f t="shared" si="1039"/>
        <v>music</v>
      </c>
      <c r="T1023" t="str">
        <f t="shared" si="1040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ref="K1024:L1024" si="1101">(J1024/60/60/24)+DATE(1970,1,1)</f>
        <v>42111.646724537044</v>
      </c>
      <c r="L1024" s="11">
        <f t="shared" si="1036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1037"/>
        <v>114.9</v>
      </c>
      <c r="R1024" s="7">
        <f t="shared" si="1038"/>
        <v>31.054054054054053</v>
      </c>
      <c r="S1024" t="str">
        <f t="shared" si="1039"/>
        <v>music</v>
      </c>
      <c r="T1024" t="str">
        <f t="shared" si="1040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ref="K1025:L1025" si="1102">(J1025/60/60/24)+DATE(1970,1,1)</f>
        <v>42145.919687500005</v>
      </c>
      <c r="L1025" s="11">
        <f t="shared" si="1036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1037"/>
        <v>237.15</v>
      </c>
      <c r="R1025" s="7">
        <f t="shared" si="1038"/>
        <v>36.206106870229007</v>
      </c>
      <c r="S1025" t="str">
        <f t="shared" si="1039"/>
        <v>music</v>
      </c>
      <c r="T1025" t="str">
        <f t="shared" si="1040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ref="K1026:L1026" si="1103">(J1026/60/60/24)+DATE(1970,1,1)</f>
        <v>42370.580590277779</v>
      </c>
      <c r="L1026" s="11">
        <f t="shared" si="1036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1037"/>
        <v>118.63774999999998</v>
      </c>
      <c r="R1026" s="7">
        <f t="shared" si="1038"/>
        <v>388.9762295081967</v>
      </c>
      <c r="S1026" t="str">
        <f t="shared" si="1039"/>
        <v>music</v>
      </c>
      <c r="T1026" t="str">
        <f t="shared" si="1040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ref="K1027:L1027" si="1104">(J1027/60/60/24)+DATE(1970,1,1)</f>
        <v>42049.833761574075</v>
      </c>
      <c r="L1027" s="11">
        <f t="shared" ref="L1027:L1090" si="1105">(I1027/60/60/24)+DATE(1970,1,1)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1106">(E1027/D1027)*100</f>
        <v>109.92831428571431</v>
      </c>
      <c r="R1027" s="7">
        <f t="shared" ref="R1027:R1090" si="1107">IFERROR(E1027/N1027, 0)</f>
        <v>71.848571428571432</v>
      </c>
      <c r="S1027" t="str">
        <f t="shared" ref="S1027:S1090" si="1108">LEFT(P1027, SEARCH("/", P1027,1)-1)</f>
        <v>music</v>
      </c>
      <c r="T1027" t="str">
        <f t="shared" ref="T1027:T1090" si="1109">RIGHT(P1027,LEN(P1027)-SEARCH("/",P1027,SEARCH("/",P1027)))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ref="K1028:L1028" si="1110">(J1028/60/60/24)+DATE(1970,1,1)</f>
        <v>42426.407592592594</v>
      </c>
      <c r="L1028" s="11">
        <f t="shared" si="110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1106"/>
        <v>100.00828571428571</v>
      </c>
      <c r="R1028" s="7">
        <f t="shared" si="1107"/>
        <v>57.381803278688523</v>
      </c>
      <c r="S1028" t="str">
        <f t="shared" si="1108"/>
        <v>music</v>
      </c>
      <c r="T1028" t="str">
        <f t="shared" si="1109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ref="K1029:L1029" si="1111">(J1029/60/60/24)+DATE(1970,1,1)</f>
        <v>41905.034108796295</v>
      </c>
      <c r="L1029" s="11">
        <f t="shared" si="110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1106"/>
        <v>103.09292094387415</v>
      </c>
      <c r="R1029" s="7">
        <f t="shared" si="1107"/>
        <v>69.666666666666671</v>
      </c>
      <c r="S1029" t="str">
        <f t="shared" si="1108"/>
        <v>music</v>
      </c>
      <c r="T1029" t="str">
        <f t="shared" si="1109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ref="K1030:L1030" si="1112">(J1030/60/60/24)+DATE(1970,1,1)</f>
        <v>42755.627372685187</v>
      </c>
      <c r="L1030" s="11">
        <f t="shared" si="110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1106"/>
        <v>117.27000000000001</v>
      </c>
      <c r="R1030" s="7">
        <f t="shared" si="1107"/>
        <v>45.988235294117644</v>
      </c>
      <c r="S1030" t="str">
        <f t="shared" si="1108"/>
        <v>music</v>
      </c>
      <c r="T1030" t="str">
        <f t="shared" si="1109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ref="K1031:L1031" si="1113">(J1031/60/60/24)+DATE(1970,1,1)</f>
        <v>42044.711886574078</v>
      </c>
      <c r="L1031" s="11">
        <f t="shared" si="110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1106"/>
        <v>111.75999999999999</v>
      </c>
      <c r="R1031" s="7">
        <f t="shared" si="1107"/>
        <v>79.262411347517727</v>
      </c>
      <c r="S1031" t="str">
        <f t="shared" si="1108"/>
        <v>music</v>
      </c>
      <c r="T1031" t="str">
        <f t="shared" si="1109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ref="K1032:L1032" si="1114">(J1032/60/60/24)+DATE(1970,1,1)</f>
        <v>42611.483206018514</v>
      </c>
      <c r="L1032" s="11">
        <f t="shared" si="110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1106"/>
        <v>342.09999999999997</v>
      </c>
      <c r="R1032" s="7">
        <f t="shared" si="1107"/>
        <v>43.031446540880502</v>
      </c>
      <c r="S1032" t="str">
        <f t="shared" si="1108"/>
        <v>music</v>
      </c>
      <c r="T1032" t="str">
        <f t="shared" si="1109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ref="K1033:L1033" si="1115">(J1033/60/60/24)+DATE(1970,1,1)</f>
        <v>42324.764004629629</v>
      </c>
      <c r="L1033" s="11">
        <f t="shared" si="110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1106"/>
        <v>107.4</v>
      </c>
      <c r="R1033" s="7">
        <f t="shared" si="1107"/>
        <v>108.48484848484848</v>
      </c>
      <c r="S1033" t="str">
        <f t="shared" si="1108"/>
        <v>music</v>
      </c>
      <c r="T1033" t="str">
        <f t="shared" si="1109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ref="K1034:L1034" si="1116">(J1034/60/60/24)+DATE(1970,1,1)</f>
        <v>42514.666956018518</v>
      </c>
      <c r="L1034" s="11">
        <f t="shared" si="110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1106"/>
        <v>108.49703703703703</v>
      </c>
      <c r="R1034" s="7">
        <f t="shared" si="1107"/>
        <v>61.029583333333335</v>
      </c>
      <c r="S1034" t="str">
        <f t="shared" si="1108"/>
        <v>music</v>
      </c>
      <c r="T1034" t="str">
        <f t="shared" si="1109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ref="K1035:L1035" si="1117">(J1035/60/60/24)+DATE(1970,1,1)</f>
        <v>42688.732407407413</v>
      </c>
      <c r="L1035" s="11">
        <f t="shared" si="110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1106"/>
        <v>102.86144578313252</v>
      </c>
      <c r="R1035" s="7">
        <f t="shared" si="1107"/>
        <v>50.592592592592595</v>
      </c>
      <c r="S1035" t="str">
        <f t="shared" si="1108"/>
        <v>music</v>
      </c>
      <c r="T1035" t="str">
        <f t="shared" si="1109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ref="K1036:L1036" si="1118">(J1036/60/60/24)+DATE(1970,1,1)</f>
        <v>42555.166712962964</v>
      </c>
      <c r="L1036" s="11">
        <f t="shared" si="110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1106"/>
        <v>130.0018</v>
      </c>
      <c r="R1036" s="7">
        <f t="shared" si="1107"/>
        <v>39.157168674698795</v>
      </c>
      <c r="S1036" t="str">
        <f t="shared" si="1108"/>
        <v>music</v>
      </c>
      <c r="T1036" t="str">
        <f t="shared" si="1109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ref="K1037:L1037" si="1119">(J1037/60/60/24)+DATE(1970,1,1)</f>
        <v>42016.641435185185</v>
      </c>
      <c r="L1037" s="11">
        <f t="shared" si="110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1106"/>
        <v>107.65217391304347</v>
      </c>
      <c r="R1037" s="7">
        <f t="shared" si="1107"/>
        <v>65.15789473684211</v>
      </c>
      <c r="S1037" t="str">
        <f t="shared" si="1108"/>
        <v>music</v>
      </c>
      <c r="T1037" t="str">
        <f t="shared" si="1109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ref="K1038:L1038" si="1120">(J1038/60/60/24)+DATE(1970,1,1)</f>
        <v>41249.448958333334</v>
      </c>
      <c r="L1038" s="11">
        <f t="shared" si="110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1106"/>
        <v>112.36044444444444</v>
      </c>
      <c r="R1038" s="7">
        <f t="shared" si="1107"/>
        <v>23.963127962085309</v>
      </c>
      <c r="S1038" t="str">
        <f t="shared" si="1108"/>
        <v>music</v>
      </c>
      <c r="T1038" t="str">
        <f t="shared" si="1109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ref="K1039:L1039" si="1121">(J1039/60/60/24)+DATE(1970,1,1)</f>
        <v>42119.822476851856</v>
      </c>
      <c r="L1039" s="11">
        <f t="shared" si="110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1106"/>
        <v>102.1</v>
      </c>
      <c r="R1039" s="7">
        <f t="shared" si="1107"/>
        <v>48.61904761904762</v>
      </c>
      <c r="S1039" t="str">
        <f t="shared" si="1108"/>
        <v>music</v>
      </c>
      <c r="T1039" t="str">
        <f t="shared" si="1109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ref="K1040:L1040" si="1122">(J1040/60/60/24)+DATE(1970,1,1)</f>
        <v>42418.231747685189</v>
      </c>
      <c r="L1040" s="11">
        <f t="shared" si="110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1106"/>
        <v>145.33333333333334</v>
      </c>
      <c r="R1040" s="7">
        <f t="shared" si="1107"/>
        <v>35.73770491803279</v>
      </c>
      <c r="S1040" t="str">
        <f t="shared" si="1108"/>
        <v>music</v>
      </c>
      <c r="T1040" t="str">
        <f t="shared" si="1109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ref="K1041:L1041" si="1123">(J1041/60/60/24)+DATE(1970,1,1)</f>
        <v>42692.109328703707</v>
      </c>
      <c r="L1041" s="11">
        <f t="shared" si="110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1106"/>
        <v>128.19999999999999</v>
      </c>
      <c r="R1041" s="7">
        <f t="shared" si="1107"/>
        <v>21.366666666666667</v>
      </c>
      <c r="S1041" t="str">
        <f t="shared" si="1108"/>
        <v>music</v>
      </c>
      <c r="T1041" t="str">
        <f t="shared" si="1109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ref="K1042:L1042" si="1124">(J1042/60/60/24)+DATE(1970,1,1)</f>
        <v>42579.708437499998</v>
      </c>
      <c r="L1042" s="11">
        <f t="shared" si="110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1106"/>
        <v>0.29411764705882354</v>
      </c>
      <c r="R1042" s="7">
        <f t="shared" si="1107"/>
        <v>250</v>
      </c>
      <c r="S1042" t="str">
        <f t="shared" si="1108"/>
        <v>journalism</v>
      </c>
      <c r="T1042" t="str">
        <f t="shared" si="1109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ref="K1043:L1043" si="1125">(J1043/60/60/24)+DATE(1970,1,1)</f>
        <v>41831.060092592597</v>
      </c>
      <c r="L1043" s="11">
        <f t="shared" si="110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1106"/>
        <v>0</v>
      </c>
      <c r="R1043" s="7">
        <f t="shared" si="1107"/>
        <v>0</v>
      </c>
      <c r="S1043" t="str">
        <f t="shared" si="1108"/>
        <v>journalism</v>
      </c>
      <c r="T1043" t="str">
        <f t="shared" si="1109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ref="K1044:L1044" si="1126">(J1044/60/60/24)+DATE(1970,1,1)</f>
        <v>41851.696157407408</v>
      </c>
      <c r="L1044" s="11">
        <f t="shared" si="110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1106"/>
        <v>1.5384615384615385</v>
      </c>
      <c r="R1044" s="7">
        <f t="shared" si="1107"/>
        <v>10</v>
      </c>
      <c r="S1044" t="str">
        <f t="shared" si="1108"/>
        <v>journalism</v>
      </c>
      <c r="T1044" t="str">
        <f t="shared" si="1109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ref="K1045:L1045" si="1127">(J1045/60/60/24)+DATE(1970,1,1)</f>
        <v>42114.252951388888</v>
      </c>
      <c r="L1045" s="11">
        <f t="shared" si="110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1106"/>
        <v>8.5370000000000008</v>
      </c>
      <c r="R1045" s="7">
        <f t="shared" si="1107"/>
        <v>29.236301369863014</v>
      </c>
      <c r="S1045" t="str">
        <f t="shared" si="1108"/>
        <v>journalism</v>
      </c>
      <c r="T1045" t="str">
        <f t="shared" si="1109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ref="K1046:L1046" si="1128">(J1046/60/60/24)+DATE(1970,1,1)</f>
        <v>42011.925937499997</v>
      </c>
      <c r="L1046" s="11">
        <f t="shared" si="110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1106"/>
        <v>8.5714285714285715E-2</v>
      </c>
      <c r="R1046" s="7">
        <f t="shared" si="1107"/>
        <v>3</v>
      </c>
      <c r="S1046" t="str">
        <f t="shared" si="1108"/>
        <v>journalism</v>
      </c>
      <c r="T1046" t="str">
        <f t="shared" si="1109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ref="K1047:L1047" si="1129">(J1047/60/60/24)+DATE(1970,1,1)</f>
        <v>41844.874421296299</v>
      </c>
      <c r="L1047" s="11">
        <f t="shared" si="110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1106"/>
        <v>2.6599999999999997</v>
      </c>
      <c r="R1047" s="7">
        <f t="shared" si="1107"/>
        <v>33.25</v>
      </c>
      <c r="S1047" t="str">
        <f t="shared" si="1108"/>
        <v>journalism</v>
      </c>
      <c r="T1047" t="str">
        <f t="shared" si="1109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ref="K1048:L1048" si="1130">(J1048/60/60/24)+DATE(1970,1,1)</f>
        <v>42319.851388888885</v>
      </c>
      <c r="L1048" s="11">
        <f t="shared" si="110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1106"/>
        <v>0</v>
      </c>
      <c r="R1048" s="7">
        <f t="shared" si="1107"/>
        <v>0</v>
      </c>
      <c r="S1048" t="str">
        <f t="shared" si="1108"/>
        <v>journalism</v>
      </c>
      <c r="T1048" t="str">
        <f t="shared" si="1109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ref="K1049:L1049" si="1131">(J1049/60/60/24)+DATE(1970,1,1)</f>
        <v>41918.818460648145</v>
      </c>
      <c r="L1049" s="11">
        <f t="shared" si="110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1106"/>
        <v>0.05</v>
      </c>
      <c r="R1049" s="7">
        <f t="shared" si="1107"/>
        <v>1</v>
      </c>
      <c r="S1049" t="str">
        <f t="shared" si="1108"/>
        <v>journalism</v>
      </c>
      <c r="T1049" t="str">
        <f t="shared" si="1109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ref="K1050:L1050" si="1132">(J1050/60/60/24)+DATE(1970,1,1)</f>
        <v>42598.053113425922</v>
      </c>
      <c r="L1050" s="11">
        <f t="shared" si="110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1106"/>
        <v>1.4133333333333333</v>
      </c>
      <c r="R1050" s="7">
        <f t="shared" si="1107"/>
        <v>53</v>
      </c>
      <c r="S1050" t="str">
        <f t="shared" si="1108"/>
        <v>journalism</v>
      </c>
      <c r="T1050" t="str">
        <f t="shared" si="1109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ref="K1051:L1051" si="1133">(J1051/60/60/24)+DATE(1970,1,1)</f>
        <v>42382.431076388893</v>
      </c>
      <c r="L1051" s="11">
        <f t="shared" si="110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1106"/>
        <v>0</v>
      </c>
      <c r="R1051" s="7">
        <f t="shared" si="1107"/>
        <v>0</v>
      </c>
      <c r="S1051" t="str">
        <f t="shared" si="1108"/>
        <v>journalism</v>
      </c>
      <c r="T1051" t="str">
        <f t="shared" si="1109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ref="K1052:L1052" si="1134">(J1052/60/60/24)+DATE(1970,1,1)</f>
        <v>42231.7971875</v>
      </c>
      <c r="L1052" s="11">
        <f t="shared" si="110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1106"/>
        <v>0</v>
      </c>
      <c r="R1052" s="7">
        <f t="shared" si="1107"/>
        <v>0</v>
      </c>
      <c r="S1052" t="str">
        <f t="shared" si="1108"/>
        <v>journalism</v>
      </c>
      <c r="T1052" t="str">
        <f t="shared" si="1109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ref="K1053:L1053" si="1135">(J1053/60/60/24)+DATE(1970,1,1)</f>
        <v>41850.014178240745</v>
      </c>
      <c r="L1053" s="11">
        <f t="shared" si="110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1106"/>
        <v>0</v>
      </c>
      <c r="R1053" s="7">
        <f t="shared" si="1107"/>
        <v>0</v>
      </c>
      <c r="S1053" t="str">
        <f t="shared" si="1108"/>
        <v>journalism</v>
      </c>
      <c r="T1053" t="str">
        <f t="shared" si="1109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ref="K1054:L1054" si="1136">(J1054/60/60/24)+DATE(1970,1,1)</f>
        <v>42483.797395833331</v>
      </c>
      <c r="L1054" s="11">
        <f t="shared" si="110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1106"/>
        <v>0</v>
      </c>
      <c r="R1054" s="7">
        <f t="shared" si="1107"/>
        <v>0</v>
      </c>
      <c r="S1054" t="str">
        <f t="shared" si="1108"/>
        <v>journalism</v>
      </c>
      <c r="T1054" t="str">
        <f t="shared" si="1109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ref="K1055:L1055" si="1137">(J1055/60/60/24)+DATE(1970,1,1)</f>
        <v>42775.172824074078</v>
      </c>
      <c r="L1055" s="11">
        <f t="shared" si="110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1106"/>
        <v>1</v>
      </c>
      <c r="R1055" s="7">
        <f t="shared" si="1107"/>
        <v>15</v>
      </c>
      <c r="S1055" t="str">
        <f t="shared" si="1108"/>
        <v>journalism</v>
      </c>
      <c r="T1055" t="str">
        <f t="shared" si="1109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ref="K1056:L1056" si="1138">(J1056/60/60/24)+DATE(1970,1,1)</f>
        <v>41831.851840277777</v>
      </c>
      <c r="L1056" s="11">
        <f t="shared" si="110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1106"/>
        <v>0</v>
      </c>
      <c r="R1056" s="7">
        <f t="shared" si="1107"/>
        <v>0</v>
      </c>
      <c r="S1056" t="str">
        <f t="shared" si="1108"/>
        <v>journalism</v>
      </c>
      <c r="T1056" t="str">
        <f t="shared" si="1109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ref="K1057:L1057" si="1139">(J1057/60/60/24)+DATE(1970,1,1)</f>
        <v>42406.992418981477</v>
      </c>
      <c r="L1057" s="11">
        <f t="shared" si="110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1106"/>
        <v>0</v>
      </c>
      <c r="R1057" s="7">
        <f t="shared" si="1107"/>
        <v>0</v>
      </c>
      <c r="S1057" t="str">
        <f t="shared" si="1108"/>
        <v>journalism</v>
      </c>
      <c r="T1057" t="str">
        <f t="shared" si="1109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ref="K1058:L1058" si="1140">(J1058/60/60/24)+DATE(1970,1,1)</f>
        <v>42058.719641203701</v>
      </c>
      <c r="L1058" s="11">
        <f t="shared" si="110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1106"/>
        <v>0</v>
      </c>
      <c r="R1058" s="7">
        <f t="shared" si="1107"/>
        <v>0</v>
      </c>
      <c r="S1058" t="str">
        <f t="shared" si="1108"/>
        <v>journalism</v>
      </c>
      <c r="T1058" t="str">
        <f t="shared" si="1109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ref="K1059:L1059" si="1141">(J1059/60/60/24)+DATE(1970,1,1)</f>
        <v>42678.871331018512</v>
      </c>
      <c r="L1059" s="11">
        <f t="shared" si="110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1106"/>
        <v>0</v>
      </c>
      <c r="R1059" s="7">
        <f t="shared" si="1107"/>
        <v>0</v>
      </c>
      <c r="S1059" t="str">
        <f t="shared" si="1108"/>
        <v>journalism</v>
      </c>
      <c r="T1059" t="str">
        <f t="shared" si="1109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ref="K1060:L1060" si="1142">(J1060/60/60/24)+DATE(1970,1,1)</f>
        <v>42047.900960648149</v>
      </c>
      <c r="L1060" s="11">
        <f t="shared" si="1105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1106"/>
        <v>0</v>
      </c>
      <c r="R1060" s="7">
        <f t="shared" si="1107"/>
        <v>0</v>
      </c>
      <c r="S1060" t="str">
        <f t="shared" si="1108"/>
        <v>journalism</v>
      </c>
      <c r="T1060" t="str">
        <f t="shared" si="1109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ref="K1061:L1061" si="1143">(J1061/60/60/24)+DATE(1970,1,1)</f>
        <v>42046.79</v>
      </c>
      <c r="L1061" s="11">
        <f t="shared" si="110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1106"/>
        <v>0</v>
      </c>
      <c r="R1061" s="7">
        <f t="shared" si="1107"/>
        <v>0</v>
      </c>
      <c r="S1061" t="str">
        <f t="shared" si="1108"/>
        <v>journalism</v>
      </c>
      <c r="T1061" t="str">
        <f t="shared" si="1109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ref="K1062:L1062" si="1144">(J1062/60/60/24)+DATE(1970,1,1)</f>
        <v>42079.913113425922</v>
      </c>
      <c r="L1062" s="11">
        <f t="shared" si="110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1106"/>
        <v>1</v>
      </c>
      <c r="R1062" s="7">
        <f t="shared" si="1107"/>
        <v>50</v>
      </c>
      <c r="S1062" t="str">
        <f t="shared" si="1108"/>
        <v>journalism</v>
      </c>
      <c r="T1062" t="str">
        <f t="shared" si="1109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ref="K1063:L1063" si="1145">(J1063/60/60/24)+DATE(1970,1,1)</f>
        <v>42432.276712962965</v>
      </c>
      <c r="L1063" s="11">
        <f t="shared" si="110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1106"/>
        <v>0</v>
      </c>
      <c r="R1063" s="7">
        <f t="shared" si="1107"/>
        <v>0</v>
      </c>
      <c r="S1063" t="str">
        <f t="shared" si="1108"/>
        <v>journalism</v>
      </c>
      <c r="T1063" t="str">
        <f t="shared" si="1109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ref="K1064:L1064" si="1146">(J1064/60/60/24)+DATE(1970,1,1)</f>
        <v>42556.807187500002</v>
      </c>
      <c r="L1064" s="11">
        <f t="shared" si="110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1106"/>
        <v>95.477386934673376</v>
      </c>
      <c r="R1064" s="7">
        <f t="shared" si="1107"/>
        <v>47.5</v>
      </c>
      <c r="S1064" t="str">
        <f t="shared" si="1108"/>
        <v>journalism</v>
      </c>
      <c r="T1064" t="str">
        <f t="shared" si="1109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ref="K1065:L1065" si="1147">(J1065/60/60/24)+DATE(1970,1,1)</f>
        <v>42583.030810185184</v>
      </c>
      <c r="L1065" s="11">
        <f t="shared" si="110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1106"/>
        <v>0</v>
      </c>
      <c r="R1065" s="7">
        <f t="shared" si="1107"/>
        <v>0</v>
      </c>
      <c r="S1065" t="str">
        <f t="shared" si="1108"/>
        <v>journalism</v>
      </c>
      <c r="T1065" t="str">
        <f t="shared" si="1109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ref="K1066:L1066" si="1148">(J1066/60/60/24)+DATE(1970,1,1)</f>
        <v>41417.228043981479</v>
      </c>
      <c r="L1066" s="11">
        <f t="shared" si="110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1106"/>
        <v>8.974444444444444</v>
      </c>
      <c r="R1066" s="7">
        <f t="shared" si="1107"/>
        <v>65.666666666666671</v>
      </c>
      <c r="S1066" t="str">
        <f t="shared" si="1108"/>
        <v>games</v>
      </c>
      <c r="T1066" t="str">
        <f t="shared" si="1109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ref="K1067:L1067" si="1149">(J1067/60/60/24)+DATE(1970,1,1)</f>
        <v>41661.381041666667</v>
      </c>
      <c r="L1067" s="11">
        <f t="shared" si="110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1106"/>
        <v>2.7</v>
      </c>
      <c r="R1067" s="7">
        <f t="shared" si="1107"/>
        <v>16.2</v>
      </c>
      <c r="S1067" t="str">
        <f t="shared" si="1108"/>
        <v>games</v>
      </c>
      <c r="T1067" t="str">
        <f t="shared" si="1109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ref="K1068:L1068" si="1150">(J1068/60/60/24)+DATE(1970,1,1)</f>
        <v>41445.962754629632</v>
      </c>
      <c r="L1068" s="11">
        <f t="shared" si="110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1106"/>
        <v>3.3673333333333333</v>
      </c>
      <c r="R1068" s="7">
        <f t="shared" si="1107"/>
        <v>34.128378378378379</v>
      </c>
      <c r="S1068" t="str">
        <f t="shared" si="1108"/>
        <v>games</v>
      </c>
      <c r="T1068" t="str">
        <f t="shared" si="1109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ref="K1069:L1069" si="1151">(J1069/60/60/24)+DATE(1970,1,1)</f>
        <v>41599.855682870373</v>
      </c>
      <c r="L1069" s="11">
        <f t="shared" si="110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1106"/>
        <v>26</v>
      </c>
      <c r="R1069" s="7">
        <f t="shared" si="1107"/>
        <v>13</v>
      </c>
      <c r="S1069" t="str">
        <f t="shared" si="1108"/>
        <v>games</v>
      </c>
      <c r="T1069" t="str">
        <f t="shared" si="1109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ref="K1070:L1070" si="1152">(J1070/60/60/24)+DATE(1970,1,1)</f>
        <v>42440.371111111104</v>
      </c>
      <c r="L1070" s="11">
        <f t="shared" si="110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1106"/>
        <v>0.15</v>
      </c>
      <c r="R1070" s="7">
        <f t="shared" si="1107"/>
        <v>11.25</v>
      </c>
      <c r="S1070" t="str">
        <f t="shared" si="1108"/>
        <v>games</v>
      </c>
      <c r="T1070" t="str">
        <f t="shared" si="1109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ref="K1071:L1071" si="1153">(J1071/60/60/24)+DATE(1970,1,1)</f>
        <v>41572.229849537034</v>
      </c>
      <c r="L1071" s="11">
        <f t="shared" si="110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1106"/>
        <v>38.636363636363633</v>
      </c>
      <c r="R1071" s="7">
        <f t="shared" si="1107"/>
        <v>40.476190476190474</v>
      </c>
      <c r="S1071" t="str">
        <f t="shared" si="1108"/>
        <v>games</v>
      </c>
      <c r="T1071" t="str">
        <f t="shared" si="1109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ref="K1072:L1072" si="1154">(J1072/60/60/24)+DATE(1970,1,1)</f>
        <v>41163.011828703704</v>
      </c>
      <c r="L1072" s="11">
        <f t="shared" si="110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1106"/>
        <v>0.70000000000000007</v>
      </c>
      <c r="R1072" s="7">
        <f t="shared" si="1107"/>
        <v>35</v>
      </c>
      <c r="S1072" t="str">
        <f t="shared" si="1108"/>
        <v>games</v>
      </c>
      <c r="T1072" t="str">
        <f t="shared" si="1109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ref="K1073:L1073" si="1155">(J1073/60/60/24)+DATE(1970,1,1)</f>
        <v>42295.753391203703</v>
      </c>
      <c r="L1073" s="11">
        <f t="shared" si="110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1106"/>
        <v>0</v>
      </c>
      <c r="R1073" s="7">
        <f t="shared" si="1107"/>
        <v>0</v>
      </c>
      <c r="S1073" t="str">
        <f t="shared" si="1108"/>
        <v>games</v>
      </c>
      <c r="T1073" t="str">
        <f t="shared" si="1109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ref="K1074:L1074" si="1156">(J1074/60/60/24)+DATE(1970,1,1)</f>
        <v>41645.832141203704</v>
      </c>
      <c r="L1074" s="11">
        <f t="shared" si="110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1106"/>
        <v>6.8000000000000005E-2</v>
      </c>
      <c r="R1074" s="7">
        <f t="shared" si="1107"/>
        <v>12.75</v>
      </c>
      <c r="S1074" t="str">
        <f t="shared" si="1108"/>
        <v>games</v>
      </c>
      <c r="T1074" t="str">
        <f t="shared" si="1109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ref="K1075:L1075" si="1157">(J1075/60/60/24)+DATE(1970,1,1)</f>
        <v>40802.964594907404</v>
      </c>
      <c r="L1075" s="11">
        <f t="shared" si="110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1106"/>
        <v>1.3333333333333335</v>
      </c>
      <c r="R1075" s="7">
        <f t="shared" si="1107"/>
        <v>10</v>
      </c>
      <c r="S1075" t="str">
        <f t="shared" si="1108"/>
        <v>games</v>
      </c>
      <c r="T1075" t="str">
        <f t="shared" si="1109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ref="K1076:L1076" si="1158">(J1076/60/60/24)+DATE(1970,1,1)</f>
        <v>41613.172974537039</v>
      </c>
      <c r="L1076" s="11">
        <f t="shared" si="110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1106"/>
        <v>6.3092592592592585</v>
      </c>
      <c r="R1076" s="7">
        <f t="shared" si="1107"/>
        <v>113.56666666666666</v>
      </c>
      <c r="S1076" t="str">
        <f t="shared" si="1108"/>
        <v>games</v>
      </c>
      <c r="T1076" t="str">
        <f t="shared" si="1109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ref="K1077:L1077" si="1159">(J1077/60/60/24)+DATE(1970,1,1)</f>
        <v>41005.904120370367</v>
      </c>
      <c r="L1077" s="11">
        <f t="shared" si="110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1106"/>
        <v>4.5</v>
      </c>
      <c r="R1077" s="7">
        <f t="shared" si="1107"/>
        <v>15</v>
      </c>
      <c r="S1077" t="str">
        <f t="shared" si="1108"/>
        <v>games</v>
      </c>
      <c r="T1077" t="str">
        <f t="shared" si="1109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ref="K1078:L1078" si="1160">(J1078/60/60/24)+DATE(1970,1,1)</f>
        <v>41838.377893518518</v>
      </c>
      <c r="L1078" s="11">
        <f t="shared" si="110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1106"/>
        <v>62.765333333333331</v>
      </c>
      <c r="R1078" s="7">
        <f t="shared" si="1107"/>
        <v>48.281025641025643</v>
      </c>
      <c r="S1078" t="str">
        <f t="shared" si="1108"/>
        <v>games</v>
      </c>
      <c r="T1078" t="str">
        <f t="shared" si="1109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ref="K1079:L1079" si="1161">(J1079/60/60/24)+DATE(1970,1,1)</f>
        <v>42353.16679398148</v>
      </c>
      <c r="L1079" s="11">
        <f t="shared" si="110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1106"/>
        <v>29.376000000000001</v>
      </c>
      <c r="R1079" s="7">
        <f t="shared" si="1107"/>
        <v>43.976047904191617</v>
      </c>
      <c r="S1079" t="str">
        <f t="shared" si="1108"/>
        <v>games</v>
      </c>
      <c r="T1079" t="str">
        <f t="shared" si="1109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ref="K1080:L1080" si="1162">(J1080/60/60/24)+DATE(1970,1,1)</f>
        <v>40701.195844907408</v>
      </c>
      <c r="L1080" s="11">
        <f t="shared" si="110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1106"/>
        <v>7.5</v>
      </c>
      <c r="R1080" s="7">
        <f t="shared" si="1107"/>
        <v>9</v>
      </c>
      <c r="S1080" t="str">
        <f t="shared" si="1108"/>
        <v>games</v>
      </c>
      <c r="T1080" t="str">
        <f t="shared" si="1109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ref="K1081:L1081" si="1163">(J1081/60/60/24)+DATE(1970,1,1)</f>
        <v>42479.566388888896</v>
      </c>
      <c r="L1081" s="11">
        <f t="shared" si="110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1106"/>
        <v>2.6076923076923078</v>
      </c>
      <c r="R1081" s="7">
        <f t="shared" si="1107"/>
        <v>37.666666666666664</v>
      </c>
      <c r="S1081" t="str">
        <f t="shared" si="1108"/>
        <v>games</v>
      </c>
      <c r="T1081" t="str">
        <f t="shared" si="1109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ref="K1082:L1082" si="1164">(J1082/60/60/24)+DATE(1970,1,1)</f>
        <v>41740.138113425928</v>
      </c>
      <c r="L1082" s="11">
        <f t="shared" si="110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1106"/>
        <v>9.1050000000000004</v>
      </c>
      <c r="R1082" s="7">
        <f t="shared" si="1107"/>
        <v>18.581632653061224</v>
      </c>
      <c r="S1082" t="str">
        <f t="shared" si="1108"/>
        <v>games</v>
      </c>
      <c r="T1082" t="str">
        <f t="shared" si="1109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ref="K1083:L1083" si="1165">(J1083/60/60/24)+DATE(1970,1,1)</f>
        <v>42002.926990740743</v>
      </c>
      <c r="L1083" s="11">
        <f t="shared" si="110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1106"/>
        <v>1.7647058823529412E-2</v>
      </c>
      <c r="R1083" s="7">
        <f t="shared" si="1107"/>
        <v>3</v>
      </c>
      <c r="S1083" t="str">
        <f t="shared" si="1108"/>
        <v>games</v>
      </c>
      <c r="T1083" t="str">
        <f t="shared" si="1109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ref="K1084:L1084" si="1166">(J1084/60/60/24)+DATE(1970,1,1)</f>
        <v>41101.906111111115</v>
      </c>
      <c r="L1084" s="11">
        <f t="shared" si="110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1106"/>
        <v>0.55999999999999994</v>
      </c>
      <c r="R1084" s="7">
        <f t="shared" si="1107"/>
        <v>18.666666666666668</v>
      </c>
      <c r="S1084" t="str">
        <f t="shared" si="1108"/>
        <v>games</v>
      </c>
      <c r="T1084" t="str">
        <f t="shared" si="1109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ref="K1085:L1085" si="1167">(J1085/60/60/24)+DATE(1970,1,1)</f>
        <v>41793.659525462965</v>
      </c>
      <c r="L1085" s="11">
        <f t="shared" si="110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1106"/>
        <v>0.82000000000000006</v>
      </c>
      <c r="R1085" s="7">
        <f t="shared" si="1107"/>
        <v>410</v>
      </c>
      <c r="S1085" t="str">
        <f t="shared" si="1108"/>
        <v>games</v>
      </c>
      <c r="T1085" t="str">
        <f t="shared" si="1109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ref="K1086:L1086" si="1168">(J1086/60/60/24)+DATE(1970,1,1)</f>
        <v>41829.912083333329</v>
      </c>
      <c r="L1086" s="11">
        <f t="shared" si="110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1106"/>
        <v>0</v>
      </c>
      <c r="R1086" s="7">
        <f t="shared" si="1107"/>
        <v>0</v>
      </c>
      <c r="S1086" t="str">
        <f t="shared" si="1108"/>
        <v>games</v>
      </c>
      <c r="T1086" t="str">
        <f t="shared" si="1109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ref="K1087:L1087" si="1169">(J1087/60/60/24)+DATE(1970,1,1)</f>
        <v>42413.671006944445</v>
      </c>
      <c r="L1087" s="11">
        <f t="shared" si="110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1106"/>
        <v>3.42</v>
      </c>
      <c r="R1087" s="7">
        <f t="shared" si="1107"/>
        <v>114</v>
      </c>
      <c r="S1087" t="str">
        <f t="shared" si="1108"/>
        <v>games</v>
      </c>
      <c r="T1087" t="str">
        <f t="shared" si="1109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ref="K1088:L1088" si="1170">(J1088/60/60/24)+DATE(1970,1,1)</f>
        <v>41845.866793981484</v>
      </c>
      <c r="L1088" s="11">
        <f t="shared" si="110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1106"/>
        <v>8.3333333333333343E-2</v>
      </c>
      <c r="R1088" s="7">
        <f t="shared" si="1107"/>
        <v>7.5</v>
      </c>
      <c r="S1088" t="str">
        <f t="shared" si="1108"/>
        <v>games</v>
      </c>
      <c r="T1088" t="str">
        <f t="shared" si="1109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ref="K1089:L1089" si="1171">(J1089/60/60/24)+DATE(1970,1,1)</f>
        <v>41775.713969907411</v>
      </c>
      <c r="L1089" s="11">
        <f t="shared" si="110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1106"/>
        <v>0</v>
      </c>
      <c r="R1089" s="7">
        <f t="shared" si="1107"/>
        <v>0</v>
      </c>
      <c r="S1089" t="str">
        <f t="shared" si="1108"/>
        <v>games</v>
      </c>
      <c r="T1089" t="str">
        <f t="shared" si="1109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ref="K1090:L1090" si="1172">(J1090/60/60/24)+DATE(1970,1,1)</f>
        <v>41723.799386574072</v>
      </c>
      <c r="L1090" s="11">
        <f t="shared" si="110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1106"/>
        <v>14.182977777777777</v>
      </c>
      <c r="R1090" s="7">
        <f t="shared" si="1107"/>
        <v>43.41727891156463</v>
      </c>
      <c r="S1090" t="str">
        <f t="shared" si="1108"/>
        <v>games</v>
      </c>
      <c r="T1090" t="str">
        <f t="shared" si="1109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ref="K1091:L1091" si="1173">(J1091/60/60/24)+DATE(1970,1,1)</f>
        <v>42151.189525462964</v>
      </c>
      <c r="L1091" s="11">
        <f t="shared" ref="L1091:L1154" si="1174">(I1091/60/60/24)+DATE(1970,1,1)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175">(E1091/D1091)*100</f>
        <v>7.8266666666666662</v>
      </c>
      <c r="R1091" s="7">
        <f t="shared" ref="R1091:R1154" si="1176">IFERROR(E1091/N1091, 0)</f>
        <v>23.959183673469386</v>
      </c>
      <c r="S1091" t="str">
        <f t="shared" ref="S1091:S1154" si="1177">LEFT(P1091, SEARCH("/", P1091,1)-1)</f>
        <v>games</v>
      </c>
      <c r="T1091" t="str">
        <f t="shared" ref="T1091:T1154" si="1178">RIGHT(P1091,LEN(P1091)-SEARCH("/",P1091,SEARCH("/",P1091)))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ref="K1092:L1092" si="1179">(J1092/60/60/24)+DATE(1970,1,1)</f>
        <v>42123.185798611114</v>
      </c>
      <c r="L1092" s="11">
        <f t="shared" si="1174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175"/>
        <v>3.8464497269020695E-2</v>
      </c>
      <c r="R1092" s="7">
        <f t="shared" si="1176"/>
        <v>5</v>
      </c>
      <c r="S1092" t="str">
        <f t="shared" si="1177"/>
        <v>games</v>
      </c>
      <c r="T1092" t="str">
        <f t="shared" si="1178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ref="K1093:L1093" si="1180">(J1093/60/60/24)+DATE(1970,1,1)</f>
        <v>42440.820277777777</v>
      </c>
      <c r="L1093" s="11">
        <f t="shared" si="1174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175"/>
        <v>12.5</v>
      </c>
      <c r="R1093" s="7">
        <f t="shared" si="1176"/>
        <v>12.5</v>
      </c>
      <c r="S1093" t="str">
        <f t="shared" si="1177"/>
        <v>games</v>
      </c>
      <c r="T1093" t="str">
        <f t="shared" si="1178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ref="K1094:L1094" si="1181">(J1094/60/60/24)+DATE(1970,1,1)</f>
        <v>41250.025902777779</v>
      </c>
      <c r="L1094" s="11">
        <f t="shared" si="1174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175"/>
        <v>1.05</v>
      </c>
      <c r="R1094" s="7">
        <f t="shared" si="1176"/>
        <v>3</v>
      </c>
      <c r="S1094" t="str">
        <f t="shared" si="1177"/>
        <v>games</v>
      </c>
      <c r="T1094" t="str">
        <f t="shared" si="1178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ref="K1095:L1095" si="1182">(J1095/60/60/24)+DATE(1970,1,1)</f>
        <v>42396.973807870367</v>
      </c>
      <c r="L1095" s="11">
        <f t="shared" si="1174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175"/>
        <v>14.083333333333334</v>
      </c>
      <c r="R1095" s="7">
        <f t="shared" si="1176"/>
        <v>10.5625</v>
      </c>
      <c r="S1095" t="str">
        <f t="shared" si="1177"/>
        <v>games</v>
      </c>
      <c r="T1095" t="str">
        <f t="shared" si="1178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ref="K1096:L1096" si="1183">(J1096/60/60/24)+DATE(1970,1,1)</f>
        <v>40795.713344907403</v>
      </c>
      <c r="L1096" s="11">
        <f t="shared" si="1174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175"/>
        <v>18.300055555555556</v>
      </c>
      <c r="R1096" s="7">
        <f t="shared" si="1176"/>
        <v>122.00037037037038</v>
      </c>
      <c r="S1096" t="str">
        <f t="shared" si="1177"/>
        <v>games</v>
      </c>
      <c r="T1096" t="str">
        <f t="shared" si="1178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ref="K1097:L1097" si="1184">(J1097/60/60/24)+DATE(1970,1,1)</f>
        <v>41486.537268518521</v>
      </c>
      <c r="L1097" s="11">
        <f t="shared" si="1174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175"/>
        <v>5.0347999999999997</v>
      </c>
      <c r="R1097" s="7">
        <f t="shared" si="1176"/>
        <v>267.80851063829789</v>
      </c>
      <c r="S1097" t="str">
        <f t="shared" si="1177"/>
        <v>games</v>
      </c>
      <c r="T1097" t="str">
        <f t="shared" si="1178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ref="K1098:L1098" si="1185">(J1098/60/60/24)+DATE(1970,1,1)</f>
        <v>41885.51798611111</v>
      </c>
      <c r="L1098" s="11">
        <f t="shared" si="1174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175"/>
        <v>17.933333333333334</v>
      </c>
      <c r="R1098" s="7">
        <f t="shared" si="1176"/>
        <v>74.206896551724142</v>
      </c>
      <c r="S1098" t="str">
        <f t="shared" si="1177"/>
        <v>games</v>
      </c>
      <c r="T1098" t="str">
        <f t="shared" si="1178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ref="K1099:L1099" si="1186">(J1099/60/60/24)+DATE(1970,1,1)</f>
        <v>41660.792557870373</v>
      </c>
      <c r="L1099" s="11">
        <f t="shared" si="1174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175"/>
        <v>4.7E-2</v>
      </c>
      <c r="R1099" s="7">
        <f t="shared" si="1176"/>
        <v>6.7142857142857144</v>
      </c>
      <c r="S1099" t="str">
        <f t="shared" si="1177"/>
        <v>games</v>
      </c>
      <c r="T1099" t="str">
        <f t="shared" si="1178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ref="K1100:L1100" si="1187">(J1100/60/60/24)+DATE(1970,1,1)</f>
        <v>41712.762673611112</v>
      </c>
      <c r="L1100" s="11">
        <f t="shared" si="1174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175"/>
        <v>7.2120000000000006</v>
      </c>
      <c r="R1100" s="7">
        <f t="shared" si="1176"/>
        <v>81.954545454545453</v>
      </c>
      <c r="S1100" t="str">
        <f t="shared" si="1177"/>
        <v>games</v>
      </c>
      <c r="T1100" t="str">
        <f t="shared" si="1178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ref="K1101:L1101" si="1188">(J1101/60/60/24)+DATE(1970,1,1)</f>
        <v>42107.836435185185</v>
      </c>
      <c r="L1101" s="11">
        <f t="shared" si="1174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175"/>
        <v>0.5</v>
      </c>
      <c r="R1101" s="7">
        <f t="shared" si="1176"/>
        <v>25</v>
      </c>
      <c r="S1101" t="str">
        <f t="shared" si="1177"/>
        <v>games</v>
      </c>
      <c r="T1101" t="str">
        <f t="shared" si="1178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ref="K1102:L1102" si="1189">(J1102/60/60/24)+DATE(1970,1,1)</f>
        <v>42384.110775462963</v>
      </c>
      <c r="L1102" s="11">
        <f t="shared" si="1174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175"/>
        <v>2.5</v>
      </c>
      <c r="R1102" s="7">
        <f t="shared" si="1176"/>
        <v>10</v>
      </c>
      <c r="S1102" t="str">
        <f t="shared" si="1177"/>
        <v>games</v>
      </c>
      <c r="T1102" t="str">
        <f t="shared" si="1178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ref="K1103:L1103" si="1190">(J1103/60/60/24)+DATE(1970,1,1)</f>
        <v>42538.77243055556</v>
      </c>
      <c r="L1103" s="11">
        <f t="shared" si="1174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175"/>
        <v>4.1000000000000002E-2</v>
      </c>
      <c r="R1103" s="7">
        <f t="shared" si="1176"/>
        <v>6.833333333333333</v>
      </c>
      <c r="S1103" t="str">
        <f t="shared" si="1177"/>
        <v>games</v>
      </c>
      <c r="T1103" t="str">
        <f t="shared" si="1178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ref="K1104:L1104" si="1191">(J1104/60/60/24)+DATE(1970,1,1)</f>
        <v>41577.045428240745</v>
      </c>
      <c r="L1104" s="11">
        <f t="shared" si="1174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175"/>
        <v>5.3125</v>
      </c>
      <c r="R1104" s="7">
        <f t="shared" si="1176"/>
        <v>17.708333333333332</v>
      </c>
      <c r="S1104" t="str">
        <f t="shared" si="1177"/>
        <v>games</v>
      </c>
      <c r="T1104" t="str">
        <f t="shared" si="1178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ref="K1105:L1105" si="1192">(J1105/60/60/24)+DATE(1970,1,1)</f>
        <v>42479.22210648148</v>
      </c>
      <c r="L1105" s="11">
        <f t="shared" si="1174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175"/>
        <v>1.6199999999999999</v>
      </c>
      <c r="R1105" s="7">
        <f t="shared" si="1176"/>
        <v>16.2</v>
      </c>
      <c r="S1105" t="str">
        <f t="shared" si="1177"/>
        <v>games</v>
      </c>
      <c r="T1105" t="str">
        <f t="shared" si="1178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ref="K1106:L1106" si="1193">(J1106/60/60/24)+DATE(1970,1,1)</f>
        <v>41771.40996527778</v>
      </c>
      <c r="L1106" s="11">
        <f t="shared" si="1174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175"/>
        <v>4.9516666666666671</v>
      </c>
      <c r="R1106" s="7">
        <f t="shared" si="1176"/>
        <v>80.297297297297291</v>
      </c>
      <c r="S1106" t="str">
        <f t="shared" si="1177"/>
        <v>games</v>
      </c>
      <c r="T1106" t="str">
        <f t="shared" si="1178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ref="K1107:L1107" si="1194">(J1107/60/60/24)+DATE(1970,1,1)</f>
        <v>41692.135729166665</v>
      </c>
      <c r="L1107" s="11">
        <f t="shared" si="1174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175"/>
        <v>0.159</v>
      </c>
      <c r="R1107" s="7">
        <f t="shared" si="1176"/>
        <v>71.55</v>
      </c>
      <c r="S1107" t="str">
        <f t="shared" si="1177"/>
        <v>games</v>
      </c>
      <c r="T1107" t="str">
        <f t="shared" si="1178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ref="K1108:L1108" si="1195">(J1108/60/60/24)+DATE(1970,1,1)</f>
        <v>40973.740451388891</v>
      </c>
      <c r="L1108" s="11">
        <f t="shared" si="1174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175"/>
        <v>41.25</v>
      </c>
      <c r="R1108" s="7">
        <f t="shared" si="1176"/>
        <v>23.571428571428573</v>
      </c>
      <c r="S1108" t="str">
        <f t="shared" si="1177"/>
        <v>games</v>
      </c>
      <c r="T1108" t="str">
        <f t="shared" si="1178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ref="K1109:L1109" si="1196">(J1109/60/60/24)+DATE(1970,1,1)</f>
        <v>41813.861388888887</v>
      </c>
      <c r="L1109" s="11">
        <f t="shared" si="1174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175"/>
        <v>0</v>
      </c>
      <c r="R1109" s="7">
        <f t="shared" si="1176"/>
        <v>0</v>
      </c>
      <c r="S1109" t="str">
        <f t="shared" si="1177"/>
        <v>games</v>
      </c>
      <c r="T1109" t="str">
        <f t="shared" si="1178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ref="K1110:L1110" si="1197">(J1110/60/60/24)+DATE(1970,1,1)</f>
        <v>40952.636979166666</v>
      </c>
      <c r="L1110" s="11">
        <f t="shared" si="1174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175"/>
        <v>2.93</v>
      </c>
      <c r="R1110" s="7">
        <f t="shared" si="1176"/>
        <v>34.88095238095238</v>
      </c>
      <c r="S1110" t="str">
        <f t="shared" si="1177"/>
        <v>games</v>
      </c>
      <c r="T1110" t="str">
        <f t="shared" si="1178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ref="K1111:L1111" si="1198">(J1111/60/60/24)+DATE(1970,1,1)</f>
        <v>42662.752199074079</v>
      </c>
      <c r="L1111" s="11">
        <f t="shared" si="1174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175"/>
        <v>0.44999999999999996</v>
      </c>
      <c r="R1111" s="7">
        <f t="shared" si="1176"/>
        <v>15</v>
      </c>
      <c r="S1111" t="str">
        <f t="shared" si="1177"/>
        <v>games</v>
      </c>
      <c r="T1111" t="str">
        <f t="shared" si="1178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ref="K1112:L1112" si="1199">(J1112/60/60/24)+DATE(1970,1,1)</f>
        <v>41220.933124999996</v>
      </c>
      <c r="L1112" s="11">
        <f t="shared" si="1174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175"/>
        <v>0.51</v>
      </c>
      <c r="R1112" s="7">
        <f t="shared" si="1176"/>
        <v>23.181818181818183</v>
      </c>
      <c r="S1112" t="str">
        <f t="shared" si="1177"/>
        <v>games</v>
      </c>
      <c r="T1112" t="str">
        <f t="shared" si="1178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ref="K1113:L1113" si="1200">(J1113/60/60/24)+DATE(1970,1,1)</f>
        <v>42347.203587962969</v>
      </c>
      <c r="L1113" s="11">
        <f t="shared" si="1174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175"/>
        <v>0.04</v>
      </c>
      <c r="R1113" s="7">
        <f t="shared" si="1176"/>
        <v>1</v>
      </c>
      <c r="S1113" t="str">
        <f t="shared" si="1177"/>
        <v>games</v>
      </c>
      <c r="T1113" t="str">
        <f t="shared" si="1178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ref="K1114:L1114" si="1201">(J1114/60/60/24)+DATE(1970,1,1)</f>
        <v>41963.759386574078</v>
      </c>
      <c r="L1114" s="11">
        <f t="shared" si="1174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175"/>
        <v>35.537409090909087</v>
      </c>
      <c r="R1114" s="7">
        <f t="shared" si="1176"/>
        <v>100.23371794871794</v>
      </c>
      <c r="S1114" t="str">
        <f t="shared" si="1177"/>
        <v>games</v>
      </c>
      <c r="T1114" t="str">
        <f t="shared" si="1178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ref="K1115:L1115" si="1202">(J1115/60/60/24)+DATE(1970,1,1)</f>
        <v>41835.977083333331</v>
      </c>
      <c r="L1115" s="11">
        <f t="shared" si="1174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175"/>
        <v>0.5</v>
      </c>
      <c r="R1115" s="7">
        <f t="shared" si="1176"/>
        <v>5</v>
      </c>
      <c r="S1115" t="str">
        <f t="shared" si="1177"/>
        <v>games</v>
      </c>
      <c r="T1115" t="str">
        <f t="shared" si="1178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ref="K1116:L1116" si="1203">(J1116/60/60/24)+DATE(1970,1,1)</f>
        <v>41526.345914351856</v>
      </c>
      <c r="L1116" s="11">
        <f t="shared" si="1174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175"/>
        <v>0.16666666666666669</v>
      </c>
      <c r="R1116" s="7">
        <f t="shared" si="1176"/>
        <v>3.3333333333333335</v>
      </c>
      <c r="S1116" t="str">
        <f t="shared" si="1177"/>
        <v>games</v>
      </c>
      <c r="T1116" t="str">
        <f t="shared" si="1178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ref="K1117:L1117" si="1204">(J1117/60/60/24)+DATE(1970,1,1)</f>
        <v>42429.695543981477</v>
      </c>
      <c r="L1117" s="11">
        <f t="shared" si="1174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175"/>
        <v>0.13250000000000001</v>
      </c>
      <c r="R1117" s="7">
        <f t="shared" si="1176"/>
        <v>13.25</v>
      </c>
      <c r="S1117" t="str">
        <f t="shared" si="1177"/>
        <v>games</v>
      </c>
      <c r="T1117" t="str">
        <f t="shared" si="1178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ref="K1118:L1118" si="1205">(J1118/60/60/24)+DATE(1970,1,1)</f>
        <v>41009.847314814811</v>
      </c>
      <c r="L1118" s="11">
        <f t="shared" si="1174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175"/>
        <v>3.5704000000000007E-2</v>
      </c>
      <c r="R1118" s="7">
        <f t="shared" si="1176"/>
        <v>17.852</v>
      </c>
      <c r="S1118" t="str">
        <f t="shared" si="1177"/>
        <v>games</v>
      </c>
      <c r="T1118" t="str">
        <f t="shared" si="1178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ref="K1119:L1119" si="1206">(J1119/60/60/24)+DATE(1970,1,1)</f>
        <v>42333.598530092597</v>
      </c>
      <c r="L1119" s="11">
        <f t="shared" si="1174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175"/>
        <v>8.3000000000000007</v>
      </c>
      <c r="R1119" s="7">
        <f t="shared" si="1176"/>
        <v>10.375</v>
      </c>
      <c r="S1119" t="str">
        <f t="shared" si="1177"/>
        <v>games</v>
      </c>
      <c r="T1119" t="str">
        <f t="shared" si="1178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ref="K1120:L1120" si="1207">(J1120/60/60/24)+DATE(1970,1,1)</f>
        <v>41704.16642361111</v>
      </c>
      <c r="L1120" s="11">
        <f t="shared" si="1174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175"/>
        <v>2.4222222222222221</v>
      </c>
      <c r="R1120" s="7">
        <f t="shared" si="1176"/>
        <v>36.333333333333336</v>
      </c>
      <c r="S1120" t="str">
        <f t="shared" si="1177"/>
        <v>games</v>
      </c>
      <c r="T1120" t="str">
        <f t="shared" si="1178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ref="K1121:L1121" si="1208">(J1121/60/60/24)+DATE(1970,1,1)</f>
        <v>41722.792407407411</v>
      </c>
      <c r="L1121" s="11">
        <f t="shared" si="1174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175"/>
        <v>0.23809523809523811</v>
      </c>
      <c r="R1121" s="7">
        <f t="shared" si="1176"/>
        <v>5</v>
      </c>
      <c r="S1121" t="str">
        <f t="shared" si="1177"/>
        <v>games</v>
      </c>
      <c r="T1121" t="str">
        <f t="shared" si="1178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ref="K1122:L1122" si="1209">(J1122/60/60/24)+DATE(1970,1,1)</f>
        <v>40799.872685185182</v>
      </c>
      <c r="L1122" s="11">
        <f t="shared" si="1174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175"/>
        <v>0</v>
      </c>
      <c r="R1122" s="7">
        <f t="shared" si="1176"/>
        <v>0</v>
      </c>
      <c r="S1122" t="str">
        <f t="shared" si="1177"/>
        <v>games</v>
      </c>
      <c r="T1122" t="str">
        <f t="shared" si="1178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ref="K1123:L1123" si="1210">(J1123/60/60/24)+DATE(1970,1,1)</f>
        <v>42412.934212962966</v>
      </c>
      <c r="L1123" s="11">
        <f t="shared" si="1174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175"/>
        <v>1.1599999999999999E-2</v>
      </c>
      <c r="R1123" s="7">
        <f t="shared" si="1176"/>
        <v>5.8</v>
      </c>
      <c r="S1123" t="str">
        <f t="shared" si="1177"/>
        <v>games</v>
      </c>
      <c r="T1123" t="str">
        <f t="shared" si="1178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ref="K1124:L1124" si="1211">(J1124/60/60/24)+DATE(1970,1,1)</f>
        <v>41410.703993055555</v>
      </c>
      <c r="L1124" s="11">
        <f t="shared" si="1174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175"/>
        <v>0</v>
      </c>
      <c r="R1124" s="7">
        <f t="shared" si="1176"/>
        <v>0</v>
      </c>
      <c r="S1124" t="str">
        <f t="shared" si="1177"/>
        <v>games</v>
      </c>
      <c r="T1124" t="str">
        <f t="shared" si="1178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ref="K1125:L1125" si="1212">(J1125/60/60/24)+DATE(1970,1,1)</f>
        <v>41718.5237037037</v>
      </c>
      <c r="L1125" s="11">
        <f t="shared" si="1174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175"/>
        <v>0.22</v>
      </c>
      <c r="R1125" s="7">
        <f t="shared" si="1176"/>
        <v>3.6666666666666665</v>
      </c>
      <c r="S1125" t="str">
        <f t="shared" si="1177"/>
        <v>games</v>
      </c>
      <c r="T1125" t="str">
        <f t="shared" si="1178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ref="K1126:L1126" si="1213">(J1126/60/60/24)+DATE(1970,1,1)</f>
        <v>42094.667256944449</v>
      </c>
      <c r="L1126" s="11">
        <f t="shared" si="1174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175"/>
        <v>0.47222222222222221</v>
      </c>
      <c r="R1126" s="7">
        <f t="shared" si="1176"/>
        <v>60.714285714285715</v>
      </c>
      <c r="S1126" t="str">
        <f t="shared" si="1177"/>
        <v>games</v>
      </c>
      <c r="T1126" t="str">
        <f t="shared" si="1178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ref="K1127:L1127" si="1214">(J1127/60/60/24)+DATE(1970,1,1)</f>
        <v>42212.624189814815</v>
      </c>
      <c r="L1127" s="11">
        <f t="shared" si="1174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175"/>
        <v>0</v>
      </c>
      <c r="R1127" s="7">
        <f t="shared" si="1176"/>
        <v>0</v>
      </c>
      <c r="S1127" t="str">
        <f t="shared" si="1177"/>
        <v>games</v>
      </c>
      <c r="T1127" t="str">
        <f t="shared" si="1178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ref="K1128:L1128" si="1215">(J1128/60/60/24)+DATE(1970,1,1)</f>
        <v>42535.327476851846</v>
      </c>
      <c r="L1128" s="11">
        <f t="shared" si="1174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175"/>
        <v>0.5</v>
      </c>
      <c r="R1128" s="7">
        <f t="shared" si="1176"/>
        <v>5</v>
      </c>
      <c r="S1128" t="str">
        <f t="shared" si="1177"/>
        <v>games</v>
      </c>
      <c r="T1128" t="str">
        <f t="shared" si="1178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ref="K1129:L1129" si="1216">(J1129/60/60/24)+DATE(1970,1,1)</f>
        <v>41926.854166666664</v>
      </c>
      <c r="L1129" s="11">
        <f t="shared" si="1174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175"/>
        <v>1.6714285714285713</v>
      </c>
      <c r="R1129" s="7">
        <f t="shared" si="1176"/>
        <v>25.434782608695652</v>
      </c>
      <c r="S1129" t="str">
        <f t="shared" si="1177"/>
        <v>games</v>
      </c>
      <c r="T1129" t="str">
        <f t="shared" si="1178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ref="K1130:L1130" si="1217">(J1130/60/60/24)+DATE(1970,1,1)</f>
        <v>41828.649502314816</v>
      </c>
      <c r="L1130" s="11">
        <f t="shared" si="1174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175"/>
        <v>0.1</v>
      </c>
      <c r="R1130" s="7">
        <f t="shared" si="1176"/>
        <v>1</v>
      </c>
      <c r="S1130" t="str">
        <f t="shared" si="1177"/>
        <v>games</v>
      </c>
      <c r="T1130" t="str">
        <f t="shared" si="1178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ref="K1131:L1131" si="1218">(J1131/60/60/24)+DATE(1970,1,1)</f>
        <v>42496.264965277776</v>
      </c>
      <c r="L1131" s="11">
        <f t="shared" si="1174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175"/>
        <v>0.105</v>
      </c>
      <c r="R1131" s="7">
        <f t="shared" si="1176"/>
        <v>10.5</v>
      </c>
      <c r="S1131" t="str">
        <f t="shared" si="1177"/>
        <v>games</v>
      </c>
      <c r="T1131" t="str">
        <f t="shared" si="1178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ref="K1132:L1132" si="1219">(J1132/60/60/24)+DATE(1970,1,1)</f>
        <v>41908.996527777781</v>
      </c>
      <c r="L1132" s="11">
        <f t="shared" si="1174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175"/>
        <v>0.22</v>
      </c>
      <c r="R1132" s="7">
        <f t="shared" si="1176"/>
        <v>3.6666666666666665</v>
      </c>
      <c r="S1132" t="str">
        <f t="shared" si="1177"/>
        <v>games</v>
      </c>
      <c r="T1132" t="str">
        <f t="shared" si="1178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ref="K1133:L1133" si="1220">(J1133/60/60/24)+DATE(1970,1,1)</f>
        <v>42332.908194444448</v>
      </c>
      <c r="L1133" s="11">
        <f t="shared" si="1174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175"/>
        <v>0</v>
      </c>
      <c r="R1133" s="7">
        <f t="shared" si="1176"/>
        <v>0</v>
      </c>
      <c r="S1133" t="str">
        <f t="shared" si="1177"/>
        <v>games</v>
      </c>
      <c r="T1133" t="str">
        <f t="shared" si="1178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ref="K1134:L1134" si="1221">(J1134/60/60/24)+DATE(1970,1,1)</f>
        <v>42706.115405092598</v>
      </c>
      <c r="L1134" s="11">
        <f t="shared" si="1174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175"/>
        <v>14.38</v>
      </c>
      <c r="R1134" s="7">
        <f t="shared" si="1176"/>
        <v>110.61538461538461</v>
      </c>
      <c r="S1134" t="str">
        <f t="shared" si="1177"/>
        <v>games</v>
      </c>
      <c r="T1134" t="str">
        <f t="shared" si="1178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ref="K1135:L1135" si="1222">(J1135/60/60/24)+DATE(1970,1,1)</f>
        <v>41821.407187500001</v>
      </c>
      <c r="L1135" s="11">
        <f t="shared" si="1174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175"/>
        <v>0.66666666666666674</v>
      </c>
      <c r="R1135" s="7">
        <f t="shared" si="1176"/>
        <v>20</v>
      </c>
      <c r="S1135" t="str">
        <f t="shared" si="1177"/>
        <v>games</v>
      </c>
      <c r="T1135" t="str">
        <f t="shared" si="1178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ref="K1136:L1136" si="1223">(J1136/60/60/24)+DATE(1970,1,1)</f>
        <v>41958.285046296296</v>
      </c>
      <c r="L1136" s="11">
        <f t="shared" si="1174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175"/>
        <v>4.0000000000000001E-3</v>
      </c>
      <c r="R1136" s="7">
        <f t="shared" si="1176"/>
        <v>1</v>
      </c>
      <c r="S1136" t="str">
        <f t="shared" si="1177"/>
        <v>games</v>
      </c>
      <c r="T1136" t="str">
        <f t="shared" si="1178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ref="K1137:L1137" si="1224">(J1137/60/60/24)+DATE(1970,1,1)</f>
        <v>42558.989513888882</v>
      </c>
      <c r="L1137" s="11">
        <f t="shared" si="1174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175"/>
        <v>5</v>
      </c>
      <c r="R1137" s="7">
        <f t="shared" si="1176"/>
        <v>50</v>
      </c>
      <c r="S1137" t="str">
        <f t="shared" si="1177"/>
        <v>games</v>
      </c>
      <c r="T1137" t="str">
        <f t="shared" si="1178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ref="K1138:L1138" si="1225">(J1138/60/60/24)+DATE(1970,1,1)</f>
        <v>42327.671631944439</v>
      </c>
      <c r="L1138" s="11">
        <f t="shared" si="1174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175"/>
        <v>6.4439140811455857</v>
      </c>
      <c r="R1138" s="7">
        <f t="shared" si="1176"/>
        <v>45</v>
      </c>
      <c r="S1138" t="str">
        <f t="shared" si="1177"/>
        <v>games</v>
      </c>
      <c r="T1138" t="str">
        <f t="shared" si="1178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ref="K1139:L1139" si="1226">(J1139/60/60/24)+DATE(1970,1,1)</f>
        <v>42453.819687499999</v>
      </c>
      <c r="L1139" s="11">
        <f t="shared" si="1174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175"/>
        <v>39.5</v>
      </c>
      <c r="R1139" s="7">
        <f t="shared" si="1176"/>
        <v>253.2051282051282</v>
      </c>
      <c r="S1139" t="str">
        <f t="shared" si="1177"/>
        <v>games</v>
      </c>
      <c r="T1139" t="str">
        <f t="shared" si="1178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ref="K1140:L1140" si="1227">(J1140/60/60/24)+DATE(1970,1,1)</f>
        <v>42736.9066087963</v>
      </c>
      <c r="L1140" s="11">
        <f t="shared" si="1174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175"/>
        <v>0.35714285714285715</v>
      </c>
      <c r="R1140" s="7">
        <f t="shared" si="1176"/>
        <v>31.25</v>
      </c>
      <c r="S1140" t="str">
        <f t="shared" si="1177"/>
        <v>games</v>
      </c>
      <c r="T1140" t="str">
        <f t="shared" si="1178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ref="K1141:L1141" si="1228">(J1141/60/60/24)+DATE(1970,1,1)</f>
        <v>41975.347523148142</v>
      </c>
      <c r="L1141" s="11">
        <f t="shared" si="1174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175"/>
        <v>6.25E-2</v>
      </c>
      <c r="R1141" s="7">
        <f t="shared" si="1176"/>
        <v>5</v>
      </c>
      <c r="S1141" t="str">
        <f t="shared" si="1177"/>
        <v>games</v>
      </c>
      <c r="T1141" t="str">
        <f t="shared" si="1178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ref="K1142:L1142" si="1229">(J1142/60/60/24)+DATE(1970,1,1)</f>
        <v>42192.462048611109</v>
      </c>
      <c r="L1142" s="11">
        <f t="shared" si="1174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175"/>
        <v>0</v>
      </c>
      <c r="R1142" s="7">
        <f t="shared" si="1176"/>
        <v>0</v>
      </c>
      <c r="S1142" t="str">
        <f t="shared" si="1177"/>
        <v>games</v>
      </c>
      <c r="T1142" t="str">
        <f t="shared" si="1178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ref="K1143:L1143" si="1230">(J1143/60/60/24)+DATE(1970,1,1)</f>
        <v>42164.699652777781</v>
      </c>
      <c r="L1143" s="11">
        <f t="shared" si="1174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175"/>
        <v>0</v>
      </c>
      <c r="R1143" s="7">
        <f t="shared" si="1176"/>
        <v>0</v>
      </c>
      <c r="S1143" t="str">
        <f t="shared" si="1177"/>
        <v>games</v>
      </c>
      <c r="T1143" t="str">
        <f t="shared" si="1178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ref="K1144:L1144" si="1231">(J1144/60/60/24)+DATE(1970,1,1)</f>
        <v>42022.006099537044</v>
      </c>
      <c r="L1144" s="11">
        <f t="shared" si="1174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175"/>
        <v>0</v>
      </c>
      <c r="R1144" s="7">
        <f t="shared" si="1176"/>
        <v>0</v>
      </c>
      <c r="S1144" t="str">
        <f t="shared" si="1177"/>
        <v>games</v>
      </c>
      <c r="T1144" t="str">
        <f t="shared" si="1178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ref="K1145:L1145" si="1232">(J1145/60/60/24)+DATE(1970,1,1)</f>
        <v>42325.19358796296</v>
      </c>
      <c r="L1145" s="11">
        <f t="shared" si="1174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175"/>
        <v>0.41333333333333333</v>
      </c>
      <c r="R1145" s="7">
        <f t="shared" si="1176"/>
        <v>23.25</v>
      </c>
      <c r="S1145" t="str">
        <f t="shared" si="1177"/>
        <v>games</v>
      </c>
      <c r="T1145" t="str">
        <f t="shared" si="1178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ref="K1146:L1146" si="1233">(J1146/60/60/24)+DATE(1970,1,1)</f>
        <v>42093.181944444441</v>
      </c>
      <c r="L1146" s="11">
        <f t="shared" si="1174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175"/>
        <v>0</v>
      </c>
      <c r="R1146" s="7">
        <f t="shared" si="1176"/>
        <v>0</v>
      </c>
      <c r="S1146" t="str">
        <f t="shared" si="1177"/>
        <v>food</v>
      </c>
      <c r="T1146" t="str">
        <f t="shared" si="1178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ref="K1147:L1147" si="1234">(J1147/60/60/24)+DATE(1970,1,1)</f>
        <v>41854.747592592597</v>
      </c>
      <c r="L1147" s="11">
        <f t="shared" si="1174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175"/>
        <v>0.125</v>
      </c>
      <c r="R1147" s="7">
        <f t="shared" si="1176"/>
        <v>100</v>
      </c>
      <c r="S1147" t="str">
        <f t="shared" si="1177"/>
        <v>food</v>
      </c>
      <c r="T1147" t="str">
        <f t="shared" si="1178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ref="K1148:L1148" si="1235">(J1148/60/60/24)+DATE(1970,1,1)</f>
        <v>41723.9533912037</v>
      </c>
      <c r="L1148" s="11">
        <f t="shared" si="1174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175"/>
        <v>8.8333333333333339</v>
      </c>
      <c r="R1148" s="7">
        <f t="shared" si="1176"/>
        <v>44.166666666666664</v>
      </c>
      <c r="S1148" t="str">
        <f t="shared" si="1177"/>
        <v>food</v>
      </c>
      <c r="T1148" t="str">
        <f t="shared" si="1178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ref="K1149:L1149" si="1236">(J1149/60/60/24)+DATE(1970,1,1)</f>
        <v>41871.972025462965</v>
      </c>
      <c r="L1149" s="11">
        <f t="shared" si="1174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175"/>
        <v>0</v>
      </c>
      <c r="R1149" s="7">
        <f t="shared" si="1176"/>
        <v>0</v>
      </c>
      <c r="S1149" t="str">
        <f t="shared" si="1177"/>
        <v>food</v>
      </c>
      <c r="T1149" t="str">
        <f t="shared" si="1178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ref="K1150:L1150" si="1237">(J1150/60/60/24)+DATE(1970,1,1)</f>
        <v>42675.171076388884</v>
      </c>
      <c r="L1150" s="11">
        <f t="shared" si="1174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175"/>
        <v>0.48666666666666669</v>
      </c>
      <c r="R1150" s="7">
        <f t="shared" si="1176"/>
        <v>24.333333333333332</v>
      </c>
      <c r="S1150" t="str">
        <f t="shared" si="1177"/>
        <v>food</v>
      </c>
      <c r="T1150" t="str">
        <f t="shared" si="1178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ref="K1151:L1151" si="1238">(J1151/60/60/24)+DATE(1970,1,1)</f>
        <v>42507.71025462963</v>
      </c>
      <c r="L1151" s="11">
        <f t="shared" si="1174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175"/>
        <v>0.15</v>
      </c>
      <c r="R1151" s="7">
        <f t="shared" si="1176"/>
        <v>37.5</v>
      </c>
      <c r="S1151" t="str">
        <f t="shared" si="1177"/>
        <v>food</v>
      </c>
      <c r="T1151" t="str">
        <f t="shared" si="1178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ref="K1152:L1152" si="1239">(J1152/60/60/24)+DATE(1970,1,1)</f>
        <v>42317.954571759255</v>
      </c>
      <c r="L1152" s="11">
        <f t="shared" si="1174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175"/>
        <v>10.08</v>
      </c>
      <c r="R1152" s="7">
        <f t="shared" si="1176"/>
        <v>42</v>
      </c>
      <c r="S1152" t="str">
        <f t="shared" si="1177"/>
        <v>food</v>
      </c>
      <c r="T1152" t="str">
        <f t="shared" si="1178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ref="K1153:L1153" si="1240">(J1153/60/60/24)+DATE(1970,1,1)</f>
        <v>42224.102581018517</v>
      </c>
      <c r="L1153" s="11">
        <f t="shared" si="1174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175"/>
        <v>0</v>
      </c>
      <c r="R1153" s="7">
        <f t="shared" si="1176"/>
        <v>0</v>
      </c>
      <c r="S1153" t="str">
        <f t="shared" si="1177"/>
        <v>food</v>
      </c>
      <c r="T1153" t="str">
        <f t="shared" si="1178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ref="K1154:L1154" si="1241">(J1154/60/60/24)+DATE(1970,1,1)</f>
        <v>42109.709629629629</v>
      </c>
      <c r="L1154" s="11">
        <f t="shared" si="1174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175"/>
        <v>5.6937500000000005</v>
      </c>
      <c r="R1154" s="7">
        <f t="shared" si="1176"/>
        <v>60.733333333333334</v>
      </c>
      <c r="S1154" t="str">
        <f t="shared" si="1177"/>
        <v>food</v>
      </c>
      <c r="T1154" t="str">
        <f t="shared" si="1178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ref="K1155:L1155" si="1242">(J1155/60/60/24)+DATE(1970,1,1)</f>
        <v>42143.714178240742</v>
      </c>
      <c r="L1155" s="11">
        <f t="shared" ref="L1155:L1218" si="1243">(I1155/60/60/24)+DATE(1970,1,1)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244">(E1155/D1155)*100</f>
        <v>0.625</v>
      </c>
      <c r="R1155" s="7">
        <f t="shared" ref="R1155:R1218" si="1245">IFERROR(E1155/N1155, 0)</f>
        <v>50</v>
      </c>
      <c r="S1155" t="str">
        <f t="shared" ref="S1155:S1218" si="1246">LEFT(P1155, SEARCH("/", P1155,1)-1)</f>
        <v>food</v>
      </c>
      <c r="T1155" t="str">
        <f t="shared" ref="T1155:T1218" si="1247">RIGHT(P1155,LEN(P1155)-SEARCH("/",P1155,SEARCH("/",P1155)))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ref="K1156:L1156" si="1248">(J1156/60/60/24)+DATE(1970,1,1)</f>
        <v>42223.108865740738</v>
      </c>
      <c r="L1156" s="11">
        <f t="shared" si="124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244"/>
        <v>6.5</v>
      </c>
      <c r="R1156" s="7">
        <f t="shared" si="1245"/>
        <v>108.33333333333333</v>
      </c>
      <c r="S1156" t="str">
        <f t="shared" si="1246"/>
        <v>food</v>
      </c>
      <c r="T1156" t="str">
        <f t="shared" si="1247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ref="K1157:L1157" si="1249">(J1157/60/60/24)+DATE(1970,1,1)</f>
        <v>41835.763981481483</v>
      </c>
      <c r="L1157" s="11">
        <f t="shared" si="124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244"/>
        <v>0.752</v>
      </c>
      <c r="R1157" s="7">
        <f t="shared" si="1245"/>
        <v>23.5</v>
      </c>
      <c r="S1157" t="str">
        <f t="shared" si="1246"/>
        <v>food</v>
      </c>
      <c r="T1157" t="str">
        <f t="shared" si="1247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ref="K1158:L1158" si="1250">(J1158/60/60/24)+DATE(1970,1,1)</f>
        <v>42029.07131944444</v>
      </c>
      <c r="L1158" s="11">
        <f t="shared" si="124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244"/>
        <v>0</v>
      </c>
      <c r="R1158" s="7">
        <f t="shared" si="1245"/>
        <v>0</v>
      </c>
      <c r="S1158" t="str">
        <f t="shared" si="1246"/>
        <v>food</v>
      </c>
      <c r="T1158" t="str">
        <f t="shared" si="1247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ref="K1159:L1159" si="1251">(J1159/60/60/24)+DATE(1970,1,1)</f>
        <v>41918.628240740742</v>
      </c>
      <c r="L1159" s="11">
        <f t="shared" si="124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244"/>
        <v>1.51</v>
      </c>
      <c r="R1159" s="7">
        <f t="shared" si="1245"/>
        <v>50.333333333333336</v>
      </c>
      <c r="S1159" t="str">
        <f t="shared" si="1246"/>
        <v>food</v>
      </c>
      <c r="T1159" t="str">
        <f t="shared" si="1247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ref="K1160:L1160" si="1252">(J1160/60/60/24)+DATE(1970,1,1)</f>
        <v>41952.09175925926</v>
      </c>
      <c r="L1160" s="11">
        <f t="shared" si="124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244"/>
        <v>0.46666666666666673</v>
      </c>
      <c r="R1160" s="7">
        <f t="shared" si="1245"/>
        <v>11.666666666666666</v>
      </c>
      <c r="S1160" t="str">
        <f t="shared" si="1246"/>
        <v>food</v>
      </c>
      <c r="T1160" t="str">
        <f t="shared" si="1247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ref="K1161:L1161" si="1253">(J1161/60/60/24)+DATE(1970,1,1)</f>
        <v>42154.726446759261</v>
      </c>
      <c r="L1161" s="11">
        <f t="shared" si="1243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244"/>
        <v>0</v>
      </c>
      <c r="R1161" s="7">
        <f t="shared" si="1245"/>
        <v>0</v>
      </c>
      <c r="S1161" t="str">
        <f t="shared" si="1246"/>
        <v>food</v>
      </c>
      <c r="T1161" t="str">
        <f t="shared" si="1247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ref="K1162:L1162" si="1254">(J1162/60/60/24)+DATE(1970,1,1)</f>
        <v>42061.154930555553</v>
      </c>
      <c r="L1162" s="11">
        <f t="shared" si="124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244"/>
        <v>3.85</v>
      </c>
      <c r="R1162" s="7">
        <f t="shared" si="1245"/>
        <v>60.789473684210527</v>
      </c>
      <c r="S1162" t="str">
        <f t="shared" si="1246"/>
        <v>food</v>
      </c>
      <c r="T1162" t="str">
        <f t="shared" si="1247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ref="K1163:L1163" si="1255">(J1163/60/60/24)+DATE(1970,1,1)</f>
        <v>42122.629502314812</v>
      </c>
      <c r="L1163" s="11">
        <f t="shared" si="124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244"/>
        <v>0</v>
      </c>
      <c r="R1163" s="7">
        <f t="shared" si="1245"/>
        <v>0</v>
      </c>
      <c r="S1163" t="str">
        <f t="shared" si="1246"/>
        <v>food</v>
      </c>
      <c r="T1163" t="str">
        <f t="shared" si="1247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ref="K1164:L1164" si="1256">(J1164/60/60/24)+DATE(1970,1,1)</f>
        <v>41876.683611111112</v>
      </c>
      <c r="L1164" s="11">
        <f t="shared" si="124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244"/>
        <v>5.8333333333333341E-2</v>
      </c>
      <c r="R1164" s="7">
        <f t="shared" si="1245"/>
        <v>17.5</v>
      </c>
      <c r="S1164" t="str">
        <f t="shared" si="1246"/>
        <v>food</v>
      </c>
      <c r="T1164" t="str">
        <f t="shared" si="1247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ref="K1165:L1165" si="1257">(J1165/60/60/24)+DATE(1970,1,1)</f>
        <v>41830.723611111112</v>
      </c>
      <c r="L1165" s="11">
        <f t="shared" si="124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244"/>
        <v>0</v>
      </c>
      <c r="R1165" s="7">
        <f t="shared" si="1245"/>
        <v>0</v>
      </c>
      <c r="S1165" t="str">
        <f t="shared" si="1246"/>
        <v>food</v>
      </c>
      <c r="T1165" t="str">
        <f t="shared" si="1247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ref="K1166:L1166" si="1258">(J1166/60/60/24)+DATE(1970,1,1)</f>
        <v>42509.724328703705</v>
      </c>
      <c r="L1166" s="11">
        <f t="shared" si="124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244"/>
        <v>0</v>
      </c>
      <c r="R1166" s="7">
        <f t="shared" si="1245"/>
        <v>0</v>
      </c>
      <c r="S1166" t="str">
        <f t="shared" si="1246"/>
        <v>food</v>
      </c>
      <c r="T1166" t="str">
        <f t="shared" si="1247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ref="K1167:L1167" si="1259">(J1167/60/60/24)+DATE(1970,1,1)</f>
        <v>41792.214467592588</v>
      </c>
      <c r="L1167" s="11">
        <f t="shared" si="124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244"/>
        <v>20.705000000000002</v>
      </c>
      <c r="R1167" s="7">
        <f t="shared" si="1245"/>
        <v>82.82</v>
      </c>
      <c r="S1167" t="str">
        <f t="shared" si="1246"/>
        <v>food</v>
      </c>
      <c r="T1167" t="str">
        <f t="shared" si="1247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ref="K1168:L1168" si="1260">(J1168/60/60/24)+DATE(1970,1,1)</f>
        <v>42150.485439814816</v>
      </c>
      <c r="L1168" s="11">
        <f t="shared" si="124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244"/>
        <v>19.139999999999997</v>
      </c>
      <c r="R1168" s="7">
        <f t="shared" si="1245"/>
        <v>358.875</v>
      </c>
      <c r="S1168" t="str">
        <f t="shared" si="1246"/>
        <v>food</v>
      </c>
      <c r="T1168" t="str">
        <f t="shared" si="1247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ref="K1169:L1169" si="1261">(J1169/60/60/24)+DATE(1970,1,1)</f>
        <v>41863.734895833331</v>
      </c>
      <c r="L1169" s="11">
        <f t="shared" si="124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244"/>
        <v>1.6316666666666666</v>
      </c>
      <c r="R1169" s="7">
        <f t="shared" si="1245"/>
        <v>61.1875</v>
      </c>
      <c r="S1169" t="str">
        <f t="shared" si="1246"/>
        <v>food</v>
      </c>
      <c r="T1169" t="str">
        <f t="shared" si="1247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ref="K1170:L1170" si="1262">(J1170/60/60/24)+DATE(1970,1,1)</f>
        <v>42605.053993055553</v>
      </c>
      <c r="L1170" s="11">
        <f t="shared" si="124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244"/>
        <v>5.6666666666666661</v>
      </c>
      <c r="R1170" s="7">
        <f t="shared" si="1245"/>
        <v>340</v>
      </c>
      <c r="S1170" t="str">
        <f t="shared" si="1246"/>
        <v>food</v>
      </c>
      <c r="T1170" t="str">
        <f t="shared" si="1247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ref="K1171:L1171" si="1263">(J1171/60/60/24)+DATE(1970,1,1)</f>
        <v>42027.353738425925</v>
      </c>
      <c r="L1171" s="11">
        <f t="shared" si="124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244"/>
        <v>0.16999999999999998</v>
      </c>
      <c r="R1171" s="7">
        <f t="shared" si="1245"/>
        <v>5.666666666666667</v>
      </c>
      <c r="S1171" t="str">
        <f t="shared" si="1246"/>
        <v>food</v>
      </c>
      <c r="T1171" t="str">
        <f t="shared" si="1247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ref="K1172:L1172" si="1264">(J1172/60/60/24)+DATE(1970,1,1)</f>
        <v>42124.893182870372</v>
      </c>
      <c r="L1172" s="11">
        <f t="shared" si="124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244"/>
        <v>0.4</v>
      </c>
      <c r="R1172" s="7">
        <f t="shared" si="1245"/>
        <v>50</v>
      </c>
      <c r="S1172" t="str">
        <f t="shared" si="1246"/>
        <v>food</v>
      </c>
      <c r="T1172" t="str">
        <f t="shared" si="1247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ref="K1173:L1173" si="1265">(J1173/60/60/24)+DATE(1970,1,1)</f>
        <v>41938.804710648146</v>
      </c>
      <c r="L1173" s="11">
        <f t="shared" si="124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244"/>
        <v>0.1</v>
      </c>
      <c r="R1173" s="7">
        <f t="shared" si="1245"/>
        <v>25</v>
      </c>
      <c r="S1173" t="str">
        <f t="shared" si="1246"/>
        <v>food</v>
      </c>
      <c r="T1173" t="str">
        <f t="shared" si="1247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ref="K1174:L1174" si="1266">(J1174/60/60/24)+DATE(1970,1,1)</f>
        <v>41841.682314814818</v>
      </c>
      <c r="L1174" s="11">
        <f t="shared" si="124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244"/>
        <v>0</v>
      </c>
      <c r="R1174" s="7">
        <f t="shared" si="1245"/>
        <v>0</v>
      </c>
      <c r="S1174" t="str">
        <f t="shared" si="1246"/>
        <v>food</v>
      </c>
      <c r="T1174" t="str">
        <f t="shared" si="1247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ref="K1175:L1175" si="1267">(J1175/60/60/24)+DATE(1970,1,1)</f>
        <v>42184.185844907406</v>
      </c>
      <c r="L1175" s="11">
        <f t="shared" si="124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244"/>
        <v>2.4E-2</v>
      </c>
      <c r="R1175" s="7">
        <f t="shared" si="1245"/>
        <v>30</v>
      </c>
      <c r="S1175" t="str">
        <f t="shared" si="1246"/>
        <v>food</v>
      </c>
      <c r="T1175" t="str">
        <f t="shared" si="1247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ref="K1176:L1176" si="1268">(J1176/60/60/24)+DATE(1970,1,1)</f>
        <v>42468.84174768519</v>
      </c>
      <c r="L1176" s="11">
        <f t="shared" si="124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244"/>
        <v>5.9066666666666672</v>
      </c>
      <c r="R1176" s="7">
        <f t="shared" si="1245"/>
        <v>46.631578947368418</v>
      </c>
      <c r="S1176" t="str">
        <f t="shared" si="1246"/>
        <v>food</v>
      </c>
      <c r="T1176" t="str">
        <f t="shared" si="1247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ref="K1177:L1177" si="1269">(J1177/60/60/24)+DATE(1970,1,1)</f>
        <v>42170.728460648148</v>
      </c>
      <c r="L1177" s="11">
        <f t="shared" si="124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244"/>
        <v>2.9250000000000003</v>
      </c>
      <c r="R1177" s="7">
        <f t="shared" si="1245"/>
        <v>65</v>
      </c>
      <c r="S1177" t="str">
        <f t="shared" si="1246"/>
        <v>food</v>
      </c>
      <c r="T1177" t="str">
        <f t="shared" si="1247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ref="K1178:L1178" si="1270">(J1178/60/60/24)+DATE(1970,1,1)</f>
        <v>42746.019652777773</v>
      </c>
      <c r="L1178" s="11">
        <f t="shared" si="124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244"/>
        <v>5.7142857142857143E-3</v>
      </c>
      <c r="R1178" s="7">
        <f t="shared" si="1245"/>
        <v>10</v>
      </c>
      <c r="S1178" t="str">
        <f t="shared" si="1246"/>
        <v>food</v>
      </c>
      <c r="T1178" t="str">
        <f t="shared" si="1247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ref="K1179:L1179" si="1271">(J1179/60/60/24)+DATE(1970,1,1)</f>
        <v>41897.660833333335</v>
      </c>
      <c r="L1179" s="11">
        <f t="shared" si="124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244"/>
        <v>0</v>
      </c>
      <c r="R1179" s="7">
        <f t="shared" si="1245"/>
        <v>0</v>
      </c>
      <c r="S1179" t="str">
        <f t="shared" si="1246"/>
        <v>food</v>
      </c>
      <c r="T1179" t="str">
        <f t="shared" si="1247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ref="K1180:L1180" si="1272">(J1180/60/60/24)+DATE(1970,1,1)</f>
        <v>41837.905694444446</v>
      </c>
      <c r="L1180" s="11">
        <f t="shared" si="124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244"/>
        <v>6.6666666666666671E-3</v>
      </c>
      <c r="R1180" s="7">
        <f t="shared" si="1245"/>
        <v>5</v>
      </c>
      <c r="S1180" t="str">
        <f t="shared" si="1246"/>
        <v>food</v>
      </c>
      <c r="T1180" t="str">
        <f t="shared" si="1247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ref="K1181:L1181" si="1273">(J1181/60/60/24)+DATE(1970,1,1)</f>
        <v>42275.720219907409</v>
      </c>
      <c r="L1181" s="11">
        <f t="shared" si="124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244"/>
        <v>5.3333333333333339</v>
      </c>
      <c r="R1181" s="7">
        <f t="shared" si="1245"/>
        <v>640</v>
      </c>
      <c r="S1181" t="str">
        <f t="shared" si="1246"/>
        <v>food</v>
      </c>
      <c r="T1181" t="str">
        <f t="shared" si="1247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ref="K1182:L1182" si="1274">(J1182/60/60/24)+DATE(1970,1,1)</f>
        <v>41781.806875000002</v>
      </c>
      <c r="L1182" s="11">
        <f t="shared" si="124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244"/>
        <v>11.75</v>
      </c>
      <c r="R1182" s="7">
        <f t="shared" si="1245"/>
        <v>69.117647058823536</v>
      </c>
      <c r="S1182" t="str">
        <f t="shared" si="1246"/>
        <v>food</v>
      </c>
      <c r="T1182" t="str">
        <f t="shared" si="1247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ref="K1183:L1183" si="1275">(J1183/60/60/24)+DATE(1970,1,1)</f>
        <v>42034.339363425926</v>
      </c>
      <c r="L1183" s="11">
        <f t="shared" si="124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244"/>
        <v>8.0000000000000002E-3</v>
      </c>
      <c r="R1183" s="7">
        <f t="shared" si="1245"/>
        <v>1.3333333333333333</v>
      </c>
      <c r="S1183" t="str">
        <f t="shared" si="1246"/>
        <v>food</v>
      </c>
      <c r="T1183" t="str">
        <f t="shared" si="1247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ref="K1184:L1184" si="1276">(J1184/60/60/24)+DATE(1970,1,1)</f>
        <v>42728.827407407407</v>
      </c>
      <c r="L1184" s="11">
        <f t="shared" si="124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244"/>
        <v>4.2</v>
      </c>
      <c r="R1184" s="7">
        <f t="shared" si="1245"/>
        <v>10.5</v>
      </c>
      <c r="S1184" t="str">
        <f t="shared" si="1246"/>
        <v>food</v>
      </c>
      <c r="T1184" t="str">
        <f t="shared" si="1247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ref="K1185:L1185" si="1277">(J1185/60/60/24)+DATE(1970,1,1)</f>
        <v>42656.86137731481</v>
      </c>
      <c r="L1185" s="11">
        <f t="shared" si="124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244"/>
        <v>4</v>
      </c>
      <c r="R1185" s="7">
        <f t="shared" si="1245"/>
        <v>33.333333333333336</v>
      </c>
      <c r="S1185" t="str">
        <f t="shared" si="1246"/>
        <v>food</v>
      </c>
      <c r="T1185" t="str">
        <f t="shared" si="1247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ref="K1186:L1186" si="1278">(J1186/60/60/24)+DATE(1970,1,1)</f>
        <v>42741.599664351852</v>
      </c>
      <c r="L1186" s="11">
        <f t="shared" si="124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244"/>
        <v>104.93636363636362</v>
      </c>
      <c r="R1186" s="7">
        <f t="shared" si="1245"/>
        <v>61.562666666666665</v>
      </c>
      <c r="S1186" t="str">
        <f t="shared" si="1246"/>
        <v>photography</v>
      </c>
      <c r="T1186" t="str">
        <f t="shared" si="1247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ref="K1187:L1187" si="1279">(J1187/60/60/24)+DATE(1970,1,1)</f>
        <v>42130.865150462967</v>
      </c>
      <c r="L1187" s="11">
        <f t="shared" si="124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244"/>
        <v>105.44</v>
      </c>
      <c r="R1187" s="7">
        <f t="shared" si="1245"/>
        <v>118.73873873873873</v>
      </c>
      <c r="S1187" t="str">
        <f t="shared" si="1246"/>
        <v>photography</v>
      </c>
      <c r="T1187" t="str">
        <f t="shared" si="1247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ref="K1188:L1188" si="1280">(J1188/60/60/24)+DATE(1970,1,1)</f>
        <v>42123.86336805555</v>
      </c>
      <c r="L1188" s="11">
        <f t="shared" si="124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244"/>
        <v>106.73333333333332</v>
      </c>
      <c r="R1188" s="7">
        <f t="shared" si="1245"/>
        <v>65.081300813008127</v>
      </c>
      <c r="S1188" t="str">
        <f t="shared" si="1246"/>
        <v>photography</v>
      </c>
      <c r="T1188" t="str">
        <f t="shared" si="1247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ref="K1189:L1189" si="1281">(J1189/60/60/24)+DATE(1970,1,1)</f>
        <v>42109.894942129627</v>
      </c>
      <c r="L1189" s="11">
        <f t="shared" si="1243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244"/>
        <v>104.12571428571428</v>
      </c>
      <c r="R1189" s="7">
        <f t="shared" si="1245"/>
        <v>130.15714285714284</v>
      </c>
      <c r="S1189" t="str">
        <f t="shared" si="1246"/>
        <v>photography</v>
      </c>
      <c r="T1189" t="str">
        <f t="shared" si="1247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ref="K1190:L1190" si="1282">(J1190/60/60/24)+DATE(1970,1,1)</f>
        <v>42711.700694444444</v>
      </c>
      <c r="L1190" s="11">
        <f t="shared" si="124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244"/>
        <v>160.54999999999998</v>
      </c>
      <c r="R1190" s="7">
        <f t="shared" si="1245"/>
        <v>37.776470588235291</v>
      </c>
      <c r="S1190" t="str">
        <f t="shared" si="1246"/>
        <v>photography</v>
      </c>
      <c r="T1190" t="str">
        <f t="shared" si="1247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ref="K1191:L1191" si="1283">(J1191/60/60/24)+DATE(1970,1,1)</f>
        <v>42529.979108796295</v>
      </c>
      <c r="L1191" s="11">
        <f t="shared" si="124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244"/>
        <v>107.77777777777777</v>
      </c>
      <c r="R1191" s="7">
        <f t="shared" si="1245"/>
        <v>112.79069767441861</v>
      </c>
      <c r="S1191" t="str">
        <f t="shared" si="1246"/>
        <v>photography</v>
      </c>
      <c r="T1191" t="str">
        <f t="shared" si="1247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ref="K1192:L1192" si="1284">(J1192/60/60/24)+DATE(1970,1,1)</f>
        <v>41852.665798611109</v>
      </c>
      <c r="L1192" s="11">
        <f t="shared" si="124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244"/>
        <v>135</v>
      </c>
      <c r="R1192" s="7">
        <f t="shared" si="1245"/>
        <v>51.92307692307692</v>
      </c>
      <c r="S1192" t="str">
        <f t="shared" si="1246"/>
        <v>photography</v>
      </c>
      <c r="T1192" t="str">
        <f t="shared" si="1247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ref="K1193:L1193" si="1285">(J1193/60/60/24)+DATE(1970,1,1)</f>
        <v>42419.603703703702</v>
      </c>
      <c r="L1193" s="11">
        <f t="shared" si="124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244"/>
        <v>109.07407407407408</v>
      </c>
      <c r="R1193" s="7">
        <f t="shared" si="1245"/>
        <v>89.242424242424249</v>
      </c>
      <c r="S1193" t="str">
        <f t="shared" si="1246"/>
        <v>photography</v>
      </c>
      <c r="T1193" t="str">
        <f t="shared" si="1247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ref="K1194:L1194" si="1286">(J1194/60/60/24)+DATE(1970,1,1)</f>
        <v>42747.506689814814</v>
      </c>
      <c r="L1194" s="11">
        <f t="shared" si="124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244"/>
        <v>290</v>
      </c>
      <c r="R1194" s="7">
        <f t="shared" si="1245"/>
        <v>19.333333333333332</v>
      </c>
      <c r="S1194" t="str">
        <f t="shared" si="1246"/>
        <v>photography</v>
      </c>
      <c r="T1194" t="str">
        <f t="shared" si="1247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ref="K1195:L1195" si="1287">(J1195/60/60/24)+DATE(1970,1,1)</f>
        <v>42409.776076388895</v>
      </c>
      <c r="L1195" s="11">
        <f t="shared" si="124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244"/>
        <v>103.95714285714286</v>
      </c>
      <c r="R1195" s="7">
        <f t="shared" si="1245"/>
        <v>79.967032967032964</v>
      </c>
      <c r="S1195" t="str">
        <f t="shared" si="1246"/>
        <v>photography</v>
      </c>
      <c r="T1195" t="str">
        <f t="shared" si="1247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ref="K1196:L1196" si="1288">(J1196/60/60/24)+DATE(1970,1,1)</f>
        <v>42072.488182870366</v>
      </c>
      <c r="L1196" s="11">
        <f t="shared" si="124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244"/>
        <v>322.24</v>
      </c>
      <c r="R1196" s="7">
        <f t="shared" si="1245"/>
        <v>56.414565826330531</v>
      </c>
      <c r="S1196" t="str">
        <f t="shared" si="1246"/>
        <v>photography</v>
      </c>
      <c r="T1196" t="str">
        <f t="shared" si="1247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ref="K1197:L1197" si="1289">(J1197/60/60/24)+DATE(1970,1,1)</f>
        <v>42298.34783564815</v>
      </c>
      <c r="L1197" s="11">
        <f t="shared" si="1243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244"/>
        <v>135</v>
      </c>
      <c r="R1197" s="7">
        <f t="shared" si="1245"/>
        <v>79.411764705882348</v>
      </c>
      <c r="S1197" t="str">
        <f t="shared" si="1246"/>
        <v>photography</v>
      </c>
      <c r="T1197" t="str">
        <f t="shared" si="1247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ref="K1198:L1198" si="1290">(J1198/60/60/24)+DATE(1970,1,1)</f>
        <v>42326.818738425922</v>
      </c>
      <c r="L1198" s="11">
        <f t="shared" si="124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244"/>
        <v>269.91034482758624</v>
      </c>
      <c r="R1198" s="7">
        <f t="shared" si="1245"/>
        <v>76.439453125</v>
      </c>
      <c r="S1198" t="str">
        <f t="shared" si="1246"/>
        <v>photography</v>
      </c>
      <c r="T1198" t="str">
        <f t="shared" si="1247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ref="K1199:L1199" si="1291">(J1199/60/60/24)+DATE(1970,1,1)</f>
        <v>42503.66474537037</v>
      </c>
      <c r="L1199" s="11">
        <f t="shared" si="124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244"/>
        <v>253.29333333333332</v>
      </c>
      <c r="R1199" s="7">
        <f t="shared" si="1245"/>
        <v>121</v>
      </c>
      <c r="S1199" t="str">
        <f t="shared" si="1246"/>
        <v>photography</v>
      </c>
      <c r="T1199" t="str">
        <f t="shared" si="1247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ref="K1200:L1200" si="1292">(J1200/60/60/24)+DATE(1970,1,1)</f>
        <v>42333.619050925925</v>
      </c>
      <c r="L1200" s="11">
        <f t="shared" si="1243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244"/>
        <v>260.59999999999997</v>
      </c>
      <c r="R1200" s="7">
        <f t="shared" si="1245"/>
        <v>54.616766467065865</v>
      </c>
      <c r="S1200" t="str">
        <f t="shared" si="1246"/>
        <v>photography</v>
      </c>
      <c r="T1200" t="str">
        <f t="shared" si="1247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ref="K1201:L1201" si="1293">(J1201/60/60/24)+DATE(1970,1,1)</f>
        <v>42161.770833333328</v>
      </c>
      <c r="L1201" s="11">
        <f t="shared" si="124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244"/>
        <v>101.31677953348381</v>
      </c>
      <c r="R1201" s="7">
        <f t="shared" si="1245"/>
        <v>299.22222222222223</v>
      </c>
      <c r="S1201" t="str">
        <f t="shared" si="1246"/>
        <v>photography</v>
      </c>
      <c r="T1201" t="str">
        <f t="shared" si="1247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ref="K1202:L1202" si="1294">(J1202/60/60/24)+DATE(1970,1,1)</f>
        <v>42089.477500000001</v>
      </c>
      <c r="L1202" s="11">
        <f t="shared" si="124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244"/>
        <v>125.60416666666667</v>
      </c>
      <c r="R1202" s="7">
        <f t="shared" si="1245"/>
        <v>58.533980582524272</v>
      </c>
      <c r="S1202" t="str">
        <f t="shared" si="1246"/>
        <v>photography</v>
      </c>
      <c r="T1202" t="str">
        <f t="shared" si="1247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ref="K1203:L1203" si="1295">(J1203/60/60/24)+DATE(1970,1,1)</f>
        <v>42536.60701388889</v>
      </c>
      <c r="L1203" s="11">
        <f t="shared" si="124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244"/>
        <v>102.43783333333334</v>
      </c>
      <c r="R1203" s="7">
        <f t="shared" si="1245"/>
        <v>55.371801801801809</v>
      </c>
      <c r="S1203" t="str">
        <f t="shared" si="1246"/>
        <v>photography</v>
      </c>
      <c r="T1203" t="str">
        <f t="shared" si="1247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ref="K1204:L1204" si="1296">(J1204/60/60/24)+DATE(1970,1,1)</f>
        <v>42152.288819444439</v>
      </c>
      <c r="L1204" s="11">
        <f t="shared" si="124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244"/>
        <v>199.244</v>
      </c>
      <c r="R1204" s="7">
        <f t="shared" si="1245"/>
        <v>183.80442804428046</v>
      </c>
      <c r="S1204" t="str">
        <f t="shared" si="1246"/>
        <v>photography</v>
      </c>
      <c r="T1204" t="str">
        <f t="shared" si="1247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ref="K1205:L1205" si="1297">(J1205/60/60/24)+DATE(1970,1,1)</f>
        <v>42125.614895833336</v>
      </c>
      <c r="L1205" s="11">
        <f t="shared" si="124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244"/>
        <v>102.45398773006136</v>
      </c>
      <c r="R1205" s="7">
        <f t="shared" si="1245"/>
        <v>165.34653465346534</v>
      </c>
      <c r="S1205" t="str">
        <f t="shared" si="1246"/>
        <v>photography</v>
      </c>
      <c r="T1205" t="str">
        <f t="shared" si="1247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ref="K1206:L1206" si="1298">(J1206/60/60/24)+DATE(1970,1,1)</f>
        <v>42297.748067129629</v>
      </c>
      <c r="L1206" s="11">
        <f t="shared" si="124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244"/>
        <v>102.94615384615385</v>
      </c>
      <c r="R1206" s="7">
        <f t="shared" si="1245"/>
        <v>234.78947368421052</v>
      </c>
      <c r="S1206" t="str">
        <f t="shared" si="1246"/>
        <v>photography</v>
      </c>
      <c r="T1206" t="str">
        <f t="shared" si="1247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ref="K1207:L1207" si="1299">(J1207/60/60/24)+DATE(1970,1,1)</f>
        <v>42138.506377314814</v>
      </c>
      <c r="L1207" s="11">
        <f t="shared" si="124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244"/>
        <v>100.86153846153847</v>
      </c>
      <c r="R1207" s="7">
        <f t="shared" si="1245"/>
        <v>211.48387096774192</v>
      </c>
      <c r="S1207" t="str">
        <f t="shared" si="1246"/>
        <v>photography</v>
      </c>
      <c r="T1207" t="str">
        <f t="shared" si="1247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ref="K1208:L1208" si="1300">(J1208/60/60/24)+DATE(1970,1,1)</f>
        <v>42772.776076388895</v>
      </c>
      <c r="L1208" s="11">
        <f t="shared" si="124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244"/>
        <v>114.99999999999999</v>
      </c>
      <c r="R1208" s="7">
        <f t="shared" si="1245"/>
        <v>32.34375</v>
      </c>
      <c r="S1208" t="str">
        <f t="shared" si="1246"/>
        <v>photography</v>
      </c>
      <c r="T1208" t="str">
        <f t="shared" si="1247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ref="K1209:L1209" si="1301">(J1209/60/60/24)+DATE(1970,1,1)</f>
        <v>42430.430243055554</v>
      </c>
      <c r="L1209" s="11">
        <f t="shared" si="124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244"/>
        <v>104.16766467065868</v>
      </c>
      <c r="R1209" s="7">
        <f t="shared" si="1245"/>
        <v>123.37588652482269</v>
      </c>
      <c r="S1209" t="str">
        <f t="shared" si="1246"/>
        <v>photography</v>
      </c>
      <c r="T1209" t="str">
        <f t="shared" si="1247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ref="K1210:L1210" si="1302">(J1210/60/60/24)+DATE(1970,1,1)</f>
        <v>42423.709074074075</v>
      </c>
      <c r="L1210" s="11">
        <f t="shared" si="124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244"/>
        <v>155.29999999999998</v>
      </c>
      <c r="R1210" s="7">
        <f t="shared" si="1245"/>
        <v>207.06666666666666</v>
      </c>
      <c r="S1210" t="str">
        <f t="shared" si="1246"/>
        <v>photography</v>
      </c>
      <c r="T1210" t="str">
        <f t="shared" si="1247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ref="K1211:L1211" si="1303">(J1211/60/60/24)+DATE(1970,1,1)</f>
        <v>42761.846122685187</v>
      </c>
      <c r="L1211" s="11">
        <f t="shared" si="124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244"/>
        <v>106</v>
      </c>
      <c r="R1211" s="7">
        <f t="shared" si="1245"/>
        <v>138.2608695652174</v>
      </c>
      <c r="S1211" t="str">
        <f t="shared" si="1246"/>
        <v>photography</v>
      </c>
      <c r="T1211" t="str">
        <f t="shared" si="1247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ref="K1212:L1212" si="1304">(J1212/60/60/24)+DATE(1970,1,1)</f>
        <v>42132.941805555558</v>
      </c>
      <c r="L1212" s="11">
        <f t="shared" si="1243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244"/>
        <v>254.31499999999997</v>
      </c>
      <c r="R1212" s="7">
        <f t="shared" si="1245"/>
        <v>493.81553398058253</v>
      </c>
      <c r="S1212" t="str">
        <f t="shared" si="1246"/>
        <v>photography</v>
      </c>
      <c r="T1212" t="str">
        <f t="shared" si="1247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ref="K1213:L1213" si="1305">(J1213/60/60/24)+DATE(1970,1,1)</f>
        <v>42515.866446759261</v>
      </c>
      <c r="L1213" s="11">
        <f t="shared" si="124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244"/>
        <v>101.1</v>
      </c>
      <c r="R1213" s="7">
        <f t="shared" si="1245"/>
        <v>168.5</v>
      </c>
      <c r="S1213" t="str">
        <f t="shared" si="1246"/>
        <v>photography</v>
      </c>
      <c r="T1213" t="str">
        <f t="shared" si="1247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ref="K1214:L1214" si="1306">(J1214/60/60/24)+DATE(1970,1,1)</f>
        <v>42318.950173611112</v>
      </c>
      <c r="L1214" s="11">
        <f t="shared" si="124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244"/>
        <v>129.04</v>
      </c>
      <c r="R1214" s="7">
        <f t="shared" si="1245"/>
        <v>38.867469879518069</v>
      </c>
      <c r="S1214" t="str">
        <f t="shared" si="1246"/>
        <v>photography</v>
      </c>
      <c r="T1214" t="str">
        <f t="shared" si="1247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ref="K1215:L1215" si="1307">(J1215/60/60/24)+DATE(1970,1,1)</f>
        <v>42731.755787037036</v>
      </c>
      <c r="L1215" s="11">
        <f t="shared" si="124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244"/>
        <v>102.23076923076924</v>
      </c>
      <c r="R1215" s="7">
        <f t="shared" si="1245"/>
        <v>61.527777777777779</v>
      </c>
      <c r="S1215" t="str">
        <f t="shared" si="1246"/>
        <v>photography</v>
      </c>
      <c r="T1215" t="str">
        <f t="shared" si="1247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ref="K1216:L1216" si="1308">(J1216/60/60/24)+DATE(1970,1,1)</f>
        <v>42104.840335648143</v>
      </c>
      <c r="L1216" s="11">
        <f t="shared" si="124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244"/>
        <v>131.80000000000001</v>
      </c>
      <c r="R1216" s="7">
        <f t="shared" si="1245"/>
        <v>105.44</v>
      </c>
      <c r="S1216" t="str">
        <f t="shared" si="1246"/>
        <v>photography</v>
      </c>
      <c r="T1216" t="str">
        <f t="shared" si="1247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ref="K1217:L1217" si="1309">(J1217/60/60/24)+DATE(1970,1,1)</f>
        <v>41759.923101851848</v>
      </c>
      <c r="L1217" s="11">
        <f t="shared" si="124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244"/>
        <v>786.0802000000001</v>
      </c>
      <c r="R1217" s="7">
        <f t="shared" si="1245"/>
        <v>71.592003642987251</v>
      </c>
      <c r="S1217" t="str">
        <f t="shared" si="1246"/>
        <v>photography</v>
      </c>
      <c r="T1217" t="str">
        <f t="shared" si="1247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ref="K1218:L1218" si="1310">(J1218/60/60/24)+DATE(1970,1,1)</f>
        <v>42247.616400462968</v>
      </c>
      <c r="L1218" s="11">
        <f t="shared" si="124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244"/>
        <v>145.70000000000002</v>
      </c>
      <c r="R1218" s="7">
        <f t="shared" si="1245"/>
        <v>91.882882882882882</v>
      </c>
      <c r="S1218" t="str">
        <f t="shared" si="1246"/>
        <v>photography</v>
      </c>
      <c r="T1218" t="str">
        <f t="shared" si="1247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ref="K1219:L1219" si="1311">(J1219/60/60/24)+DATE(1970,1,1)</f>
        <v>42535.809490740736</v>
      </c>
      <c r="L1219" s="11">
        <f t="shared" ref="L1219:L1282" si="1312">(I1219/60/60/24)+DATE(1970,1,1)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313">(E1219/D1219)*100</f>
        <v>102.60000000000001</v>
      </c>
      <c r="R1219" s="7">
        <f t="shared" ref="R1219:R1282" si="1314">IFERROR(E1219/N1219, 0)</f>
        <v>148.57377049180329</v>
      </c>
      <c r="S1219" t="str">
        <f t="shared" ref="S1219:S1282" si="1315">LEFT(P1219, SEARCH("/", P1219,1)-1)</f>
        <v>photography</v>
      </c>
      <c r="T1219" t="str">
        <f t="shared" ref="T1219:T1282" si="1316">RIGHT(P1219,LEN(P1219)-SEARCH("/",P1219,SEARCH("/",P1219)))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ref="K1220:L1220" si="1317">(J1220/60/60/24)+DATE(1970,1,1)</f>
        <v>42278.662037037036</v>
      </c>
      <c r="L1220" s="11">
        <f t="shared" si="1312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313"/>
        <v>172.27777777777777</v>
      </c>
      <c r="R1220" s="7">
        <f t="shared" si="1314"/>
        <v>174.2134831460674</v>
      </c>
      <c r="S1220" t="str">
        <f t="shared" si="1315"/>
        <v>photography</v>
      </c>
      <c r="T1220" t="str">
        <f t="shared" si="1316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ref="K1221:L1221" si="1318">(J1221/60/60/24)+DATE(1970,1,1)</f>
        <v>42633.461956018517</v>
      </c>
      <c r="L1221" s="11">
        <f t="shared" si="1312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313"/>
        <v>159.16819571865443</v>
      </c>
      <c r="R1221" s="7">
        <f t="shared" si="1314"/>
        <v>102.86166007905139</v>
      </c>
      <c r="S1221" t="str">
        <f t="shared" si="1315"/>
        <v>photography</v>
      </c>
      <c r="T1221" t="str">
        <f t="shared" si="1316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ref="K1222:L1222" si="1319">(J1222/60/60/24)+DATE(1970,1,1)</f>
        <v>42211.628611111111</v>
      </c>
      <c r="L1222" s="11">
        <f t="shared" si="1312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313"/>
        <v>103.76666666666668</v>
      </c>
      <c r="R1222" s="7">
        <f t="shared" si="1314"/>
        <v>111.17857142857143</v>
      </c>
      <c r="S1222" t="str">
        <f t="shared" si="1315"/>
        <v>photography</v>
      </c>
      <c r="T1222" t="str">
        <f t="shared" si="1316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ref="K1223:L1223" si="1320">(J1223/60/60/24)+DATE(1970,1,1)</f>
        <v>42680.47555555556</v>
      </c>
      <c r="L1223" s="11">
        <f t="shared" si="1312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313"/>
        <v>111.40954545454547</v>
      </c>
      <c r="R1223" s="7">
        <f t="shared" si="1314"/>
        <v>23.796213592233013</v>
      </c>
      <c r="S1223" t="str">
        <f t="shared" si="1315"/>
        <v>photography</v>
      </c>
      <c r="T1223" t="str">
        <f t="shared" si="1316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ref="K1224:L1224" si="1321">(J1224/60/60/24)+DATE(1970,1,1)</f>
        <v>42430.720451388886</v>
      </c>
      <c r="L1224" s="11">
        <f t="shared" si="1312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313"/>
        <v>280.375</v>
      </c>
      <c r="R1224" s="7">
        <f t="shared" si="1314"/>
        <v>81.268115942028984</v>
      </c>
      <c r="S1224" t="str">
        <f t="shared" si="1315"/>
        <v>photography</v>
      </c>
      <c r="T1224" t="str">
        <f t="shared" si="1316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ref="K1225:L1225" si="1322">(J1225/60/60/24)+DATE(1970,1,1)</f>
        <v>42654.177187499998</v>
      </c>
      <c r="L1225" s="11">
        <f t="shared" si="1312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313"/>
        <v>112.10606060606061</v>
      </c>
      <c r="R1225" s="7">
        <f t="shared" si="1314"/>
        <v>116.21465968586388</v>
      </c>
      <c r="S1225" t="str">
        <f t="shared" si="1315"/>
        <v>photography</v>
      </c>
      <c r="T1225" t="str">
        <f t="shared" si="1316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ref="K1226:L1226" si="1323">(J1226/60/60/24)+DATE(1970,1,1)</f>
        <v>41736.549791666665</v>
      </c>
      <c r="L1226" s="11">
        <f t="shared" si="1312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313"/>
        <v>7.0666666666666673</v>
      </c>
      <c r="R1226" s="7">
        <f t="shared" si="1314"/>
        <v>58.888888888888886</v>
      </c>
      <c r="S1226" t="str">
        <f t="shared" si="1315"/>
        <v>music</v>
      </c>
      <c r="T1226" t="str">
        <f t="shared" si="1316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ref="K1227:L1227" si="1324">(J1227/60/60/24)+DATE(1970,1,1)</f>
        <v>41509.905995370369</v>
      </c>
      <c r="L1227" s="11">
        <f t="shared" si="1312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313"/>
        <v>4.3999999999999995</v>
      </c>
      <c r="R1227" s="7">
        <f t="shared" si="1314"/>
        <v>44</v>
      </c>
      <c r="S1227" t="str">
        <f t="shared" si="1315"/>
        <v>music</v>
      </c>
      <c r="T1227" t="str">
        <f t="shared" si="1316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ref="K1228:L1228" si="1325">(J1228/60/60/24)+DATE(1970,1,1)</f>
        <v>41715.874780092592</v>
      </c>
      <c r="L1228" s="11">
        <f t="shared" si="1312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313"/>
        <v>3.8739999999999997</v>
      </c>
      <c r="R1228" s="7">
        <f t="shared" si="1314"/>
        <v>48.424999999999997</v>
      </c>
      <c r="S1228" t="str">
        <f t="shared" si="1315"/>
        <v>music</v>
      </c>
      <c r="T1228" t="str">
        <f t="shared" si="1316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ref="K1229:L1229" si="1326">(J1229/60/60/24)+DATE(1970,1,1)</f>
        <v>41827.919166666667</v>
      </c>
      <c r="L1229" s="11">
        <f t="shared" si="1312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313"/>
        <v>0</v>
      </c>
      <c r="R1229" s="7">
        <f t="shared" si="1314"/>
        <v>0</v>
      </c>
      <c r="S1229" t="str">
        <f t="shared" si="1315"/>
        <v>music</v>
      </c>
      <c r="T1229" t="str">
        <f t="shared" si="1316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ref="K1230:L1230" si="1327">(J1230/60/60/24)+DATE(1970,1,1)</f>
        <v>40754.729259259257</v>
      </c>
      <c r="L1230" s="11">
        <f t="shared" si="1312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313"/>
        <v>29.299999999999997</v>
      </c>
      <c r="R1230" s="7">
        <f t="shared" si="1314"/>
        <v>61.041666666666664</v>
      </c>
      <c r="S1230" t="str">
        <f t="shared" si="1315"/>
        <v>music</v>
      </c>
      <c r="T1230" t="str">
        <f t="shared" si="1316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ref="K1231:L1231" si="1328">(J1231/60/60/24)+DATE(1970,1,1)</f>
        <v>40985.459803240738</v>
      </c>
      <c r="L1231" s="11">
        <f t="shared" si="1312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313"/>
        <v>0.90909090909090906</v>
      </c>
      <c r="R1231" s="7">
        <f t="shared" si="1314"/>
        <v>25</v>
      </c>
      <c r="S1231" t="str">
        <f t="shared" si="1315"/>
        <v>music</v>
      </c>
      <c r="T1231" t="str">
        <f t="shared" si="1316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ref="K1232:L1232" si="1329">(J1232/60/60/24)+DATE(1970,1,1)</f>
        <v>40568.972569444442</v>
      </c>
      <c r="L1232" s="11">
        <f t="shared" si="1312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313"/>
        <v>0</v>
      </c>
      <c r="R1232" s="7">
        <f t="shared" si="1314"/>
        <v>0</v>
      </c>
      <c r="S1232" t="str">
        <f t="shared" si="1315"/>
        <v>music</v>
      </c>
      <c r="T1232" t="str">
        <f t="shared" si="1316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ref="K1233:L1233" si="1330">(J1233/60/60/24)+DATE(1970,1,1)</f>
        <v>42193.941759259258</v>
      </c>
      <c r="L1233" s="11">
        <f t="shared" si="1312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313"/>
        <v>0</v>
      </c>
      <c r="R1233" s="7">
        <f t="shared" si="1314"/>
        <v>0</v>
      </c>
      <c r="S1233" t="str">
        <f t="shared" si="1315"/>
        <v>music</v>
      </c>
      <c r="T1233" t="str">
        <f t="shared" si="1316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ref="K1234:L1234" si="1331">(J1234/60/60/24)+DATE(1970,1,1)</f>
        <v>41506.848032407412</v>
      </c>
      <c r="L1234" s="11">
        <f t="shared" si="1312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313"/>
        <v>0.8</v>
      </c>
      <c r="R1234" s="7">
        <f t="shared" si="1314"/>
        <v>40</v>
      </c>
      <c r="S1234" t="str">
        <f t="shared" si="1315"/>
        <v>music</v>
      </c>
      <c r="T1234" t="str">
        <f t="shared" si="1316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ref="K1235:L1235" si="1332">(J1235/60/60/24)+DATE(1970,1,1)</f>
        <v>40939.948773148149</v>
      </c>
      <c r="L1235" s="11">
        <f t="shared" si="1312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313"/>
        <v>11.600000000000001</v>
      </c>
      <c r="R1235" s="7">
        <f t="shared" si="1314"/>
        <v>19.333333333333332</v>
      </c>
      <c r="S1235" t="str">
        <f t="shared" si="1315"/>
        <v>music</v>
      </c>
      <c r="T1235" t="str">
        <f t="shared" si="1316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ref="K1236:L1236" si="1333">(J1236/60/60/24)+DATE(1970,1,1)</f>
        <v>42007.788680555561</v>
      </c>
      <c r="L1236" s="11">
        <f t="shared" si="1312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313"/>
        <v>0</v>
      </c>
      <c r="R1236" s="7">
        <f t="shared" si="1314"/>
        <v>0</v>
      </c>
      <c r="S1236" t="str">
        <f t="shared" si="1315"/>
        <v>music</v>
      </c>
      <c r="T1236" t="str">
        <f t="shared" si="1316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ref="K1237:L1237" si="1334">(J1237/60/60/24)+DATE(1970,1,1)</f>
        <v>41583.135405092595</v>
      </c>
      <c r="L1237" s="11">
        <f t="shared" si="1312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313"/>
        <v>2.7873639500929119</v>
      </c>
      <c r="R1237" s="7">
        <f t="shared" si="1314"/>
        <v>35</v>
      </c>
      <c r="S1237" t="str">
        <f t="shared" si="1315"/>
        <v>music</v>
      </c>
      <c r="T1237" t="str">
        <f t="shared" si="1316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ref="K1238:L1238" si="1335">(J1238/60/60/24)+DATE(1970,1,1)</f>
        <v>41110.680138888885</v>
      </c>
      <c r="L1238" s="11">
        <f t="shared" si="1312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313"/>
        <v>0</v>
      </c>
      <c r="R1238" s="7">
        <f t="shared" si="1314"/>
        <v>0</v>
      </c>
      <c r="S1238" t="str">
        <f t="shared" si="1315"/>
        <v>music</v>
      </c>
      <c r="T1238" t="str">
        <f t="shared" si="1316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ref="K1239:L1239" si="1336">(J1239/60/60/24)+DATE(1970,1,1)</f>
        <v>41125.283159722225</v>
      </c>
      <c r="L1239" s="11">
        <f t="shared" si="1312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313"/>
        <v>0</v>
      </c>
      <c r="R1239" s="7">
        <f t="shared" si="1314"/>
        <v>0</v>
      </c>
      <c r="S1239" t="str">
        <f t="shared" si="1315"/>
        <v>music</v>
      </c>
      <c r="T1239" t="str">
        <f t="shared" si="1316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ref="K1240:L1240" si="1337">(J1240/60/60/24)+DATE(1970,1,1)</f>
        <v>40731.61037037037</v>
      </c>
      <c r="L1240" s="11">
        <f t="shared" si="1312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313"/>
        <v>17.8</v>
      </c>
      <c r="R1240" s="7">
        <f t="shared" si="1314"/>
        <v>59.333333333333336</v>
      </c>
      <c r="S1240" t="str">
        <f t="shared" si="1315"/>
        <v>music</v>
      </c>
      <c r="T1240" t="str">
        <f t="shared" si="1316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ref="K1241:L1241" si="1338">(J1241/60/60/24)+DATE(1970,1,1)</f>
        <v>40883.962581018517</v>
      </c>
      <c r="L1241" s="11">
        <f t="shared" si="1312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313"/>
        <v>0</v>
      </c>
      <c r="R1241" s="7">
        <f t="shared" si="1314"/>
        <v>0</v>
      </c>
      <c r="S1241" t="str">
        <f t="shared" si="1315"/>
        <v>music</v>
      </c>
      <c r="T1241" t="str">
        <f t="shared" si="1316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ref="K1242:L1242" si="1339">(J1242/60/60/24)+DATE(1970,1,1)</f>
        <v>41409.040011574078</v>
      </c>
      <c r="L1242" s="11">
        <f t="shared" si="1312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313"/>
        <v>3.0124999999999997</v>
      </c>
      <c r="R1242" s="7">
        <f t="shared" si="1314"/>
        <v>30.125</v>
      </c>
      <c r="S1242" t="str">
        <f t="shared" si="1315"/>
        <v>music</v>
      </c>
      <c r="T1242" t="str">
        <f t="shared" si="1316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ref="K1243:L1243" si="1340">(J1243/60/60/24)+DATE(1970,1,1)</f>
        <v>41923.837731481479</v>
      </c>
      <c r="L1243" s="11">
        <f t="shared" si="1312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313"/>
        <v>50.739999999999995</v>
      </c>
      <c r="R1243" s="7">
        <f t="shared" si="1314"/>
        <v>74.617647058823536</v>
      </c>
      <c r="S1243" t="str">
        <f t="shared" si="1315"/>
        <v>music</v>
      </c>
      <c r="T1243" t="str">
        <f t="shared" si="1316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ref="K1244:L1244" si="1341">(J1244/60/60/24)+DATE(1970,1,1)</f>
        <v>40782.165532407409</v>
      </c>
      <c r="L1244" s="11">
        <f t="shared" si="1312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313"/>
        <v>0.54884742041712409</v>
      </c>
      <c r="R1244" s="7">
        <f t="shared" si="1314"/>
        <v>5</v>
      </c>
      <c r="S1244" t="str">
        <f t="shared" si="1315"/>
        <v>music</v>
      </c>
      <c r="T1244" t="str">
        <f t="shared" si="1316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ref="K1245:L1245" si="1342">(J1245/60/60/24)+DATE(1970,1,1)</f>
        <v>40671.879293981481</v>
      </c>
      <c r="L1245" s="11">
        <f t="shared" si="1312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313"/>
        <v>14.091666666666667</v>
      </c>
      <c r="R1245" s="7">
        <f t="shared" si="1314"/>
        <v>44.5</v>
      </c>
      <c r="S1245" t="str">
        <f t="shared" si="1315"/>
        <v>music</v>
      </c>
      <c r="T1245" t="str">
        <f t="shared" si="1316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ref="K1246:L1246" si="1343">(J1246/60/60/24)+DATE(1970,1,1)</f>
        <v>41355.825497685182</v>
      </c>
      <c r="L1246" s="11">
        <f t="shared" si="1312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313"/>
        <v>103.8</v>
      </c>
      <c r="R1246" s="7">
        <f t="shared" si="1314"/>
        <v>46.133333333333333</v>
      </c>
      <c r="S1246" t="str">
        <f t="shared" si="1315"/>
        <v>music</v>
      </c>
      <c r="T1246" t="str">
        <f t="shared" si="1316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ref="K1247:L1247" si="1344">(J1247/60/60/24)+DATE(1970,1,1)</f>
        <v>41774.599930555552</v>
      </c>
      <c r="L1247" s="11">
        <f t="shared" si="1312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313"/>
        <v>120.24999999999999</v>
      </c>
      <c r="R1247" s="7">
        <f t="shared" si="1314"/>
        <v>141.47058823529412</v>
      </c>
      <c r="S1247" t="str">
        <f t="shared" si="1315"/>
        <v>music</v>
      </c>
      <c r="T1247" t="str">
        <f t="shared" si="1316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ref="K1248:L1248" si="1345">(J1248/60/60/24)+DATE(1970,1,1)</f>
        <v>40838.043391203704</v>
      </c>
      <c r="L1248" s="11">
        <f t="shared" si="1312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313"/>
        <v>117</v>
      </c>
      <c r="R1248" s="7">
        <f t="shared" si="1314"/>
        <v>75.483870967741936</v>
      </c>
      <c r="S1248" t="str">
        <f t="shared" si="1315"/>
        <v>music</v>
      </c>
      <c r="T1248" t="str">
        <f t="shared" si="1316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ref="K1249:L1249" si="1346">(J1249/60/60/24)+DATE(1970,1,1)</f>
        <v>41370.292303240742</v>
      </c>
      <c r="L1249" s="11">
        <f t="shared" si="1312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313"/>
        <v>122.14285714285715</v>
      </c>
      <c r="R1249" s="7">
        <f t="shared" si="1314"/>
        <v>85.5</v>
      </c>
      <c r="S1249" t="str">
        <f t="shared" si="1315"/>
        <v>music</v>
      </c>
      <c r="T1249" t="str">
        <f t="shared" si="1316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ref="K1250:L1250" si="1347">(J1250/60/60/24)+DATE(1970,1,1)</f>
        <v>41767.656863425924</v>
      </c>
      <c r="L1250" s="11">
        <f t="shared" si="1312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313"/>
        <v>151.63999999999999</v>
      </c>
      <c r="R1250" s="7">
        <f t="shared" si="1314"/>
        <v>64.254237288135599</v>
      </c>
      <c r="S1250" t="str">
        <f t="shared" si="1315"/>
        <v>music</v>
      </c>
      <c r="T1250" t="str">
        <f t="shared" si="1316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ref="K1251:L1251" si="1348">(J1251/60/60/24)+DATE(1970,1,1)</f>
        <v>41067.74086805556</v>
      </c>
      <c r="L1251" s="11">
        <f t="shared" si="1312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313"/>
        <v>104.44</v>
      </c>
      <c r="R1251" s="7">
        <f t="shared" si="1314"/>
        <v>64.46913580246914</v>
      </c>
      <c r="S1251" t="str">
        <f t="shared" si="1315"/>
        <v>music</v>
      </c>
      <c r="T1251" t="str">
        <f t="shared" si="1316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ref="K1252:L1252" si="1349">(J1252/60/60/24)+DATE(1970,1,1)</f>
        <v>41843.64271990741</v>
      </c>
      <c r="L1252" s="11">
        <f t="shared" si="1312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313"/>
        <v>200.15333333333331</v>
      </c>
      <c r="R1252" s="7">
        <f t="shared" si="1314"/>
        <v>118.2007874015748</v>
      </c>
      <c r="S1252" t="str">
        <f t="shared" si="1315"/>
        <v>music</v>
      </c>
      <c r="T1252" t="str">
        <f t="shared" si="1316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ref="K1253:L1253" si="1350">(J1253/60/60/24)+DATE(1970,1,1)</f>
        <v>40751.814432870371</v>
      </c>
      <c r="L1253" s="11">
        <f t="shared" si="1312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313"/>
        <v>101.8</v>
      </c>
      <c r="R1253" s="7">
        <f t="shared" si="1314"/>
        <v>82.540540540540547</v>
      </c>
      <c r="S1253" t="str">
        <f t="shared" si="1315"/>
        <v>music</v>
      </c>
      <c r="T1253" t="str">
        <f t="shared" si="1316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ref="K1254:L1254" si="1351">(J1254/60/60/24)+DATE(1970,1,1)</f>
        <v>41543.988067129627</v>
      </c>
      <c r="L1254" s="11">
        <f t="shared" si="1312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313"/>
        <v>137.65714285714284</v>
      </c>
      <c r="R1254" s="7">
        <f t="shared" si="1314"/>
        <v>34.170212765957444</v>
      </c>
      <c r="S1254" t="str">
        <f t="shared" si="1315"/>
        <v>music</v>
      </c>
      <c r="T1254" t="str">
        <f t="shared" si="1316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ref="K1255:L1255" si="1352">(J1255/60/60/24)+DATE(1970,1,1)</f>
        <v>41855.783645833333</v>
      </c>
      <c r="L1255" s="11">
        <f t="shared" si="1312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313"/>
        <v>303833.2</v>
      </c>
      <c r="R1255" s="7">
        <f t="shared" si="1314"/>
        <v>42.73322081575246</v>
      </c>
      <c r="S1255" t="str">
        <f t="shared" si="1315"/>
        <v>music</v>
      </c>
      <c r="T1255" t="str">
        <f t="shared" si="1316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ref="K1256:L1256" si="1353">(J1256/60/60/24)+DATE(1970,1,1)</f>
        <v>40487.621365740742</v>
      </c>
      <c r="L1256" s="11">
        <f t="shared" si="1312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313"/>
        <v>198.85074626865671</v>
      </c>
      <c r="R1256" s="7">
        <f t="shared" si="1314"/>
        <v>94.489361702127653</v>
      </c>
      <c r="S1256" t="str">
        <f t="shared" si="1315"/>
        <v>music</v>
      </c>
      <c r="T1256" t="str">
        <f t="shared" si="1316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ref="K1257:L1257" si="1354">(J1257/60/60/24)+DATE(1970,1,1)</f>
        <v>41579.845509259263</v>
      </c>
      <c r="L1257" s="11">
        <f t="shared" si="1312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313"/>
        <v>202.36666666666667</v>
      </c>
      <c r="R1257" s="7">
        <f t="shared" si="1314"/>
        <v>55.697247706422019</v>
      </c>
      <c r="S1257" t="str">
        <f t="shared" si="1315"/>
        <v>music</v>
      </c>
      <c r="T1257" t="str">
        <f t="shared" si="1316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ref="K1258:L1258" si="1355">(J1258/60/60/24)+DATE(1970,1,1)</f>
        <v>40921.919340277782</v>
      </c>
      <c r="L1258" s="11">
        <f t="shared" si="1312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313"/>
        <v>117.96376666666666</v>
      </c>
      <c r="R1258" s="7">
        <f t="shared" si="1314"/>
        <v>98.030831024930734</v>
      </c>
      <c r="S1258" t="str">
        <f t="shared" si="1315"/>
        <v>music</v>
      </c>
      <c r="T1258" t="str">
        <f t="shared" si="1316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ref="K1259:L1259" si="1356">(J1259/60/60/24)+DATE(1970,1,1)</f>
        <v>40587.085532407407</v>
      </c>
      <c r="L1259" s="11">
        <f t="shared" si="1312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313"/>
        <v>294.72727272727275</v>
      </c>
      <c r="R1259" s="7">
        <f t="shared" si="1314"/>
        <v>92.102272727272734</v>
      </c>
      <c r="S1259" t="str">
        <f t="shared" si="1315"/>
        <v>music</v>
      </c>
      <c r="T1259" t="str">
        <f t="shared" si="1316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ref="K1260:L1260" si="1357">(J1260/60/60/24)+DATE(1970,1,1)</f>
        <v>41487.611250000002</v>
      </c>
      <c r="L1260" s="11">
        <f t="shared" si="1312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313"/>
        <v>213.14633333333336</v>
      </c>
      <c r="R1260" s="7">
        <f t="shared" si="1314"/>
        <v>38.175462686567165</v>
      </c>
      <c r="S1260" t="str">
        <f t="shared" si="1315"/>
        <v>music</v>
      </c>
      <c r="T1260" t="str">
        <f t="shared" si="1316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ref="K1261:L1261" si="1358">(J1261/60/60/24)+DATE(1970,1,1)</f>
        <v>41766.970648148148</v>
      </c>
      <c r="L1261" s="11">
        <f t="shared" si="1312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313"/>
        <v>104.24</v>
      </c>
      <c r="R1261" s="7">
        <f t="shared" si="1314"/>
        <v>27.145833333333332</v>
      </c>
      <c r="S1261" t="str">
        <f t="shared" si="1315"/>
        <v>music</v>
      </c>
      <c r="T1261" t="str">
        <f t="shared" si="1316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ref="K1262:L1262" si="1359">(J1262/60/60/24)+DATE(1970,1,1)</f>
        <v>41666.842824074076</v>
      </c>
      <c r="L1262" s="11">
        <f t="shared" si="1312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313"/>
        <v>113.66666666666667</v>
      </c>
      <c r="R1262" s="7">
        <f t="shared" si="1314"/>
        <v>50.689189189189186</v>
      </c>
      <c r="S1262" t="str">
        <f t="shared" si="1315"/>
        <v>music</v>
      </c>
      <c r="T1262" t="str">
        <f t="shared" si="1316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ref="K1263:L1263" si="1360">(J1263/60/60/24)+DATE(1970,1,1)</f>
        <v>41638.342905092592</v>
      </c>
      <c r="L1263" s="11">
        <f t="shared" si="1312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313"/>
        <v>101.25</v>
      </c>
      <c r="R1263" s="7">
        <f t="shared" si="1314"/>
        <v>38.942307692307693</v>
      </c>
      <c r="S1263" t="str">
        <f t="shared" si="1315"/>
        <v>music</v>
      </c>
      <c r="T1263" t="str">
        <f t="shared" si="1316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ref="K1264:L1264" si="1361">(J1264/60/60/24)+DATE(1970,1,1)</f>
        <v>41656.762638888889</v>
      </c>
      <c r="L1264" s="11">
        <f t="shared" si="1312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313"/>
        <v>125.41538461538462</v>
      </c>
      <c r="R1264" s="7">
        <f t="shared" si="1314"/>
        <v>77.638095238095232</v>
      </c>
      <c r="S1264" t="str">
        <f t="shared" si="1315"/>
        <v>music</v>
      </c>
      <c r="T1264" t="str">
        <f t="shared" si="1316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ref="K1265:L1265" si="1362">(J1265/60/60/24)+DATE(1970,1,1)</f>
        <v>41692.084143518521</v>
      </c>
      <c r="L1265" s="11">
        <f t="shared" si="1312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313"/>
        <v>119</v>
      </c>
      <c r="R1265" s="7">
        <f t="shared" si="1314"/>
        <v>43.536585365853661</v>
      </c>
      <c r="S1265" t="str">
        <f t="shared" si="1315"/>
        <v>music</v>
      </c>
      <c r="T1265" t="str">
        <f t="shared" si="1316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ref="K1266:L1266" si="1363">(J1266/60/60/24)+DATE(1970,1,1)</f>
        <v>41547.662997685184</v>
      </c>
      <c r="L1266" s="11">
        <f t="shared" si="1312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313"/>
        <v>166.46153846153845</v>
      </c>
      <c r="R1266" s="7">
        <f t="shared" si="1314"/>
        <v>31.823529411764707</v>
      </c>
      <c r="S1266" t="str">
        <f t="shared" si="1315"/>
        <v>music</v>
      </c>
      <c r="T1266" t="str">
        <f t="shared" si="1316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ref="K1267:L1267" si="1364">(J1267/60/60/24)+DATE(1970,1,1)</f>
        <v>40465.655266203699</v>
      </c>
      <c r="L1267" s="11">
        <f t="shared" si="1312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313"/>
        <v>119.14771428571429</v>
      </c>
      <c r="R1267" s="7">
        <f t="shared" si="1314"/>
        <v>63.184393939393942</v>
      </c>
      <c r="S1267" t="str">
        <f t="shared" si="1315"/>
        <v>music</v>
      </c>
      <c r="T1267" t="str">
        <f t="shared" si="1316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ref="K1268:L1268" si="1365">(J1268/60/60/24)+DATE(1970,1,1)</f>
        <v>41620.87667824074</v>
      </c>
      <c r="L1268" s="11">
        <f t="shared" si="1312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313"/>
        <v>100.47368421052632</v>
      </c>
      <c r="R1268" s="7">
        <f t="shared" si="1314"/>
        <v>190.9</v>
      </c>
      <c r="S1268" t="str">
        <f t="shared" si="1315"/>
        <v>music</v>
      </c>
      <c r="T1268" t="str">
        <f t="shared" si="1316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ref="K1269:L1269" si="1366">(J1269/60/60/24)+DATE(1970,1,1)</f>
        <v>41449.585162037038</v>
      </c>
      <c r="L1269" s="11">
        <f t="shared" si="1312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313"/>
        <v>101.8</v>
      </c>
      <c r="R1269" s="7">
        <f t="shared" si="1314"/>
        <v>140.85534591194968</v>
      </c>
      <c r="S1269" t="str">
        <f t="shared" si="1315"/>
        <v>music</v>
      </c>
      <c r="T1269" t="str">
        <f t="shared" si="1316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ref="K1270:L1270" si="1367">(J1270/60/60/24)+DATE(1970,1,1)</f>
        <v>41507.845451388886</v>
      </c>
      <c r="L1270" s="11">
        <f t="shared" si="1312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313"/>
        <v>116.66666666666667</v>
      </c>
      <c r="R1270" s="7">
        <f t="shared" si="1314"/>
        <v>76.92307692307692</v>
      </c>
      <c r="S1270" t="str">
        <f t="shared" si="1315"/>
        <v>music</v>
      </c>
      <c r="T1270" t="str">
        <f t="shared" si="1316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ref="K1271:L1271" si="1368">(J1271/60/60/24)+DATE(1970,1,1)</f>
        <v>42445.823055555549</v>
      </c>
      <c r="L1271" s="11">
        <f t="shared" si="1312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313"/>
        <v>108.64893617021276</v>
      </c>
      <c r="R1271" s="7">
        <f t="shared" si="1314"/>
        <v>99.15533980582525</v>
      </c>
      <c r="S1271" t="str">
        <f t="shared" si="1315"/>
        <v>music</v>
      </c>
      <c r="T1271" t="str">
        <f t="shared" si="1316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ref="K1272:L1272" si="1369">(J1272/60/60/24)+DATE(1970,1,1)</f>
        <v>40933.856967592597</v>
      </c>
      <c r="L1272" s="11">
        <f t="shared" si="1312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313"/>
        <v>114.72</v>
      </c>
      <c r="R1272" s="7">
        <f t="shared" si="1314"/>
        <v>67.881656804733723</v>
      </c>
      <c r="S1272" t="str">
        <f t="shared" si="1315"/>
        <v>music</v>
      </c>
      <c r="T1272" t="str">
        <f t="shared" si="1316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ref="K1273:L1273" si="1370">(J1273/60/60/24)+DATE(1970,1,1)</f>
        <v>41561.683553240742</v>
      </c>
      <c r="L1273" s="11">
        <f t="shared" si="1312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313"/>
        <v>101.8</v>
      </c>
      <c r="R1273" s="7">
        <f t="shared" si="1314"/>
        <v>246.29032258064515</v>
      </c>
      <c r="S1273" t="str">
        <f t="shared" si="1315"/>
        <v>music</v>
      </c>
      <c r="T1273" t="str">
        <f t="shared" si="1316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ref="K1274:L1274" si="1371">(J1274/60/60/24)+DATE(1970,1,1)</f>
        <v>40274.745127314818</v>
      </c>
      <c r="L1274" s="11">
        <f t="shared" si="1312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313"/>
        <v>106</v>
      </c>
      <c r="R1274" s="7">
        <f t="shared" si="1314"/>
        <v>189.28571428571428</v>
      </c>
      <c r="S1274" t="str">
        <f t="shared" si="1315"/>
        <v>music</v>
      </c>
      <c r="T1274" t="str">
        <f t="shared" si="1316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ref="K1275:L1275" si="1372">(J1275/60/60/24)+DATE(1970,1,1)</f>
        <v>41852.730219907404</v>
      </c>
      <c r="L1275" s="11">
        <f t="shared" si="1312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313"/>
        <v>103.49999999999999</v>
      </c>
      <c r="R1275" s="7">
        <f t="shared" si="1314"/>
        <v>76.666666666666671</v>
      </c>
      <c r="S1275" t="str">
        <f t="shared" si="1315"/>
        <v>music</v>
      </c>
      <c r="T1275" t="str">
        <f t="shared" si="1316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ref="K1276:L1276" si="1373">(J1276/60/60/24)+DATE(1970,1,1)</f>
        <v>41116.690104166664</v>
      </c>
      <c r="L1276" s="11">
        <f t="shared" si="1312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313"/>
        <v>154.97535999999999</v>
      </c>
      <c r="R1276" s="7">
        <f t="shared" si="1314"/>
        <v>82.963254817987149</v>
      </c>
      <c r="S1276" t="str">
        <f t="shared" si="1315"/>
        <v>music</v>
      </c>
      <c r="T1276" t="str">
        <f t="shared" si="1316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ref="K1277:L1277" si="1374">(J1277/60/60/24)+DATE(1970,1,1)</f>
        <v>41458.867905092593</v>
      </c>
      <c r="L1277" s="11">
        <f t="shared" si="1312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313"/>
        <v>162.14066666666668</v>
      </c>
      <c r="R1277" s="7">
        <f t="shared" si="1314"/>
        <v>62.522107969151669</v>
      </c>
      <c r="S1277" t="str">
        <f t="shared" si="1315"/>
        <v>music</v>
      </c>
      <c r="T1277" t="str">
        <f t="shared" si="1316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ref="K1278:L1278" si="1375">(J1278/60/60/24)+DATE(1970,1,1)</f>
        <v>40007.704247685186</v>
      </c>
      <c r="L1278" s="11">
        <f t="shared" si="1312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313"/>
        <v>104.42100000000001</v>
      </c>
      <c r="R1278" s="7">
        <f t="shared" si="1314"/>
        <v>46.06808823529412</v>
      </c>
      <c r="S1278" t="str">
        <f t="shared" si="1315"/>
        <v>music</v>
      </c>
      <c r="T1278" t="str">
        <f t="shared" si="1316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ref="K1279:L1279" si="1376">(J1279/60/60/24)+DATE(1970,1,1)</f>
        <v>41121.561886574076</v>
      </c>
      <c r="L1279" s="11">
        <f t="shared" si="1312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313"/>
        <v>106.12433333333333</v>
      </c>
      <c r="R1279" s="7">
        <f t="shared" si="1314"/>
        <v>38.543946731234868</v>
      </c>
      <c r="S1279" t="str">
        <f t="shared" si="1315"/>
        <v>music</v>
      </c>
      <c r="T1279" t="str">
        <f t="shared" si="1316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ref="K1280:L1280" si="1377">(J1280/60/60/24)+DATE(1970,1,1)</f>
        <v>41786.555162037039</v>
      </c>
      <c r="L1280" s="11">
        <f t="shared" si="1312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313"/>
        <v>154.93846153846152</v>
      </c>
      <c r="R1280" s="7">
        <f t="shared" si="1314"/>
        <v>53.005263157894738</v>
      </c>
      <c r="S1280" t="str">
        <f t="shared" si="1315"/>
        <v>music</v>
      </c>
      <c r="T1280" t="str">
        <f t="shared" si="1316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ref="K1281:L1281" si="1378">(J1281/60/60/24)+DATE(1970,1,1)</f>
        <v>41682.099189814813</v>
      </c>
      <c r="L1281" s="11">
        <f t="shared" si="1312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313"/>
        <v>110.77157238734421</v>
      </c>
      <c r="R1281" s="7">
        <f t="shared" si="1314"/>
        <v>73.355396825396824</v>
      </c>
      <c r="S1281" t="str">
        <f t="shared" si="1315"/>
        <v>music</v>
      </c>
      <c r="T1281" t="str">
        <f t="shared" si="1316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ref="K1282:L1282" si="1379">(J1282/60/60/24)+DATE(1970,1,1)</f>
        <v>40513.757569444446</v>
      </c>
      <c r="L1282" s="11">
        <f t="shared" si="1312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313"/>
        <v>110.91186666666665</v>
      </c>
      <c r="R1282" s="7">
        <f t="shared" si="1314"/>
        <v>127.97523076923076</v>
      </c>
      <c r="S1282" t="str">
        <f t="shared" si="1315"/>
        <v>music</v>
      </c>
      <c r="T1282" t="str">
        <f t="shared" si="1316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ref="K1283:L1283" si="1380">(J1283/60/60/24)+DATE(1970,1,1)</f>
        <v>41463.743472222224</v>
      </c>
      <c r="L1283" s="11">
        <f t="shared" ref="L1283:L1346" si="1381">(I1283/60/60/24)+DATE(1970,1,1)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382">(E1283/D1283)*100</f>
        <v>110.71428571428572</v>
      </c>
      <c r="R1283" s="7">
        <f t="shared" ref="R1283:R1346" si="1383">IFERROR(E1283/N1283, 0)</f>
        <v>104.72972972972973</v>
      </c>
      <c r="S1283" t="str">
        <f t="shared" ref="S1283:S1346" si="1384">LEFT(P1283, SEARCH("/", P1283,1)-1)</f>
        <v>music</v>
      </c>
      <c r="T1283" t="str">
        <f t="shared" ref="T1283:T1346" si="1385">RIGHT(P1283,LEN(P1283)-SEARCH("/",P1283,SEARCH("/",P1283)))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ref="K1284:L1284" si="1386">(J1284/60/60/24)+DATE(1970,1,1)</f>
        <v>41586.475173611114</v>
      </c>
      <c r="L1284" s="11">
        <f t="shared" si="13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382"/>
        <v>123.61333333333333</v>
      </c>
      <c r="R1284" s="7">
        <f t="shared" si="1383"/>
        <v>67.671532846715323</v>
      </c>
      <c r="S1284" t="str">
        <f t="shared" si="1384"/>
        <v>music</v>
      </c>
      <c r="T1284" t="str">
        <f t="shared" si="138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ref="K1285:L1285" si="1387">(J1285/60/60/24)+DATE(1970,1,1)</f>
        <v>41320.717465277776</v>
      </c>
      <c r="L1285" s="11">
        <f t="shared" si="13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382"/>
        <v>211.05</v>
      </c>
      <c r="R1285" s="7">
        <f t="shared" si="1383"/>
        <v>95.931818181818187</v>
      </c>
      <c r="S1285" t="str">
        <f t="shared" si="1384"/>
        <v>music</v>
      </c>
      <c r="T1285" t="str">
        <f t="shared" si="138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ref="K1286:L1286" si="1388">(J1286/60/60/24)+DATE(1970,1,1)</f>
        <v>42712.23474537037</v>
      </c>
      <c r="L1286" s="11">
        <f t="shared" si="13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382"/>
        <v>101</v>
      </c>
      <c r="R1286" s="7">
        <f t="shared" si="1383"/>
        <v>65.161290322580641</v>
      </c>
      <c r="S1286" t="str">
        <f t="shared" si="1384"/>
        <v>theater</v>
      </c>
      <c r="T1286" t="str">
        <f t="shared" si="138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ref="K1287:L1287" si="1389">(J1287/60/60/24)+DATE(1970,1,1)</f>
        <v>42160.583043981482</v>
      </c>
      <c r="L1287" s="11">
        <f t="shared" si="13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382"/>
        <v>101.64999999999999</v>
      </c>
      <c r="R1287" s="7">
        <f t="shared" si="1383"/>
        <v>32.269841269841272</v>
      </c>
      <c r="S1287" t="str">
        <f t="shared" si="1384"/>
        <v>theater</v>
      </c>
      <c r="T1287" t="str">
        <f t="shared" si="138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ref="K1288:L1288" si="1390">(J1288/60/60/24)+DATE(1970,1,1)</f>
        <v>42039.384571759263</v>
      </c>
      <c r="L1288" s="11">
        <f t="shared" si="13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382"/>
        <v>108.33333333333333</v>
      </c>
      <c r="R1288" s="7">
        <f t="shared" si="1383"/>
        <v>81.25</v>
      </c>
      <c r="S1288" t="str">
        <f t="shared" si="1384"/>
        <v>theater</v>
      </c>
      <c r="T1288" t="str">
        <f t="shared" si="138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ref="K1289:L1289" si="1391">(J1289/60/60/24)+DATE(1970,1,1)</f>
        <v>42107.621018518519</v>
      </c>
      <c r="L1289" s="11">
        <f t="shared" si="13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382"/>
        <v>242</v>
      </c>
      <c r="R1289" s="7">
        <f t="shared" si="1383"/>
        <v>24.2</v>
      </c>
      <c r="S1289" t="str">
        <f t="shared" si="1384"/>
        <v>theater</v>
      </c>
      <c r="T1289" t="str">
        <f t="shared" si="138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ref="K1290:L1290" si="1392">(J1290/60/60/24)+DATE(1970,1,1)</f>
        <v>42561.154664351852</v>
      </c>
      <c r="L1290" s="11">
        <f t="shared" si="13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382"/>
        <v>100.44999999999999</v>
      </c>
      <c r="R1290" s="7">
        <f t="shared" si="1383"/>
        <v>65.868852459016395</v>
      </c>
      <c r="S1290" t="str">
        <f t="shared" si="1384"/>
        <v>theater</v>
      </c>
      <c r="T1290" t="str">
        <f t="shared" si="138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ref="K1291:L1291" si="1393">(J1291/60/60/24)+DATE(1970,1,1)</f>
        <v>42709.134780092587</v>
      </c>
      <c r="L1291" s="11">
        <f t="shared" si="13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382"/>
        <v>125.06666666666666</v>
      </c>
      <c r="R1291" s="7">
        <f t="shared" si="1383"/>
        <v>36.07692307692308</v>
      </c>
      <c r="S1291" t="str">
        <f t="shared" si="1384"/>
        <v>theater</v>
      </c>
      <c r="T1291" t="str">
        <f t="shared" si="138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ref="K1292:L1292" si="1394">(J1292/60/60/24)+DATE(1970,1,1)</f>
        <v>42086.614942129629</v>
      </c>
      <c r="L1292" s="11">
        <f t="shared" si="13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382"/>
        <v>108.57142857142857</v>
      </c>
      <c r="R1292" s="7">
        <f t="shared" si="1383"/>
        <v>44.186046511627907</v>
      </c>
      <c r="S1292" t="str">
        <f t="shared" si="1384"/>
        <v>theater</v>
      </c>
      <c r="T1292" t="str">
        <f t="shared" si="138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ref="K1293:L1293" si="1395">(J1293/60/60/24)+DATE(1970,1,1)</f>
        <v>42064.652673611112</v>
      </c>
      <c r="L1293" s="11">
        <f t="shared" si="13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382"/>
        <v>145.70000000000002</v>
      </c>
      <c r="R1293" s="7">
        <f t="shared" si="1383"/>
        <v>104.07142857142857</v>
      </c>
      <c r="S1293" t="str">
        <f t="shared" si="1384"/>
        <v>theater</v>
      </c>
      <c r="T1293" t="str">
        <f t="shared" si="138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ref="K1294:L1294" si="1396">(J1294/60/60/24)+DATE(1970,1,1)</f>
        <v>42256.764212962968</v>
      </c>
      <c r="L1294" s="11">
        <f t="shared" si="13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382"/>
        <v>110.00000000000001</v>
      </c>
      <c r="R1294" s="7">
        <f t="shared" si="1383"/>
        <v>35.96153846153846</v>
      </c>
      <c r="S1294" t="str">
        <f t="shared" si="1384"/>
        <v>theater</v>
      </c>
      <c r="T1294" t="str">
        <f t="shared" si="138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ref="K1295:L1295" si="1397">(J1295/60/60/24)+DATE(1970,1,1)</f>
        <v>42292.701053240744</v>
      </c>
      <c r="L1295" s="11">
        <f t="shared" si="13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382"/>
        <v>102.23333333333333</v>
      </c>
      <c r="R1295" s="7">
        <f t="shared" si="1383"/>
        <v>127.79166666666667</v>
      </c>
      <c r="S1295" t="str">
        <f t="shared" si="1384"/>
        <v>theater</v>
      </c>
      <c r="T1295" t="str">
        <f t="shared" si="138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ref="K1296:L1296" si="1398">(J1296/60/60/24)+DATE(1970,1,1)</f>
        <v>42278.453668981485</v>
      </c>
      <c r="L1296" s="11">
        <f t="shared" si="13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382"/>
        <v>122</v>
      </c>
      <c r="R1296" s="7">
        <f t="shared" si="1383"/>
        <v>27.727272727272727</v>
      </c>
      <c r="S1296" t="str">
        <f t="shared" si="1384"/>
        <v>theater</v>
      </c>
      <c r="T1296" t="str">
        <f t="shared" si="138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ref="K1297:L1297" si="1399">(J1297/60/60/24)+DATE(1970,1,1)</f>
        <v>42184.572881944448</v>
      </c>
      <c r="L1297" s="11">
        <f t="shared" si="13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382"/>
        <v>101.96000000000001</v>
      </c>
      <c r="R1297" s="7">
        <f t="shared" si="1383"/>
        <v>39.828125</v>
      </c>
      <c r="S1297" t="str">
        <f t="shared" si="1384"/>
        <v>theater</v>
      </c>
      <c r="T1297" t="str">
        <f t="shared" si="138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ref="K1298:L1298" si="1400">(J1298/60/60/24)+DATE(1970,1,1)</f>
        <v>42423.050613425927</v>
      </c>
      <c r="L1298" s="11">
        <f t="shared" si="13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382"/>
        <v>141.1764705882353</v>
      </c>
      <c r="R1298" s="7">
        <f t="shared" si="1383"/>
        <v>52.173913043478258</v>
      </c>
      <c r="S1298" t="str">
        <f t="shared" si="1384"/>
        <v>theater</v>
      </c>
      <c r="T1298" t="str">
        <f t="shared" si="138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ref="K1299:L1299" si="1401">(J1299/60/60/24)+DATE(1970,1,1)</f>
        <v>42461.747199074074</v>
      </c>
      <c r="L1299" s="11">
        <f t="shared" si="13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382"/>
        <v>109.52500000000001</v>
      </c>
      <c r="R1299" s="7">
        <f t="shared" si="1383"/>
        <v>92.037815126050418</v>
      </c>
      <c r="S1299" t="str">
        <f t="shared" si="1384"/>
        <v>theater</v>
      </c>
      <c r="T1299" t="str">
        <f t="shared" si="138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ref="K1300:L1300" si="1402">(J1300/60/60/24)+DATE(1970,1,1)</f>
        <v>42458.680925925932</v>
      </c>
      <c r="L1300" s="11">
        <f t="shared" si="13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382"/>
        <v>104.65</v>
      </c>
      <c r="R1300" s="7">
        <f t="shared" si="1383"/>
        <v>63.424242424242422</v>
      </c>
      <c r="S1300" t="str">
        <f t="shared" si="1384"/>
        <v>theater</v>
      </c>
      <c r="T1300" t="str">
        <f t="shared" si="138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ref="K1301:L1301" si="1403">(J1301/60/60/24)+DATE(1970,1,1)</f>
        <v>42169.814340277779</v>
      </c>
      <c r="L1301" s="11">
        <f t="shared" si="13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382"/>
        <v>124</v>
      </c>
      <c r="R1301" s="7">
        <f t="shared" si="1383"/>
        <v>135.625</v>
      </c>
      <c r="S1301" t="str">
        <f t="shared" si="1384"/>
        <v>theater</v>
      </c>
      <c r="T1301" t="str">
        <f t="shared" si="138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ref="K1302:L1302" si="1404">(J1302/60/60/24)+DATE(1970,1,1)</f>
        <v>42483.675208333334</v>
      </c>
      <c r="L1302" s="11">
        <f t="shared" si="13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382"/>
        <v>135</v>
      </c>
      <c r="R1302" s="7">
        <f t="shared" si="1383"/>
        <v>168.75</v>
      </c>
      <c r="S1302" t="str">
        <f t="shared" si="1384"/>
        <v>theater</v>
      </c>
      <c r="T1302" t="str">
        <f t="shared" si="138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ref="K1303:L1303" si="1405">(J1303/60/60/24)+DATE(1970,1,1)</f>
        <v>42195.749745370369</v>
      </c>
      <c r="L1303" s="11">
        <f t="shared" si="1381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382"/>
        <v>102.75000000000001</v>
      </c>
      <c r="R1303" s="7">
        <f t="shared" si="1383"/>
        <v>70.862068965517238</v>
      </c>
      <c r="S1303" t="str">
        <f t="shared" si="1384"/>
        <v>theater</v>
      </c>
      <c r="T1303" t="str">
        <f t="shared" si="138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ref="K1304:L1304" si="1406">(J1304/60/60/24)+DATE(1970,1,1)</f>
        <v>42675.057997685188</v>
      </c>
      <c r="L1304" s="11">
        <f t="shared" si="13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382"/>
        <v>100</v>
      </c>
      <c r="R1304" s="7">
        <f t="shared" si="1383"/>
        <v>50</v>
      </c>
      <c r="S1304" t="str">
        <f t="shared" si="1384"/>
        <v>theater</v>
      </c>
      <c r="T1304" t="str">
        <f t="shared" si="138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ref="K1305:L1305" si="1407">(J1305/60/60/24)+DATE(1970,1,1)</f>
        <v>42566.441203703704</v>
      </c>
      <c r="L1305" s="11">
        <f t="shared" si="13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382"/>
        <v>130.26085714285716</v>
      </c>
      <c r="R1305" s="7">
        <f t="shared" si="1383"/>
        <v>42.214166666666671</v>
      </c>
      <c r="S1305" t="str">
        <f t="shared" si="1384"/>
        <v>theater</v>
      </c>
      <c r="T1305" t="str">
        <f t="shared" si="138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ref="K1306:L1306" si="1408">(J1306/60/60/24)+DATE(1970,1,1)</f>
        <v>42747.194502314815</v>
      </c>
      <c r="L1306" s="11">
        <f t="shared" si="13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382"/>
        <v>39.627499999999998</v>
      </c>
      <c r="R1306" s="7">
        <f t="shared" si="1383"/>
        <v>152.41346153846155</v>
      </c>
      <c r="S1306" t="str">
        <f t="shared" si="1384"/>
        <v>technology</v>
      </c>
      <c r="T1306" t="str">
        <f t="shared" si="138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ref="K1307:L1307" si="1409">(J1307/60/60/24)+DATE(1970,1,1)</f>
        <v>42543.665601851855</v>
      </c>
      <c r="L1307" s="11">
        <f t="shared" si="13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382"/>
        <v>25.976666666666663</v>
      </c>
      <c r="R1307" s="7">
        <f t="shared" si="1383"/>
        <v>90.616279069767444</v>
      </c>
      <c r="S1307" t="str">
        <f t="shared" si="1384"/>
        <v>technology</v>
      </c>
      <c r="T1307" t="str">
        <f t="shared" si="138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ref="K1308:L1308" si="1410">(J1308/60/60/24)+DATE(1970,1,1)</f>
        <v>41947.457569444443</v>
      </c>
      <c r="L1308" s="11">
        <f t="shared" si="13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382"/>
        <v>65.24636363636364</v>
      </c>
      <c r="R1308" s="7">
        <f t="shared" si="1383"/>
        <v>201.60393258426967</v>
      </c>
      <c r="S1308" t="str">
        <f t="shared" si="1384"/>
        <v>technology</v>
      </c>
      <c r="T1308" t="str">
        <f t="shared" si="138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ref="K1309:L1309" si="1411">(J1309/60/60/24)+DATE(1970,1,1)</f>
        <v>42387.503229166665</v>
      </c>
      <c r="L1309" s="11">
        <f t="shared" si="13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382"/>
        <v>11.514000000000001</v>
      </c>
      <c r="R1309" s="7">
        <f t="shared" si="1383"/>
        <v>127.93333333333334</v>
      </c>
      <c r="S1309" t="str">
        <f t="shared" si="1384"/>
        <v>technology</v>
      </c>
      <c r="T1309" t="str">
        <f t="shared" si="138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ref="K1310:L1310" si="1412">(J1310/60/60/24)+DATE(1970,1,1)</f>
        <v>42611.613564814819</v>
      </c>
      <c r="L1310" s="11">
        <f t="shared" si="13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382"/>
        <v>11.360000000000001</v>
      </c>
      <c r="R1310" s="7">
        <f t="shared" si="1383"/>
        <v>29.894736842105264</v>
      </c>
      <c r="S1310" t="str">
        <f t="shared" si="1384"/>
        <v>technology</v>
      </c>
      <c r="T1310" t="str">
        <f t="shared" si="138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ref="K1311:L1311" si="1413">(J1311/60/60/24)+DATE(1970,1,1)</f>
        <v>42257.882731481484</v>
      </c>
      <c r="L1311" s="11">
        <f t="shared" si="13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382"/>
        <v>111.99130434782609</v>
      </c>
      <c r="R1311" s="7">
        <f t="shared" si="1383"/>
        <v>367.97142857142859</v>
      </c>
      <c r="S1311" t="str">
        <f t="shared" si="1384"/>
        <v>technology</v>
      </c>
      <c r="T1311" t="str">
        <f t="shared" si="138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ref="K1312:L1312" si="1414">(J1312/60/60/24)+DATE(1970,1,1)</f>
        <v>42556.667245370365</v>
      </c>
      <c r="L1312" s="11">
        <f t="shared" si="13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382"/>
        <v>15.5</v>
      </c>
      <c r="R1312" s="7">
        <f t="shared" si="1383"/>
        <v>129.16666666666666</v>
      </c>
      <c r="S1312" t="str">
        <f t="shared" si="1384"/>
        <v>technology</v>
      </c>
      <c r="T1312" t="str">
        <f t="shared" si="138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ref="K1313:L1313" si="1415">(J1313/60/60/24)+DATE(1970,1,1)</f>
        <v>42669.802303240736</v>
      </c>
      <c r="L1313" s="11">
        <f t="shared" si="13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382"/>
        <v>32.027999999999999</v>
      </c>
      <c r="R1313" s="7">
        <f t="shared" si="1383"/>
        <v>800.7</v>
      </c>
      <c r="S1313" t="str">
        <f t="shared" si="1384"/>
        <v>technology</v>
      </c>
      <c r="T1313" t="str">
        <f t="shared" si="138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ref="K1314:L1314" si="1416">(J1314/60/60/24)+DATE(1970,1,1)</f>
        <v>42082.702800925923</v>
      </c>
      <c r="L1314" s="11">
        <f t="shared" si="13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382"/>
        <v>0.60869565217391308</v>
      </c>
      <c r="R1314" s="7">
        <f t="shared" si="1383"/>
        <v>28</v>
      </c>
      <c r="S1314" t="str">
        <f t="shared" si="1384"/>
        <v>technology</v>
      </c>
      <c r="T1314" t="str">
        <f t="shared" si="138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ref="K1315:L1315" si="1417">(J1315/60/60/24)+DATE(1970,1,1)</f>
        <v>42402.709652777776</v>
      </c>
      <c r="L1315" s="11">
        <f t="shared" si="13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382"/>
        <v>31.114999999999998</v>
      </c>
      <c r="R1315" s="7">
        <f t="shared" si="1383"/>
        <v>102.01639344262296</v>
      </c>
      <c r="S1315" t="str">
        <f t="shared" si="1384"/>
        <v>technology</v>
      </c>
      <c r="T1315" t="str">
        <f t="shared" si="138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ref="K1316:L1316" si="1418">(J1316/60/60/24)+DATE(1970,1,1)</f>
        <v>42604.669675925921</v>
      </c>
      <c r="L1316" s="11">
        <f t="shared" si="13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382"/>
        <v>1.1266666666666667</v>
      </c>
      <c r="R1316" s="7">
        <f t="shared" si="1383"/>
        <v>184.36363636363637</v>
      </c>
      <c r="S1316" t="str">
        <f t="shared" si="1384"/>
        <v>technology</v>
      </c>
      <c r="T1316" t="str">
        <f t="shared" si="138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ref="K1317:L1317" si="1419">(J1317/60/60/24)+DATE(1970,1,1)</f>
        <v>42278.498240740737</v>
      </c>
      <c r="L1317" s="11">
        <f t="shared" si="13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382"/>
        <v>40.404000000000003</v>
      </c>
      <c r="R1317" s="7">
        <f t="shared" si="1383"/>
        <v>162.91935483870967</v>
      </c>
      <c r="S1317" t="str">
        <f t="shared" si="1384"/>
        <v>technology</v>
      </c>
      <c r="T1317" t="str">
        <f t="shared" si="138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ref="K1318:L1318" si="1420">(J1318/60/60/24)+DATE(1970,1,1)</f>
        <v>42393.961909722217</v>
      </c>
      <c r="L1318" s="11">
        <f t="shared" si="13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382"/>
        <v>1.3333333333333333E-3</v>
      </c>
      <c r="R1318" s="7">
        <f t="shared" si="1383"/>
        <v>1</v>
      </c>
      <c r="S1318" t="str">
        <f t="shared" si="1384"/>
        <v>technology</v>
      </c>
      <c r="T1318" t="str">
        <f t="shared" si="138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ref="K1319:L1319" si="1421">(J1319/60/60/24)+DATE(1970,1,1)</f>
        <v>42520.235486111109</v>
      </c>
      <c r="L1319" s="11">
        <f t="shared" si="13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382"/>
        <v>5.7334999999999994</v>
      </c>
      <c r="R1319" s="7">
        <f t="shared" si="1383"/>
        <v>603.52631578947364</v>
      </c>
      <c r="S1319" t="str">
        <f t="shared" si="1384"/>
        <v>technology</v>
      </c>
      <c r="T1319" t="str">
        <f t="shared" si="138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ref="K1320:L1320" si="1422">(J1320/60/60/24)+DATE(1970,1,1)</f>
        <v>41985.043657407412</v>
      </c>
      <c r="L1320" s="11">
        <f t="shared" si="13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382"/>
        <v>15.324999999999999</v>
      </c>
      <c r="R1320" s="7">
        <f t="shared" si="1383"/>
        <v>45.407407407407405</v>
      </c>
      <c r="S1320" t="str">
        <f t="shared" si="1384"/>
        <v>technology</v>
      </c>
      <c r="T1320" t="str">
        <f t="shared" si="138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ref="K1321:L1321" si="1423">(J1321/60/60/24)+DATE(1970,1,1)</f>
        <v>41816.812094907407</v>
      </c>
      <c r="L1321" s="11">
        <f t="shared" si="13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382"/>
        <v>15.103448275862069</v>
      </c>
      <c r="R1321" s="7">
        <f t="shared" si="1383"/>
        <v>97.333333333333329</v>
      </c>
      <c r="S1321" t="str">
        <f t="shared" si="1384"/>
        <v>technology</v>
      </c>
      <c r="T1321" t="str">
        <f t="shared" si="138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ref="K1322:L1322" si="1424">(J1322/60/60/24)+DATE(1970,1,1)</f>
        <v>42705.690347222218</v>
      </c>
      <c r="L1322" s="11">
        <f t="shared" si="13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382"/>
        <v>0.503</v>
      </c>
      <c r="R1322" s="7">
        <f t="shared" si="1383"/>
        <v>167.66666666666666</v>
      </c>
      <c r="S1322" t="str">
        <f t="shared" si="1384"/>
        <v>technology</v>
      </c>
      <c r="T1322" t="str">
        <f t="shared" si="138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ref="K1323:L1323" si="1425">(J1323/60/60/24)+DATE(1970,1,1)</f>
        <v>42697.74927083333</v>
      </c>
      <c r="L1323" s="11">
        <f t="shared" si="13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382"/>
        <v>1.3028138528138529</v>
      </c>
      <c r="R1323" s="7">
        <f t="shared" si="1383"/>
        <v>859.85714285714289</v>
      </c>
      <c r="S1323" t="str">
        <f t="shared" si="1384"/>
        <v>technology</v>
      </c>
      <c r="T1323" t="str">
        <f t="shared" si="138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ref="K1324:L1324" si="1426">(J1324/60/60/24)+DATE(1970,1,1)</f>
        <v>42115.656539351854</v>
      </c>
      <c r="L1324" s="11">
        <f t="shared" si="13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382"/>
        <v>0.30285714285714288</v>
      </c>
      <c r="R1324" s="7">
        <f t="shared" si="1383"/>
        <v>26.5</v>
      </c>
      <c r="S1324" t="str">
        <f t="shared" si="1384"/>
        <v>technology</v>
      </c>
      <c r="T1324" t="str">
        <f t="shared" si="138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ref="K1325:L1325" si="1427">(J1325/60/60/24)+DATE(1970,1,1)</f>
        <v>42451.698449074072</v>
      </c>
      <c r="L1325" s="11">
        <f t="shared" si="13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382"/>
        <v>8.8800000000000008</v>
      </c>
      <c r="R1325" s="7">
        <f t="shared" si="1383"/>
        <v>30.272727272727273</v>
      </c>
      <c r="S1325" t="str">
        <f t="shared" si="1384"/>
        <v>technology</v>
      </c>
      <c r="T1325" t="str">
        <f t="shared" si="138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ref="K1326:L1326" si="1428">(J1326/60/60/24)+DATE(1970,1,1)</f>
        <v>42626.633703703701</v>
      </c>
      <c r="L1326" s="11">
        <f t="shared" si="13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382"/>
        <v>9.84</v>
      </c>
      <c r="R1326" s="7">
        <f t="shared" si="1383"/>
        <v>54.666666666666664</v>
      </c>
      <c r="S1326" t="str">
        <f t="shared" si="1384"/>
        <v>technology</v>
      </c>
      <c r="T1326" t="str">
        <f t="shared" si="138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ref="K1327:L1327" si="1429">(J1327/60/60/24)+DATE(1970,1,1)</f>
        <v>42704.086053240739</v>
      </c>
      <c r="L1327" s="11">
        <f t="shared" si="13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382"/>
        <v>2.4299999999999997</v>
      </c>
      <c r="R1327" s="7">
        <f t="shared" si="1383"/>
        <v>60.75</v>
      </c>
      <c r="S1327" t="str">
        <f t="shared" si="1384"/>
        <v>technology</v>
      </c>
      <c r="T1327" t="str">
        <f t="shared" si="138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ref="K1328:L1328" si="1430">(J1328/60/60/24)+DATE(1970,1,1)</f>
        <v>41974.791990740734</v>
      </c>
      <c r="L1328" s="11">
        <f t="shared" si="13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382"/>
        <v>1.1299999999999999</v>
      </c>
      <c r="R1328" s="7">
        <f t="shared" si="1383"/>
        <v>102.72727272727273</v>
      </c>
      <c r="S1328" t="str">
        <f t="shared" si="1384"/>
        <v>technology</v>
      </c>
      <c r="T1328" t="str">
        <f t="shared" si="138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ref="K1329:L1329" si="1431">(J1329/60/60/24)+DATE(1970,1,1)</f>
        <v>42123.678645833337</v>
      </c>
      <c r="L1329" s="11">
        <f t="shared" si="13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382"/>
        <v>3.5520833333333335</v>
      </c>
      <c r="R1329" s="7">
        <f t="shared" si="1383"/>
        <v>41.585365853658537</v>
      </c>
      <c r="S1329" t="str">
        <f t="shared" si="1384"/>
        <v>technology</v>
      </c>
      <c r="T1329" t="str">
        <f t="shared" si="138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ref="K1330:L1330" si="1432">(J1330/60/60/24)+DATE(1970,1,1)</f>
        <v>42612.642754629633</v>
      </c>
      <c r="L1330" s="11">
        <f t="shared" si="13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382"/>
        <v>2.3306666666666667</v>
      </c>
      <c r="R1330" s="7">
        <f t="shared" si="1383"/>
        <v>116.53333333333333</v>
      </c>
      <c r="S1330" t="str">
        <f t="shared" si="1384"/>
        <v>technology</v>
      </c>
      <c r="T1330" t="str">
        <f t="shared" si="138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ref="K1331:L1331" si="1433">(J1331/60/60/24)+DATE(1970,1,1)</f>
        <v>41935.221585648149</v>
      </c>
      <c r="L1331" s="11">
        <f t="shared" si="13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382"/>
        <v>0.81600000000000006</v>
      </c>
      <c r="R1331" s="7">
        <f t="shared" si="1383"/>
        <v>45.333333333333336</v>
      </c>
      <c r="S1331" t="str">
        <f t="shared" si="1384"/>
        <v>technology</v>
      </c>
      <c r="T1331" t="str">
        <f t="shared" si="138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ref="K1332:L1332" si="1434">(J1332/60/60/24)+DATE(1970,1,1)</f>
        <v>42522.276724537034</v>
      </c>
      <c r="L1332" s="11">
        <f t="shared" si="13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382"/>
        <v>22.494285714285713</v>
      </c>
      <c r="R1332" s="7">
        <f t="shared" si="1383"/>
        <v>157.46</v>
      </c>
      <c r="S1332" t="str">
        <f t="shared" si="1384"/>
        <v>technology</v>
      </c>
      <c r="T1332" t="str">
        <f t="shared" si="138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ref="K1333:L1333" si="1435">(J1333/60/60/24)+DATE(1970,1,1)</f>
        <v>42569.50409722222</v>
      </c>
      <c r="L1333" s="11">
        <f t="shared" si="13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382"/>
        <v>1.3668</v>
      </c>
      <c r="R1333" s="7">
        <f t="shared" si="1383"/>
        <v>100.5</v>
      </c>
      <c r="S1333" t="str">
        <f t="shared" si="1384"/>
        <v>technology</v>
      </c>
      <c r="T1333" t="str">
        <f t="shared" si="138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ref="K1334:L1334" si="1436">(J1334/60/60/24)+DATE(1970,1,1)</f>
        <v>42732.060277777782</v>
      </c>
      <c r="L1334" s="11">
        <f t="shared" si="13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382"/>
        <v>0</v>
      </c>
      <c r="R1334" s="7">
        <f t="shared" si="1383"/>
        <v>0</v>
      </c>
      <c r="S1334" t="str">
        <f t="shared" si="1384"/>
        <v>technology</v>
      </c>
      <c r="T1334" t="str">
        <f t="shared" si="138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ref="K1335:L1335" si="1437">(J1335/60/60/24)+DATE(1970,1,1)</f>
        <v>41806.106770833336</v>
      </c>
      <c r="L1335" s="11">
        <f t="shared" si="13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382"/>
        <v>0</v>
      </c>
      <c r="R1335" s="7">
        <f t="shared" si="1383"/>
        <v>0</v>
      </c>
      <c r="S1335" t="str">
        <f t="shared" si="1384"/>
        <v>technology</v>
      </c>
      <c r="T1335" t="str">
        <f t="shared" si="138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ref="K1336:L1336" si="1438">(J1336/60/60/24)+DATE(1970,1,1)</f>
        <v>42410.774155092593</v>
      </c>
      <c r="L1336" s="11">
        <f t="shared" si="13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382"/>
        <v>10.754135338345865</v>
      </c>
      <c r="R1336" s="7">
        <f t="shared" si="1383"/>
        <v>51.822463768115945</v>
      </c>
      <c r="S1336" t="str">
        <f t="shared" si="1384"/>
        <v>technology</v>
      </c>
      <c r="T1336" t="str">
        <f t="shared" si="138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ref="K1337:L1337" si="1439">(J1337/60/60/24)+DATE(1970,1,1)</f>
        <v>42313.936365740738</v>
      </c>
      <c r="L1337" s="11">
        <f t="shared" si="13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382"/>
        <v>19.759999999999998</v>
      </c>
      <c r="R1337" s="7">
        <f t="shared" si="1383"/>
        <v>308.75</v>
      </c>
      <c r="S1337" t="str">
        <f t="shared" si="1384"/>
        <v>technology</v>
      </c>
      <c r="T1337" t="str">
        <f t="shared" si="138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ref="K1338:L1338" si="1440">(J1338/60/60/24)+DATE(1970,1,1)</f>
        <v>41955.863750000004</v>
      </c>
      <c r="L1338" s="11">
        <f t="shared" si="13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382"/>
        <v>84.946999999999989</v>
      </c>
      <c r="R1338" s="7">
        <f t="shared" si="1383"/>
        <v>379.22767857142856</v>
      </c>
      <c r="S1338" t="str">
        <f t="shared" si="1384"/>
        <v>technology</v>
      </c>
      <c r="T1338" t="str">
        <f t="shared" si="138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ref="K1339:L1339" si="1441">(J1339/60/60/24)+DATE(1970,1,1)</f>
        <v>42767.577303240745</v>
      </c>
      <c r="L1339" s="11">
        <f t="shared" si="13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382"/>
        <v>49.381999999999998</v>
      </c>
      <c r="R1339" s="7">
        <f t="shared" si="1383"/>
        <v>176.36428571428573</v>
      </c>
      <c r="S1339" t="str">
        <f t="shared" si="1384"/>
        <v>technology</v>
      </c>
      <c r="T1339" t="str">
        <f t="shared" si="138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ref="K1340:L1340" si="1442">(J1340/60/60/24)+DATE(1970,1,1)</f>
        <v>42188.803622685184</v>
      </c>
      <c r="L1340" s="11">
        <f t="shared" si="13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382"/>
        <v>3.3033333333333332</v>
      </c>
      <c r="R1340" s="7">
        <f t="shared" si="1383"/>
        <v>66.066666666666663</v>
      </c>
      <c r="S1340" t="str">
        <f t="shared" si="1384"/>
        <v>technology</v>
      </c>
      <c r="T1340" t="str">
        <f t="shared" si="138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ref="K1341:L1341" si="1443">(J1341/60/60/24)+DATE(1970,1,1)</f>
        <v>41936.647164351853</v>
      </c>
      <c r="L1341" s="11">
        <f t="shared" si="13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382"/>
        <v>6.6339999999999995</v>
      </c>
      <c r="R1341" s="7">
        <f t="shared" si="1383"/>
        <v>89.648648648648646</v>
      </c>
      <c r="S1341" t="str">
        <f t="shared" si="1384"/>
        <v>technology</v>
      </c>
      <c r="T1341" t="str">
        <f t="shared" si="138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ref="K1342:L1342" si="1444">(J1342/60/60/24)+DATE(1970,1,1)</f>
        <v>41836.595520833333</v>
      </c>
      <c r="L1342" s="11">
        <f t="shared" si="13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382"/>
        <v>0</v>
      </c>
      <c r="R1342" s="7">
        <f t="shared" si="1383"/>
        <v>0</v>
      </c>
      <c r="S1342" t="str">
        <f t="shared" si="1384"/>
        <v>technology</v>
      </c>
      <c r="T1342" t="str">
        <f t="shared" si="138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ref="K1343:L1343" si="1445">(J1343/60/60/24)+DATE(1970,1,1)</f>
        <v>42612.624039351853</v>
      </c>
      <c r="L1343" s="11">
        <f t="shared" si="13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382"/>
        <v>70.36</v>
      </c>
      <c r="R1343" s="7">
        <f t="shared" si="1383"/>
        <v>382.39130434782606</v>
      </c>
      <c r="S1343" t="str">
        <f t="shared" si="1384"/>
        <v>technology</v>
      </c>
      <c r="T1343" t="str">
        <f t="shared" si="138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ref="K1344:L1344" si="1446">(J1344/60/60/24)+DATE(1970,1,1)</f>
        <v>42172.816423611104</v>
      </c>
      <c r="L1344" s="11">
        <f t="shared" si="13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382"/>
        <v>0.2</v>
      </c>
      <c r="R1344" s="7">
        <f t="shared" si="1383"/>
        <v>100</v>
      </c>
      <c r="S1344" t="str">
        <f t="shared" si="1384"/>
        <v>technology</v>
      </c>
      <c r="T1344" t="str">
        <f t="shared" si="138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ref="K1345:L1345" si="1447">(J1345/60/60/24)+DATE(1970,1,1)</f>
        <v>42542.526423611111</v>
      </c>
      <c r="L1345" s="11">
        <f t="shared" si="13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382"/>
        <v>102.298</v>
      </c>
      <c r="R1345" s="7">
        <f t="shared" si="1383"/>
        <v>158.35603715170279</v>
      </c>
      <c r="S1345" t="str">
        <f t="shared" si="1384"/>
        <v>technology</v>
      </c>
      <c r="T1345" t="str">
        <f t="shared" si="138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ref="K1346:L1346" si="1448">(J1346/60/60/24)+DATE(1970,1,1)</f>
        <v>42522.789803240739</v>
      </c>
      <c r="L1346" s="11">
        <f t="shared" si="13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382"/>
        <v>377.73333333333335</v>
      </c>
      <c r="R1346" s="7">
        <f t="shared" si="1383"/>
        <v>40.762589928057551</v>
      </c>
      <c r="S1346" t="str">
        <f t="shared" si="1384"/>
        <v>publishing</v>
      </c>
      <c r="T1346" t="str">
        <f t="shared" si="138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ref="K1347:L1347" si="1449">(J1347/60/60/24)+DATE(1970,1,1)</f>
        <v>41799.814340277779</v>
      </c>
      <c r="L1347" s="11">
        <f t="shared" ref="L1347:L1410" si="1450">(I1347/60/60/24)+DATE(1970,1,1)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451">(E1347/D1347)*100</f>
        <v>125</v>
      </c>
      <c r="R1347" s="7">
        <f t="shared" ref="R1347:R1410" si="1452">IFERROR(E1347/N1347, 0)</f>
        <v>53.571428571428569</v>
      </c>
      <c r="S1347" t="str">
        <f t="shared" ref="S1347:S1410" si="1453">LEFT(P1347, SEARCH("/", P1347,1)-1)</f>
        <v>publishing</v>
      </c>
      <c r="T1347" t="str">
        <f t="shared" ref="T1347:T1410" si="1454">RIGHT(P1347,LEN(P1347)-SEARCH("/",P1347,SEARCH("/",P1347)))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ref="K1348:L1348" si="1455">(J1348/60/60/24)+DATE(1970,1,1)</f>
        <v>41422.075821759259</v>
      </c>
      <c r="L1348" s="11">
        <f t="shared" si="1450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451"/>
        <v>147.32653061224491</v>
      </c>
      <c r="R1348" s="7">
        <f t="shared" si="1452"/>
        <v>48.449664429530202</v>
      </c>
      <c r="S1348" t="str">
        <f t="shared" si="1453"/>
        <v>publishing</v>
      </c>
      <c r="T1348" t="str">
        <f t="shared" si="1454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ref="K1349:L1349" si="1456">(J1349/60/60/24)+DATE(1970,1,1)</f>
        <v>42040.638020833328</v>
      </c>
      <c r="L1349" s="11">
        <f t="shared" si="1450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451"/>
        <v>102.2</v>
      </c>
      <c r="R1349" s="7">
        <f t="shared" si="1452"/>
        <v>82.41935483870968</v>
      </c>
      <c r="S1349" t="str">
        <f t="shared" si="1453"/>
        <v>publishing</v>
      </c>
      <c r="T1349" t="str">
        <f t="shared" si="1454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ref="K1350:L1350" si="1457">(J1350/60/60/24)+DATE(1970,1,1)</f>
        <v>41963.506168981476</v>
      </c>
      <c r="L1350" s="11">
        <f t="shared" si="1450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451"/>
        <v>101.8723404255319</v>
      </c>
      <c r="R1350" s="7">
        <f t="shared" si="1452"/>
        <v>230.19230769230768</v>
      </c>
      <c r="S1350" t="str">
        <f t="shared" si="1453"/>
        <v>publishing</v>
      </c>
      <c r="T1350" t="str">
        <f t="shared" si="1454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ref="K1351:L1351" si="1458">(J1351/60/60/24)+DATE(1970,1,1)</f>
        <v>42317.33258101852</v>
      </c>
      <c r="L1351" s="11">
        <f t="shared" si="1450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451"/>
        <v>204.2</v>
      </c>
      <c r="R1351" s="7">
        <f t="shared" si="1452"/>
        <v>59.360465116279073</v>
      </c>
      <c r="S1351" t="str">
        <f t="shared" si="1453"/>
        <v>publishing</v>
      </c>
      <c r="T1351" t="str">
        <f t="shared" si="1454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ref="K1352:L1352" si="1459">(J1352/60/60/24)+DATE(1970,1,1)</f>
        <v>42334.013124999998</v>
      </c>
      <c r="L1352" s="11">
        <f t="shared" si="1450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451"/>
        <v>104.05</v>
      </c>
      <c r="R1352" s="7">
        <f t="shared" si="1452"/>
        <v>66.698717948717942</v>
      </c>
      <c r="S1352" t="str">
        <f t="shared" si="1453"/>
        <v>publishing</v>
      </c>
      <c r="T1352" t="str">
        <f t="shared" si="1454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ref="K1353:L1353" si="1460">(J1353/60/60/24)+DATE(1970,1,1)</f>
        <v>42382.74009259259</v>
      </c>
      <c r="L1353" s="11">
        <f t="shared" si="1450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451"/>
        <v>101.265</v>
      </c>
      <c r="R1353" s="7">
        <f t="shared" si="1452"/>
        <v>168.77500000000001</v>
      </c>
      <c r="S1353" t="str">
        <f t="shared" si="1453"/>
        <v>publishing</v>
      </c>
      <c r="T1353" t="str">
        <f t="shared" si="1454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ref="K1354:L1354" si="1461">(J1354/60/60/24)+DATE(1970,1,1)</f>
        <v>42200.578310185185</v>
      </c>
      <c r="L1354" s="11">
        <f t="shared" si="1450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451"/>
        <v>136.13999999999999</v>
      </c>
      <c r="R1354" s="7">
        <f t="shared" si="1452"/>
        <v>59.973568281938327</v>
      </c>
      <c r="S1354" t="str">
        <f t="shared" si="1453"/>
        <v>publishing</v>
      </c>
      <c r="T1354" t="str">
        <f t="shared" si="1454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ref="K1355:L1355" si="1462">(J1355/60/60/24)+DATE(1970,1,1)</f>
        <v>41309.11791666667</v>
      </c>
      <c r="L1355" s="11">
        <f t="shared" si="1450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451"/>
        <v>133.6</v>
      </c>
      <c r="R1355" s="7">
        <f t="shared" si="1452"/>
        <v>31.80952380952381</v>
      </c>
      <c r="S1355" t="str">
        <f t="shared" si="1453"/>
        <v>publishing</v>
      </c>
      <c r="T1355" t="str">
        <f t="shared" si="1454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ref="K1356:L1356" si="1463">(J1356/60/60/24)+DATE(1970,1,1)</f>
        <v>42502.807627314818</v>
      </c>
      <c r="L1356" s="11">
        <f t="shared" si="1450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451"/>
        <v>130.25</v>
      </c>
      <c r="R1356" s="7">
        <f t="shared" si="1452"/>
        <v>24.421875</v>
      </c>
      <c r="S1356" t="str">
        <f t="shared" si="1453"/>
        <v>publishing</v>
      </c>
      <c r="T1356" t="str">
        <f t="shared" si="1454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ref="K1357:L1357" si="1464">(J1357/60/60/24)+DATE(1970,1,1)</f>
        <v>41213.254687499997</v>
      </c>
      <c r="L1357" s="11">
        <f t="shared" si="1450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451"/>
        <v>122.67999999999999</v>
      </c>
      <c r="R1357" s="7">
        <f t="shared" si="1452"/>
        <v>25.347107438016529</v>
      </c>
      <c r="S1357" t="str">
        <f t="shared" si="1453"/>
        <v>publishing</v>
      </c>
      <c r="T1357" t="str">
        <f t="shared" si="1454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ref="K1358:L1358" si="1465">(J1358/60/60/24)+DATE(1970,1,1)</f>
        <v>41430.038888888892</v>
      </c>
      <c r="L1358" s="11">
        <f t="shared" si="1450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451"/>
        <v>182.81058823529412</v>
      </c>
      <c r="R1358" s="7">
        <f t="shared" si="1452"/>
        <v>71.443218390804603</v>
      </c>
      <c r="S1358" t="str">
        <f t="shared" si="1453"/>
        <v>publishing</v>
      </c>
      <c r="T1358" t="str">
        <f t="shared" si="1454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ref="K1359:L1359" si="1466">(J1359/60/60/24)+DATE(1970,1,1)</f>
        <v>41304.962233796294</v>
      </c>
      <c r="L1359" s="11">
        <f t="shared" si="1450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451"/>
        <v>125.29999999999998</v>
      </c>
      <c r="R1359" s="7">
        <f t="shared" si="1452"/>
        <v>38.553846153846152</v>
      </c>
      <c r="S1359" t="str">
        <f t="shared" si="1453"/>
        <v>publishing</v>
      </c>
      <c r="T1359" t="str">
        <f t="shared" si="1454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ref="K1360:L1360" si="1467">(J1360/60/60/24)+DATE(1970,1,1)</f>
        <v>40689.570868055554</v>
      </c>
      <c r="L1360" s="11">
        <f t="shared" si="1450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451"/>
        <v>111.66666666666667</v>
      </c>
      <c r="R1360" s="7">
        <f t="shared" si="1452"/>
        <v>68.367346938775512</v>
      </c>
      <c r="S1360" t="str">
        <f t="shared" si="1453"/>
        <v>publishing</v>
      </c>
      <c r="T1360" t="str">
        <f t="shared" si="1454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ref="K1361:L1361" si="1468">(J1361/60/60/24)+DATE(1970,1,1)</f>
        <v>40668.814699074072</v>
      </c>
      <c r="L1361" s="11">
        <f t="shared" si="1450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451"/>
        <v>115.75757575757575</v>
      </c>
      <c r="R1361" s="7">
        <f t="shared" si="1452"/>
        <v>40.210526315789473</v>
      </c>
      <c r="S1361" t="str">
        <f t="shared" si="1453"/>
        <v>publishing</v>
      </c>
      <c r="T1361" t="str">
        <f t="shared" si="1454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ref="K1362:L1362" si="1469">(J1362/60/60/24)+DATE(1970,1,1)</f>
        <v>41095.900694444441</v>
      </c>
      <c r="L1362" s="11">
        <f t="shared" si="1450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451"/>
        <v>173.2</v>
      </c>
      <c r="R1362" s="7">
        <f t="shared" si="1452"/>
        <v>32.074074074074076</v>
      </c>
      <c r="S1362" t="str">
        <f t="shared" si="1453"/>
        <v>publishing</v>
      </c>
      <c r="T1362" t="str">
        <f t="shared" si="1454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ref="K1363:L1363" si="1470">(J1363/60/60/24)+DATE(1970,1,1)</f>
        <v>41781.717268518521</v>
      </c>
      <c r="L1363" s="11">
        <f t="shared" si="1450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451"/>
        <v>125.98333333333333</v>
      </c>
      <c r="R1363" s="7">
        <f t="shared" si="1452"/>
        <v>28.632575757575758</v>
      </c>
      <c r="S1363" t="str">
        <f t="shared" si="1453"/>
        <v>publishing</v>
      </c>
      <c r="T1363" t="str">
        <f t="shared" si="1454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ref="K1364:L1364" si="1471">(J1364/60/60/24)+DATE(1970,1,1)</f>
        <v>41464.934386574074</v>
      </c>
      <c r="L1364" s="11">
        <f t="shared" si="1450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451"/>
        <v>109.1</v>
      </c>
      <c r="R1364" s="7">
        <f t="shared" si="1452"/>
        <v>43.64</v>
      </c>
      <c r="S1364" t="str">
        <f t="shared" si="1453"/>
        <v>publishing</v>
      </c>
      <c r="T1364" t="str">
        <f t="shared" si="1454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ref="K1365:L1365" si="1472">(J1365/60/60/24)+DATE(1970,1,1)</f>
        <v>42396.8440625</v>
      </c>
      <c r="L1365" s="11">
        <f t="shared" si="1450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451"/>
        <v>100</v>
      </c>
      <c r="R1365" s="7">
        <f t="shared" si="1452"/>
        <v>40</v>
      </c>
      <c r="S1365" t="str">
        <f t="shared" si="1453"/>
        <v>publishing</v>
      </c>
      <c r="T1365" t="str">
        <f t="shared" si="1454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ref="K1366:L1366" si="1473">(J1366/60/60/24)+DATE(1970,1,1)</f>
        <v>41951.695671296293</v>
      </c>
      <c r="L1366" s="11">
        <f t="shared" si="1450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451"/>
        <v>118.64285714285714</v>
      </c>
      <c r="R1366" s="7">
        <f t="shared" si="1452"/>
        <v>346.04166666666669</v>
      </c>
      <c r="S1366" t="str">
        <f t="shared" si="1453"/>
        <v>music</v>
      </c>
      <c r="T1366" t="str">
        <f t="shared" si="1454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ref="K1367:L1367" si="1474">(J1367/60/60/24)+DATE(1970,1,1)</f>
        <v>42049.733240740738</v>
      </c>
      <c r="L1367" s="11">
        <f t="shared" si="1450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451"/>
        <v>100.26666666666667</v>
      </c>
      <c r="R1367" s="7">
        <f t="shared" si="1452"/>
        <v>81.739130434782609</v>
      </c>
      <c r="S1367" t="str">
        <f t="shared" si="1453"/>
        <v>music</v>
      </c>
      <c r="T1367" t="str">
        <f t="shared" si="1454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ref="K1368:L1368" si="1475">(J1368/60/60/24)+DATE(1970,1,1)</f>
        <v>41924.996099537035</v>
      </c>
      <c r="L1368" s="11">
        <f t="shared" si="1450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451"/>
        <v>126.48920000000001</v>
      </c>
      <c r="R1368" s="7">
        <f t="shared" si="1452"/>
        <v>64.535306122448986</v>
      </c>
      <c r="S1368" t="str">
        <f t="shared" si="1453"/>
        <v>music</v>
      </c>
      <c r="T1368" t="str">
        <f t="shared" si="1454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ref="K1369:L1369" si="1476">(J1369/60/60/24)+DATE(1970,1,1)</f>
        <v>42292.002893518518</v>
      </c>
      <c r="L1369" s="11">
        <f t="shared" si="1450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451"/>
        <v>114.26</v>
      </c>
      <c r="R1369" s="7">
        <f t="shared" si="1452"/>
        <v>63.477777777777774</v>
      </c>
      <c r="S1369" t="str">
        <f t="shared" si="1453"/>
        <v>music</v>
      </c>
      <c r="T1369" t="str">
        <f t="shared" si="1454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ref="K1370:L1370" si="1477">(J1370/60/60/24)+DATE(1970,1,1)</f>
        <v>42146.190902777773</v>
      </c>
      <c r="L1370" s="11">
        <f t="shared" si="1450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451"/>
        <v>110.7</v>
      </c>
      <c r="R1370" s="7">
        <f t="shared" si="1452"/>
        <v>63.620689655172413</v>
      </c>
      <c r="S1370" t="str">
        <f t="shared" si="1453"/>
        <v>music</v>
      </c>
      <c r="T1370" t="str">
        <f t="shared" si="1454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ref="K1371:L1371" si="1478">(J1371/60/60/24)+DATE(1970,1,1)</f>
        <v>41710.594282407408</v>
      </c>
      <c r="L1371" s="11">
        <f t="shared" si="1450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451"/>
        <v>105.34805315203954</v>
      </c>
      <c r="R1371" s="7">
        <f t="shared" si="1452"/>
        <v>83.967068965517228</v>
      </c>
      <c r="S1371" t="str">
        <f t="shared" si="1453"/>
        <v>music</v>
      </c>
      <c r="T1371" t="str">
        <f t="shared" si="1454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ref="K1372:L1372" si="1479">(J1372/60/60/24)+DATE(1970,1,1)</f>
        <v>41548.00335648148</v>
      </c>
      <c r="L1372" s="11">
        <f t="shared" si="1450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451"/>
        <v>103.66666666666666</v>
      </c>
      <c r="R1372" s="7">
        <f t="shared" si="1452"/>
        <v>77.75</v>
      </c>
      <c r="S1372" t="str">
        <f t="shared" si="1453"/>
        <v>music</v>
      </c>
      <c r="T1372" t="str">
        <f t="shared" si="1454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ref="K1373:L1373" si="1480">(J1373/60/60/24)+DATE(1970,1,1)</f>
        <v>42101.758587962962</v>
      </c>
      <c r="L1373" s="11">
        <f t="shared" si="1450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451"/>
        <v>107.08672667523933</v>
      </c>
      <c r="R1373" s="7">
        <f t="shared" si="1452"/>
        <v>107.07142857142857</v>
      </c>
      <c r="S1373" t="str">
        <f t="shared" si="1453"/>
        <v>music</v>
      </c>
      <c r="T1373" t="str">
        <f t="shared" si="1454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ref="K1374:L1374" si="1481">(J1374/60/60/24)+DATE(1970,1,1)</f>
        <v>41072.739953703705</v>
      </c>
      <c r="L1374" s="11">
        <f t="shared" si="1450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451"/>
        <v>124</v>
      </c>
      <c r="R1374" s="7">
        <f t="shared" si="1452"/>
        <v>38.75</v>
      </c>
      <c r="S1374" t="str">
        <f t="shared" si="1453"/>
        <v>music</v>
      </c>
      <c r="T1374" t="str">
        <f t="shared" si="1454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ref="K1375:L1375" si="1482">(J1375/60/60/24)+DATE(1970,1,1)</f>
        <v>42704.95177083333</v>
      </c>
      <c r="L1375" s="11">
        <f t="shared" si="1450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451"/>
        <v>105.01</v>
      </c>
      <c r="R1375" s="7">
        <f t="shared" si="1452"/>
        <v>201.94230769230768</v>
      </c>
      <c r="S1375" t="str">
        <f t="shared" si="1453"/>
        <v>music</v>
      </c>
      <c r="T1375" t="str">
        <f t="shared" si="1454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ref="K1376:L1376" si="1483">(J1376/60/60/24)+DATE(1970,1,1)</f>
        <v>42424.161898148144</v>
      </c>
      <c r="L1376" s="11">
        <f t="shared" si="1450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451"/>
        <v>189.46666666666667</v>
      </c>
      <c r="R1376" s="7">
        <f t="shared" si="1452"/>
        <v>43.060606060606062</v>
      </c>
      <c r="S1376" t="str">
        <f t="shared" si="1453"/>
        <v>music</v>
      </c>
      <c r="T1376" t="str">
        <f t="shared" si="1454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ref="K1377:L1377" si="1484">(J1377/60/60/24)+DATE(1970,1,1)</f>
        <v>42720.066192129627</v>
      </c>
      <c r="L1377" s="11">
        <f t="shared" si="1450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451"/>
        <v>171.32499999999999</v>
      </c>
      <c r="R1377" s="7">
        <f t="shared" si="1452"/>
        <v>62.871559633027523</v>
      </c>
      <c r="S1377" t="str">
        <f t="shared" si="1453"/>
        <v>music</v>
      </c>
      <c r="T1377" t="str">
        <f t="shared" si="1454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ref="K1378:L1378" si="1485">(J1378/60/60/24)+DATE(1970,1,1)</f>
        <v>42677.669050925921</v>
      </c>
      <c r="L1378" s="11">
        <f t="shared" si="1450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451"/>
        <v>252.48648648648651</v>
      </c>
      <c r="R1378" s="7">
        <f t="shared" si="1452"/>
        <v>55.607142857142854</v>
      </c>
      <c r="S1378" t="str">
        <f t="shared" si="1453"/>
        <v>music</v>
      </c>
      <c r="T1378" t="str">
        <f t="shared" si="1454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ref="K1379:L1379" si="1486">(J1379/60/60/24)+DATE(1970,1,1)</f>
        <v>42747.219560185185</v>
      </c>
      <c r="L1379" s="11">
        <f t="shared" si="1450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451"/>
        <v>116.15384615384616</v>
      </c>
      <c r="R1379" s="7">
        <f t="shared" si="1452"/>
        <v>48.70967741935484</v>
      </c>
      <c r="S1379" t="str">
        <f t="shared" si="1453"/>
        <v>music</v>
      </c>
      <c r="T1379" t="str">
        <f t="shared" si="1454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ref="K1380:L1380" si="1487">(J1380/60/60/24)+DATE(1970,1,1)</f>
        <v>42568.759374999994</v>
      </c>
      <c r="L1380" s="11">
        <f t="shared" si="1450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451"/>
        <v>203.35000000000002</v>
      </c>
      <c r="R1380" s="7">
        <f t="shared" si="1452"/>
        <v>30.578947368421051</v>
      </c>
      <c r="S1380" t="str">
        <f t="shared" si="1453"/>
        <v>music</v>
      </c>
      <c r="T1380" t="str">
        <f t="shared" si="1454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ref="K1381:L1381" si="1488">(J1381/60/60/24)+DATE(1970,1,1)</f>
        <v>42130.491620370376</v>
      </c>
      <c r="L1381" s="11">
        <f t="shared" si="1450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451"/>
        <v>111.60000000000001</v>
      </c>
      <c r="R1381" s="7">
        <f t="shared" si="1452"/>
        <v>73.907284768211923</v>
      </c>
      <c r="S1381" t="str">
        <f t="shared" si="1453"/>
        <v>music</v>
      </c>
      <c r="T1381" t="str">
        <f t="shared" si="1454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ref="K1382:L1382" si="1489">(J1382/60/60/24)+DATE(1970,1,1)</f>
        <v>42141.762800925921</v>
      </c>
      <c r="L1382" s="11">
        <f t="shared" si="1450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451"/>
        <v>424</v>
      </c>
      <c r="R1382" s="7">
        <f t="shared" si="1452"/>
        <v>21.2</v>
      </c>
      <c r="S1382" t="str">
        <f t="shared" si="1453"/>
        <v>music</v>
      </c>
      <c r="T1382" t="str">
        <f t="shared" si="1454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ref="K1383:L1383" si="1490">(J1383/60/60/24)+DATE(1970,1,1)</f>
        <v>42703.214409722219</v>
      </c>
      <c r="L1383" s="11">
        <f t="shared" si="1450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451"/>
        <v>107.1</v>
      </c>
      <c r="R1383" s="7">
        <f t="shared" si="1452"/>
        <v>73.356164383561648</v>
      </c>
      <c r="S1383" t="str">
        <f t="shared" si="1453"/>
        <v>music</v>
      </c>
      <c r="T1383" t="str">
        <f t="shared" si="1454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ref="K1384:L1384" si="1491">(J1384/60/60/24)+DATE(1970,1,1)</f>
        <v>41370.800185185188</v>
      </c>
      <c r="L1384" s="11">
        <f t="shared" si="1450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451"/>
        <v>104.3625</v>
      </c>
      <c r="R1384" s="7">
        <f t="shared" si="1452"/>
        <v>56.412162162162161</v>
      </c>
      <c r="S1384" t="str">
        <f t="shared" si="1453"/>
        <v>music</v>
      </c>
      <c r="T1384" t="str">
        <f t="shared" si="1454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ref="K1385:L1385" si="1492">(J1385/60/60/24)+DATE(1970,1,1)</f>
        <v>42707.074976851851</v>
      </c>
      <c r="L1385" s="11">
        <f t="shared" si="1450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451"/>
        <v>212.40909090909091</v>
      </c>
      <c r="R1385" s="7">
        <f t="shared" si="1452"/>
        <v>50.247311827956992</v>
      </c>
      <c r="S1385" t="str">
        <f t="shared" si="1453"/>
        <v>music</v>
      </c>
      <c r="T1385" t="str">
        <f t="shared" si="1454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ref="K1386:L1386" si="1493">(J1386/60/60/24)+DATE(1970,1,1)</f>
        <v>42160.735208333332</v>
      </c>
      <c r="L1386" s="11">
        <f t="shared" si="1450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451"/>
        <v>124.08571428571429</v>
      </c>
      <c r="R1386" s="7">
        <f t="shared" si="1452"/>
        <v>68.936507936507937</v>
      </c>
      <c r="S1386" t="str">
        <f t="shared" si="1453"/>
        <v>music</v>
      </c>
      <c r="T1386" t="str">
        <f t="shared" si="1454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ref="K1387:L1387" si="1494">(J1387/60/60/24)+DATE(1970,1,1)</f>
        <v>42433.688900462963</v>
      </c>
      <c r="L1387" s="11">
        <f t="shared" si="1450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451"/>
        <v>110.406125</v>
      </c>
      <c r="R1387" s="7">
        <f t="shared" si="1452"/>
        <v>65.914104477611943</v>
      </c>
      <c r="S1387" t="str">
        <f t="shared" si="1453"/>
        <v>music</v>
      </c>
      <c r="T1387" t="str">
        <f t="shared" si="1454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ref="K1388:L1388" si="1495">(J1388/60/60/24)+DATE(1970,1,1)</f>
        <v>42184.646863425922</v>
      </c>
      <c r="L1388" s="11">
        <f t="shared" si="1450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451"/>
        <v>218.75</v>
      </c>
      <c r="R1388" s="7">
        <f t="shared" si="1452"/>
        <v>62.5</v>
      </c>
      <c r="S1388" t="str">
        <f t="shared" si="1453"/>
        <v>music</v>
      </c>
      <c r="T1388" t="str">
        <f t="shared" si="1454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ref="K1389:L1389" si="1496">(J1389/60/60/24)+DATE(1970,1,1)</f>
        <v>42126.92123842593</v>
      </c>
      <c r="L1389" s="11">
        <f t="shared" si="1450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451"/>
        <v>136.625</v>
      </c>
      <c r="R1389" s="7">
        <f t="shared" si="1452"/>
        <v>70.064102564102569</v>
      </c>
      <c r="S1389" t="str">
        <f t="shared" si="1453"/>
        <v>music</v>
      </c>
      <c r="T1389" t="str">
        <f t="shared" si="1454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ref="K1390:L1390" si="1497">(J1390/60/60/24)+DATE(1970,1,1)</f>
        <v>42634.614780092597</v>
      </c>
      <c r="L1390" s="11">
        <f t="shared" si="1450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451"/>
        <v>134.8074</v>
      </c>
      <c r="R1390" s="7">
        <f t="shared" si="1452"/>
        <v>60.181874999999998</v>
      </c>
      <c r="S1390" t="str">
        <f t="shared" si="1453"/>
        <v>music</v>
      </c>
      <c r="T1390" t="str">
        <f t="shared" si="1454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ref="K1391:L1391" si="1498">(J1391/60/60/24)+DATE(1970,1,1)</f>
        <v>42565.480983796297</v>
      </c>
      <c r="L1391" s="11">
        <f t="shared" si="1450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451"/>
        <v>145.4</v>
      </c>
      <c r="R1391" s="7">
        <f t="shared" si="1452"/>
        <v>21.382352941176471</v>
      </c>
      <c r="S1391" t="str">
        <f t="shared" si="1453"/>
        <v>music</v>
      </c>
      <c r="T1391" t="str">
        <f t="shared" si="1454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ref="K1392:L1392" si="1499">(J1392/60/60/24)+DATE(1970,1,1)</f>
        <v>42087.803310185183</v>
      </c>
      <c r="L1392" s="11">
        <f t="shared" si="1450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451"/>
        <v>109.10714285714285</v>
      </c>
      <c r="R1392" s="7">
        <f t="shared" si="1452"/>
        <v>160.78947368421052</v>
      </c>
      <c r="S1392" t="str">
        <f t="shared" si="1453"/>
        <v>music</v>
      </c>
      <c r="T1392" t="str">
        <f t="shared" si="1454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ref="K1393:L1393" si="1500">(J1393/60/60/24)+DATE(1970,1,1)</f>
        <v>42193.650671296295</v>
      </c>
      <c r="L1393" s="11">
        <f t="shared" si="1450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451"/>
        <v>110.2</v>
      </c>
      <c r="R1393" s="7">
        <f t="shared" si="1452"/>
        <v>42.384615384615387</v>
      </c>
      <c r="S1393" t="str">
        <f t="shared" si="1453"/>
        <v>music</v>
      </c>
      <c r="T1393" t="str">
        <f t="shared" si="1454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ref="K1394:L1394" si="1501">(J1394/60/60/24)+DATE(1970,1,1)</f>
        <v>42401.154930555553</v>
      </c>
      <c r="L1394" s="11">
        <f t="shared" si="1450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451"/>
        <v>113.64000000000001</v>
      </c>
      <c r="R1394" s="7">
        <f t="shared" si="1452"/>
        <v>27.317307692307693</v>
      </c>
      <c r="S1394" t="str">
        <f t="shared" si="1453"/>
        <v>music</v>
      </c>
      <c r="T1394" t="str">
        <f t="shared" si="1454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ref="K1395:L1395" si="1502">(J1395/60/60/24)+DATE(1970,1,1)</f>
        <v>42553.681979166664</v>
      </c>
      <c r="L1395" s="11">
        <f t="shared" si="1450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451"/>
        <v>102.35000000000001</v>
      </c>
      <c r="R1395" s="7">
        <f t="shared" si="1452"/>
        <v>196.82692307692307</v>
      </c>
      <c r="S1395" t="str">
        <f t="shared" si="1453"/>
        <v>music</v>
      </c>
      <c r="T1395" t="str">
        <f t="shared" si="1454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ref="K1396:L1396" si="1503">(J1396/60/60/24)+DATE(1970,1,1)</f>
        <v>42752.144976851851</v>
      </c>
      <c r="L1396" s="11">
        <f t="shared" si="1450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451"/>
        <v>122.13333333333334</v>
      </c>
      <c r="R1396" s="7">
        <f t="shared" si="1452"/>
        <v>53.882352941176471</v>
      </c>
      <c r="S1396" t="str">
        <f t="shared" si="1453"/>
        <v>music</v>
      </c>
      <c r="T1396" t="str">
        <f t="shared" si="1454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ref="K1397:L1397" si="1504">(J1397/60/60/24)+DATE(1970,1,1)</f>
        <v>42719.90834490741</v>
      </c>
      <c r="L1397" s="11">
        <f t="shared" si="1450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451"/>
        <v>111.88571428571427</v>
      </c>
      <c r="R1397" s="7">
        <f t="shared" si="1452"/>
        <v>47.756097560975611</v>
      </c>
      <c r="S1397" t="str">
        <f t="shared" si="1453"/>
        <v>music</v>
      </c>
      <c r="T1397" t="str">
        <f t="shared" si="1454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ref="K1398:L1398" si="1505">(J1398/60/60/24)+DATE(1970,1,1)</f>
        <v>42018.99863425926</v>
      </c>
      <c r="L1398" s="11">
        <f t="shared" si="1450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451"/>
        <v>107.3</v>
      </c>
      <c r="R1398" s="7">
        <f t="shared" si="1452"/>
        <v>88.191780821917803</v>
      </c>
      <c r="S1398" t="str">
        <f t="shared" si="1453"/>
        <v>music</v>
      </c>
      <c r="T1398" t="str">
        <f t="shared" si="1454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ref="K1399:L1399" si="1506">(J1399/60/60/24)+DATE(1970,1,1)</f>
        <v>42640.917939814812</v>
      </c>
      <c r="L1399" s="11">
        <f t="shared" si="1450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451"/>
        <v>113.85000000000001</v>
      </c>
      <c r="R1399" s="7">
        <f t="shared" si="1452"/>
        <v>72.056962025316452</v>
      </c>
      <c r="S1399" t="str">
        <f t="shared" si="1453"/>
        <v>music</v>
      </c>
      <c r="T1399" t="str">
        <f t="shared" si="1454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ref="K1400:L1400" si="1507">(J1400/60/60/24)+DATE(1970,1,1)</f>
        <v>42526.874236111107</v>
      </c>
      <c r="L1400" s="11">
        <f t="shared" si="1450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451"/>
        <v>109.68181818181819</v>
      </c>
      <c r="R1400" s="7">
        <f t="shared" si="1452"/>
        <v>74.246153846153845</v>
      </c>
      <c r="S1400" t="str">
        <f t="shared" si="1453"/>
        <v>music</v>
      </c>
      <c r="T1400" t="str">
        <f t="shared" si="1454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ref="K1401:L1401" si="1508">(J1401/60/60/24)+DATE(1970,1,1)</f>
        <v>41889.004317129627</v>
      </c>
      <c r="L1401" s="11">
        <f t="shared" si="1450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451"/>
        <v>126.14444444444443</v>
      </c>
      <c r="R1401" s="7">
        <f t="shared" si="1452"/>
        <v>61.701086956521742</v>
      </c>
      <c r="S1401" t="str">
        <f t="shared" si="1453"/>
        <v>music</v>
      </c>
      <c r="T1401" t="str">
        <f t="shared" si="1454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ref="K1402:L1402" si="1509">(J1402/60/60/24)+DATE(1970,1,1)</f>
        <v>42498.341122685189</v>
      </c>
      <c r="L1402" s="11">
        <f t="shared" si="1450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451"/>
        <v>167.42857142857144</v>
      </c>
      <c r="R1402" s="7">
        <f t="shared" si="1452"/>
        <v>17.235294117647058</v>
      </c>
      <c r="S1402" t="str">
        <f t="shared" si="1453"/>
        <v>music</v>
      </c>
      <c r="T1402" t="str">
        <f t="shared" si="1454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ref="K1403:L1403" si="1510">(J1403/60/60/24)+DATE(1970,1,1)</f>
        <v>41399.99622685185</v>
      </c>
      <c r="L1403" s="11">
        <f t="shared" si="1450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451"/>
        <v>496.52000000000004</v>
      </c>
      <c r="R1403" s="7">
        <f t="shared" si="1452"/>
        <v>51.720833333333331</v>
      </c>
      <c r="S1403" t="str">
        <f t="shared" si="1453"/>
        <v>music</v>
      </c>
      <c r="T1403" t="str">
        <f t="shared" si="1454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ref="K1404:L1404" si="1511">(J1404/60/60/24)+DATE(1970,1,1)</f>
        <v>42065.053368055553</v>
      </c>
      <c r="L1404" s="11">
        <f t="shared" si="1450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451"/>
        <v>109.16</v>
      </c>
      <c r="R1404" s="7">
        <f t="shared" si="1452"/>
        <v>24.150442477876105</v>
      </c>
      <c r="S1404" t="str">
        <f t="shared" si="1453"/>
        <v>music</v>
      </c>
      <c r="T1404" t="str">
        <f t="shared" si="1454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ref="K1405:L1405" si="1512">(J1405/60/60/24)+DATE(1970,1,1)</f>
        <v>41451.062905092593</v>
      </c>
      <c r="L1405" s="11">
        <f t="shared" si="1450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451"/>
        <v>102.57499999999999</v>
      </c>
      <c r="R1405" s="7">
        <f t="shared" si="1452"/>
        <v>62.166666666666664</v>
      </c>
      <c r="S1405" t="str">
        <f t="shared" si="1453"/>
        <v>music</v>
      </c>
      <c r="T1405" t="str">
        <f t="shared" si="1454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ref="K1406:L1406" si="1513">(J1406/60/60/24)+DATE(1970,1,1)</f>
        <v>42032.510243055556</v>
      </c>
      <c r="L1406" s="11">
        <f t="shared" si="1450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451"/>
        <v>1.6620689655172414</v>
      </c>
      <c r="R1406" s="7">
        <f t="shared" si="1452"/>
        <v>48.2</v>
      </c>
      <c r="S1406" t="str">
        <f t="shared" si="1453"/>
        <v>publishing</v>
      </c>
      <c r="T1406" t="str">
        <f t="shared" si="1454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ref="K1407:L1407" si="1514">(J1407/60/60/24)+DATE(1970,1,1)</f>
        <v>41941.680567129632</v>
      </c>
      <c r="L1407" s="11">
        <f t="shared" si="1450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451"/>
        <v>0.42</v>
      </c>
      <c r="R1407" s="7">
        <f t="shared" si="1452"/>
        <v>6.1764705882352944</v>
      </c>
      <c r="S1407" t="str">
        <f t="shared" si="1453"/>
        <v>publishing</v>
      </c>
      <c r="T1407" t="str">
        <f t="shared" si="1454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ref="K1408:L1408" si="1515">(J1408/60/60/24)+DATE(1970,1,1)</f>
        <v>42297.432951388888</v>
      </c>
      <c r="L1408" s="11">
        <f t="shared" si="1450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451"/>
        <v>0.125</v>
      </c>
      <c r="R1408" s="7">
        <f t="shared" si="1452"/>
        <v>5</v>
      </c>
      <c r="S1408" t="str">
        <f t="shared" si="1453"/>
        <v>publishing</v>
      </c>
      <c r="T1408" t="str">
        <f t="shared" si="1454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ref="K1409:L1409" si="1516">(J1409/60/60/24)+DATE(1970,1,1)</f>
        <v>41838.536782407406</v>
      </c>
      <c r="L1409" s="11">
        <f t="shared" si="1450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451"/>
        <v>0.5</v>
      </c>
      <c r="R1409" s="7">
        <f t="shared" si="1452"/>
        <v>7.5</v>
      </c>
      <c r="S1409" t="str">
        <f t="shared" si="1453"/>
        <v>publishing</v>
      </c>
      <c r="T1409" t="str">
        <f t="shared" si="1454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ref="K1410:L1410" si="1517">(J1410/60/60/24)+DATE(1970,1,1)</f>
        <v>42291.872175925921</v>
      </c>
      <c r="L1410" s="11">
        <f t="shared" si="1450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451"/>
        <v>7.1999999999999993</v>
      </c>
      <c r="R1410" s="7">
        <f t="shared" si="1452"/>
        <v>12</v>
      </c>
      <c r="S1410" t="str">
        <f t="shared" si="1453"/>
        <v>publishing</v>
      </c>
      <c r="T1410" t="str">
        <f t="shared" si="1454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ref="K1411:L1411" si="1518">(J1411/60/60/24)+DATE(1970,1,1)</f>
        <v>41945.133506944447</v>
      </c>
      <c r="L1411" s="11">
        <f t="shared" ref="L1411:L1474" si="1519">(I1411/60/60/24)+DATE(1970,1,1)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520">(E1411/D1411)*100</f>
        <v>0</v>
      </c>
      <c r="R1411" s="7">
        <f t="shared" ref="R1411:R1474" si="1521">IFERROR(E1411/N1411, 0)</f>
        <v>0</v>
      </c>
      <c r="S1411" t="str">
        <f t="shared" ref="S1411:S1474" si="1522">LEFT(P1411, SEARCH("/", P1411,1)-1)</f>
        <v>publishing</v>
      </c>
      <c r="T1411" t="str">
        <f t="shared" ref="T1411:T1474" si="1523">RIGHT(P1411,LEN(P1411)-SEARCH("/",P1411,SEARCH("/",P1411)))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ref="K1412:L1412" si="1524">(J1412/60/60/24)+DATE(1970,1,1)</f>
        <v>42479.318518518514</v>
      </c>
      <c r="L1412" s="11">
        <f t="shared" si="151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520"/>
        <v>1.6666666666666666E-2</v>
      </c>
      <c r="R1412" s="7">
        <f t="shared" si="1521"/>
        <v>1</v>
      </c>
      <c r="S1412" t="str">
        <f t="shared" si="1522"/>
        <v>publishing</v>
      </c>
      <c r="T1412" t="str">
        <f t="shared" si="1523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ref="K1413:L1413" si="1525">(J1413/60/60/24)+DATE(1970,1,1)</f>
        <v>42013.059027777781</v>
      </c>
      <c r="L1413" s="11">
        <f t="shared" si="151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520"/>
        <v>0.23333333333333336</v>
      </c>
      <c r="R1413" s="7">
        <f t="shared" si="1521"/>
        <v>2.3333333333333335</v>
      </c>
      <c r="S1413" t="str">
        <f t="shared" si="1522"/>
        <v>publishing</v>
      </c>
      <c r="T1413" t="str">
        <f t="shared" si="1523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ref="K1414:L1414" si="1526">(J1414/60/60/24)+DATE(1970,1,1)</f>
        <v>41947.063645833332</v>
      </c>
      <c r="L1414" s="11">
        <f t="shared" si="151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520"/>
        <v>4.5714285714285712</v>
      </c>
      <c r="R1414" s="7">
        <f t="shared" si="1521"/>
        <v>24.615384615384617</v>
      </c>
      <c r="S1414" t="str">
        <f t="shared" si="1522"/>
        <v>publishing</v>
      </c>
      <c r="T1414" t="str">
        <f t="shared" si="1523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ref="K1415:L1415" si="1527">(J1415/60/60/24)+DATE(1970,1,1)</f>
        <v>42360.437152777777</v>
      </c>
      <c r="L1415" s="11">
        <f t="shared" si="151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520"/>
        <v>5</v>
      </c>
      <c r="R1415" s="7">
        <f t="shared" si="1521"/>
        <v>100</v>
      </c>
      <c r="S1415" t="str">
        <f t="shared" si="1522"/>
        <v>publishing</v>
      </c>
      <c r="T1415" t="str">
        <f t="shared" si="1523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ref="K1416:L1416" si="1528">(J1416/60/60/24)+DATE(1970,1,1)</f>
        <v>42708.25309027778</v>
      </c>
      <c r="L1416" s="11">
        <f t="shared" si="151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520"/>
        <v>0.2</v>
      </c>
      <c r="R1416" s="7">
        <f t="shared" si="1521"/>
        <v>1</v>
      </c>
      <c r="S1416" t="str">
        <f t="shared" si="1522"/>
        <v>publishing</v>
      </c>
      <c r="T1416" t="str">
        <f t="shared" si="1523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ref="K1417:L1417" si="1529">(J1417/60/60/24)+DATE(1970,1,1)</f>
        <v>42192.675821759258</v>
      </c>
      <c r="L1417" s="11">
        <f t="shared" si="151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520"/>
        <v>18.181818181818183</v>
      </c>
      <c r="R1417" s="7">
        <f t="shared" si="1521"/>
        <v>88.888888888888886</v>
      </c>
      <c r="S1417" t="str">
        <f t="shared" si="1522"/>
        <v>publishing</v>
      </c>
      <c r="T1417" t="str">
        <f t="shared" si="1523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ref="K1418:L1418" si="1530">(J1418/60/60/24)+DATE(1970,1,1)</f>
        <v>42299.926145833335</v>
      </c>
      <c r="L1418" s="11">
        <f t="shared" si="151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520"/>
        <v>0</v>
      </c>
      <c r="R1418" s="7">
        <f t="shared" si="1521"/>
        <v>0</v>
      </c>
      <c r="S1418" t="str">
        <f t="shared" si="1522"/>
        <v>publishing</v>
      </c>
      <c r="T1418" t="str">
        <f t="shared" si="1523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ref="K1419:L1419" si="1531">(J1419/60/60/24)+DATE(1970,1,1)</f>
        <v>42232.15016203704</v>
      </c>
      <c r="L1419" s="11">
        <f t="shared" si="151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520"/>
        <v>1.2222222222222223</v>
      </c>
      <c r="R1419" s="7">
        <f t="shared" si="1521"/>
        <v>27.5</v>
      </c>
      <c r="S1419" t="str">
        <f t="shared" si="1522"/>
        <v>publishing</v>
      </c>
      <c r="T1419" t="str">
        <f t="shared" si="1523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ref="K1420:L1420" si="1532">(J1420/60/60/24)+DATE(1970,1,1)</f>
        <v>42395.456412037034</v>
      </c>
      <c r="L1420" s="11">
        <f t="shared" si="151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520"/>
        <v>0.2</v>
      </c>
      <c r="R1420" s="7">
        <f t="shared" si="1521"/>
        <v>6</v>
      </c>
      <c r="S1420" t="str">
        <f t="shared" si="1522"/>
        <v>publishing</v>
      </c>
      <c r="T1420" t="str">
        <f t="shared" si="1523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ref="K1421:L1421" si="1533">(J1421/60/60/24)+DATE(1970,1,1)</f>
        <v>42622.456238425926</v>
      </c>
      <c r="L1421" s="11">
        <f t="shared" si="151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520"/>
        <v>7.0634920634920633</v>
      </c>
      <c r="R1421" s="7">
        <f t="shared" si="1521"/>
        <v>44.5</v>
      </c>
      <c r="S1421" t="str">
        <f t="shared" si="1522"/>
        <v>publishing</v>
      </c>
      <c r="T1421" t="str">
        <f t="shared" si="1523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ref="K1422:L1422" si="1534">(J1422/60/60/24)+DATE(1970,1,1)</f>
        <v>42524.667662037042</v>
      </c>
      <c r="L1422" s="11">
        <f t="shared" si="151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520"/>
        <v>2.7272727272727271</v>
      </c>
      <c r="R1422" s="7">
        <f t="shared" si="1521"/>
        <v>1</v>
      </c>
      <c r="S1422" t="str">
        <f t="shared" si="1522"/>
        <v>publishing</v>
      </c>
      <c r="T1422" t="str">
        <f t="shared" si="1523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ref="K1423:L1423" si="1535">(J1423/60/60/24)+DATE(1970,1,1)</f>
        <v>42013.915613425925</v>
      </c>
      <c r="L1423" s="11">
        <f t="shared" si="151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520"/>
        <v>0.1</v>
      </c>
      <c r="R1423" s="7">
        <f t="shared" si="1521"/>
        <v>100</v>
      </c>
      <c r="S1423" t="str">
        <f t="shared" si="1522"/>
        <v>publishing</v>
      </c>
      <c r="T1423" t="str">
        <f t="shared" si="1523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ref="K1424:L1424" si="1536">(J1424/60/60/24)+DATE(1970,1,1)</f>
        <v>42604.239629629628</v>
      </c>
      <c r="L1424" s="11">
        <f t="shared" si="151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520"/>
        <v>0.104</v>
      </c>
      <c r="R1424" s="7">
        <f t="shared" si="1521"/>
        <v>13</v>
      </c>
      <c r="S1424" t="str">
        <f t="shared" si="1522"/>
        <v>publishing</v>
      </c>
      <c r="T1424" t="str">
        <f t="shared" si="1523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ref="K1425:L1425" si="1537">(J1425/60/60/24)+DATE(1970,1,1)</f>
        <v>42340.360312500001</v>
      </c>
      <c r="L1425" s="11">
        <f t="shared" si="151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520"/>
        <v>0.33333333333333337</v>
      </c>
      <c r="R1425" s="7">
        <f t="shared" si="1521"/>
        <v>100</v>
      </c>
      <c r="S1425" t="str">
        <f t="shared" si="1522"/>
        <v>publishing</v>
      </c>
      <c r="T1425" t="str">
        <f t="shared" si="1523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ref="K1426:L1426" si="1538">(J1426/60/60/24)+DATE(1970,1,1)</f>
        <v>42676.717615740738</v>
      </c>
      <c r="L1426" s="11">
        <f t="shared" si="151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520"/>
        <v>20.36</v>
      </c>
      <c r="R1426" s="7">
        <f t="shared" si="1521"/>
        <v>109.07142857142857</v>
      </c>
      <c r="S1426" t="str">
        <f t="shared" si="1522"/>
        <v>publishing</v>
      </c>
      <c r="T1426" t="str">
        <f t="shared" si="1523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ref="K1427:L1427" si="1539">(J1427/60/60/24)+DATE(1970,1,1)</f>
        <v>42093.131469907406</v>
      </c>
      <c r="L1427" s="11">
        <f t="shared" si="151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520"/>
        <v>0</v>
      </c>
      <c r="R1427" s="7">
        <f t="shared" si="1521"/>
        <v>0</v>
      </c>
      <c r="S1427" t="str">
        <f t="shared" si="1522"/>
        <v>publishing</v>
      </c>
      <c r="T1427" t="str">
        <f t="shared" si="1523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ref="K1428:L1428" si="1540">(J1428/60/60/24)+DATE(1970,1,1)</f>
        <v>42180.390277777777</v>
      </c>
      <c r="L1428" s="11">
        <f t="shared" si="151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520"/>
        <v>0</v>
      </c>
      <c r="R1428" s="7">
        <f t="shared" si="1521"/>
        <v>0</v>
      </c>
      <c r="S1428" t="str">
        <f t="shared" si="1522"/>
        <v>publishing</v>
      </c>
      <c r="T1428" t="str">
        <f t="shared" si="1523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ref="K1429:L1429" si="1541">(J1429/60/60/24)+DATE(1970,1,1)</f>
        <v>42601.851678240739</v>
      </c>
      <c r="L1429" s="11">
        <f t="shared" si="151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520"/>
        <v>8.3800000000000008</v>
      </c>
      <c r="R1429" s="7">
        <f t="shared" si="1521"/>
        <v>104.75</v>
      </c>
      <c r="S1429" t="str">
        <f t="shared" si="1522"/>
        <v>publishing</v>
      </c>
      <c r="T1429" t="str">
        <f t="shared" si="1523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ref="K1430:L1430" si="1542">(J1430/60/60/24)+DATE(1970,1,1)</f>
        <v>42432.379826388889</v>
      </c>
      <c r="L1430" s="11">
        <f t="shared" si="151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520"/>
        <v>4.5</v>
      </c>
      <c r="R1430" s="7">
        <f t="shared" si="1521"/>
        <v>15</v>
      </c>
      <c r="S1430" t="str">
        <f t="shared" si="1522"/>
        <v>publishing</v>
      </c>
      <c r="T1430" t="str">
        <f t="shared" si="1523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ref="K1431:L1431" si="1543">(J1431/60/60/24)+DATE(1970,1,1)</f>
        <v>42074.060671296291</v>
      </c>
      <c r="L1431" s="11">
        <f t="shared" si="151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520"/>
        <v>0</v>
      </c>
      <c r="R1431" s="7">
        <f t="shared" si="1521"/>
        <v>0</v>
      </c>
      <c r="S1431" t="str">
        <f t="shared" si="1522"/>
        <v>publishing</v>
      </c>
      <c r="T1431" t="str">
        <f t="shared" si="1523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ref="K1432:L1432" si="1544">(J1432/60/60/24)+DATE(1970,1,1)</f>
        <v>41961.813518518517</v>
      </c>
      <c r="L1432" s="11">
        <f t="shared" si="151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520"/>
        <v>8.06</v>
      </c>
      <c r="R1432" s="7">
        <f t="shared" si="1521"/>
        <v>80.599999999999994</v>
      </c>
      <c r="S1432" t="str">
        <f t="shared" si="1522"/>
        <v>publishing</v>
      </c>
      <c r="T1432" t="str">
        <f t="shared" si="1523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ref="K1433:L1433" si="1545">(J1433/60/60/24)+DATE(1970,1,1)</f>
        <v>42304.210833333331</v>
      </c>
      <c r="L1433" s="11">
        <f t="shared" si="151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520"/>
        <v>31.94705882352941</v>
      </c>
      <c r="R1433" s="7">
        <f t="shared" si="1521"/>
        <v>115.55319148936171</v>
      </c>
      <c r="S1433" t="str">
        <f t="shared" si="1522"/>
        <v>publishing</v>
      </c>
      <c r="T1433" t="str">
        <f t="shared" si="1523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ref="K1434:L1434" si="1546">(J1434/60/60/24)+DATE(1970,1,1)</f>
        <v>42175.780416666668</v>
      </c>
      <c r="L1434" s="11">
        <f t="shared" si="151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520"/>
        <v>0</v>
      </c>
      <c r="R1434" s="7">
        <f t="shared" si="1521"/>
        <v>0</v>
      </c>
      <c r="S1434" t="str">
        <f t="shared" si="1522"/>
        <v>publishing</v>
      </c>
      <c r="T1434" t="str">
        <f t="shared" si="1523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ref="K1435:L1435" si="1547">(J1435/60/60/24)+DATE(1970,1,1)</f>
        <v>42673.625868055555</v>
      </c>
      <c r="L1435" s="11">
        <f t="shared" si="151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520"/>
        <v>6.708333333333333</v>
      </c>
      <c r="R1435" s="7">
        <f t="shared" si="1521"/>
        <v>80.5</v>
      </c>
      <c r="S1435" t="str">
        <f t="shared" si="1522"/>
        <v>publishing</v>
      </c>
      <c r="T1435" t="str">
        <f t="shared" si="1523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ref="K1436:L1436" si="1548">(J1436/60/60/24)+DATE(1970,1,1)</f>
        <v>42142.767106481479</v>
      </c>
      <c r="L1436" s="11">
        <f t="shared" si="1519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520"/>
        <v>9.9878048780487809</v>
      </c>
      <c r="R1436" s="7">
        <f t="shared" si="1521"/>
        <v>744.5454545454545</v>
      </c>
      <c r="S1436" t="str">
        <f t="shared" si="1522"/>
        <v>publishing</v>
      </c>
      <c r="T1436" t="str">
        <f t="shared" si="1523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ref="K1437:L1437" si="1549">(J1437/60/60/24)+DATE(1970,1,1)</f>
        <v>42258.780324074076</v>
      </c>
      <c r="L1437" s="11">
        <f t="shared" si="151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520"/>
        <v>0.1</v>
      </c>
      <c r="R1437" s="7">
        <f t="shared" si="1521"/>
        <v>7.5</v>
      </c>
      <c r="S1437" t="str">
        <f t="shared" si="1522"/>
        <v>publishing</v>
      </c>
      <c r="T1437" t="str">
        <f t="shared" si="1523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ref="K1438:L1438" si="1550">(J1438/60/60/24)+DATE(1970,1,1)</f>
        <v>42391.35019675926</v>
      </c>
      <c r="L1438" s="11">
        <f t="shared" si="151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520"/>
        <v>0.77</v>
      </c>
      <c r="R1438" s="7">
        <f t="shared" si="1521"/>
        <v>38.5</v>
      </c>
      <c r="S1438" t="str">
        <f t="shared" si="1522"/>
        <v>publishing</v>
      </c>
      <c r="T1438" t="str">
        <f t="shared" si="1523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ref="K1439:L1439" si="1551">(J1439/60/60/24)+DATE(1970,1,1)</f>
        <v>41796.531701388885</v>
      </c>
      <c r="L1439" s="11">
        <f t="shared" si="151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520"/>
        <v>26.900000000000002</v>
      </c>
      <c r="R1439" s="7">
        <f t="shared" si="1521"/>
        <v>36.68181818181818</v>
      </c>
      <c r="S1439" t="str">
        <f t="shared" si="1522"/>
        <v>publishing</v>
      </c>
      <c r="T1439" t="str">
        <f t="shared" si="1523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ref="K1440:L1440" si="1552">(J1440/60/60/24)+DATE(1970,1,1)</f>
        <v>42457.871516203704</v>
      </c>
      <c r="L1440" s="11">
        <f t="shared" si="151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520"/>
        <v>3</v>
      </c>
      <c r="R1440" s="7">
        <f t="shared" si="1521"/>
        <v>75</v>
      </c>
      <c r="S1440" t="str">
        <f t="shared" si="1522"/>
        <v>publishing</v>
      </c>
      <c r="T1440" t="str">
        <f t="shared" si="1523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ref="K1441:L1441" si="1553">(J1441/60/60/24)+DATE(1970,1,1)</f>
        <v>42040.829872685179</v>
      </c>
      <c r="L1441" s="11">
        <f t="shared" si="151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520"/>
        <v>6.6055045871559637</v>
      </c>
      <c r="R1441" s="7">
        <f t="shared" si="1521"/>
        <v>30</v>
      </c>
      <c r="S1441" t="str">
        <f t="shared" si="1522"/>
        <v>publishing</v>
      </c>
      <c r="T1441" t="str">
        <f t="shared" si="1523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ref="K1442:L1442" si="1554">(J1442/60/60/24)+DATE(1970,1,1)</f>
        <v>42486.748414351852</v>
      </c>
      <c r="L1442" s="11">
        <f t="shared" si="151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520"/>
        <v>7.6923076923076927E-3</v>
      </c>
      <c r="R1442" s="7">
        <f t="shared" si="1521"/>
        <v>1</v>
      </c>
      <c r="S1442" t="str">
        <f t="shared" si="1522"/>
        <v>publishing</v>
      </c>
      <c r="T1442" t="str">
        <f t="shared" si="1523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ref="K1443:L1443" si="1555">(J1443/60/60/24)+DATE(1970,1,1)</f>
        <v>42198.765844907408</v>
      </c>
      <c r="L1443" s="11">
        <f t="shared" si="151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520"/>
        <v>1.1222222222222222</v>
      </c>
      <c r="R1443" s="7">
        <f t="shared" si="1521"/>
        <v>673.33333333333337</v>
      </c>
      <c r="S1443" t="str">
        <f t="shared" si="1522"/>
        <v>publishing</v>
      </c>
      <c r="T1443" t="str">
        <f t="shared" si="1523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ref="K1444:L1444" si="1556">(J1444/60/60/24)+DATE(1970,1,1)</f>
        <v>42485.64534722222</v>
      </c>
      <c r="L1444" s="11">
        <f t="shared" si="151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520"/>
        <v>0</v>
      </c>
      <c r="R1444" s="7">
        <f t="shared" si="1521"/>
        <v>0</v>
      </c>
      <c r="S1444" t="str">
        <f t="shared" si="1522"/>
        <v>publishing</v>
      </c>
      <c r="T1444" t="str">
        <f t="shared" si="1523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ref="K1445:L1445" si="1557">(J1445/60/60/24)+DATE(1970,1,1)</f>
        <v>42707.926030092596</v>
      </c>
      <c r="L1445" s="11">
        <f t="shared" si="151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520"/>
        <v>0</v>
      </c>
      <c r="R1445" s="7">
        <f t="shared" si="1521"/>
        <v>0</v>
      </c>
      <c r="S1445" t="str">
        <f t="shared" si="1522"/>
        <v>publishing</v>
      </c>
      <c r="T1445" t="str">
        <f t="shared" si="1523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ref="K1446:L1446" si="1558">(J1446/60/60/24)+DATE(1970,1,1)</f>
        <v>42199.873402777783</v>
      </c>
      <c r="L1446" s="11">
        <f t="shared" si="151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520"/>
        <v>0</v>
      </c>
      <c r="R1446" s="7">
        <f t="shared" si="1521"/>
        <v>0</v>
      </c>
      <c r="S1446" t="str">
        <f t="shared" si="1522"/>
        <v>publishing</v>
      </c>
      <c r="T1446" t="str">
        <f t="shared" si="1523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ref="K1447:L1447" si="1559">(J1447/60/60/24)+DATE(1970,1,1)</f>
        <v>42139.542303240742</v>
      </c>
      <c r="L1447" s="11">
        <f t="shared" si="151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520"/>
        <v>0</v>
      </c>
      <c r="R1447" s="7">
        <f t="shared" si="1521"/>
        <v>0</v>
      </c>
      <c r="S1447" t="str">
        <f t="shared" si="1522"/>
        <v>publishing</v>
      </c>
      <c r="T1447" t="str">
        <f t="shared" si="1523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ref="K1448:L1448" si="1560">(J1448/60/60/24)+DATE(1970,1,1)</f>
        <v>42461.447662037041</v>
      </c>
      <c r="L1448" s="11">
        <f t="shared" si="151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520"/>
        <v>0</v>
      </c>
      <c r="R1448" s="7">
        <f t="shared" si="1521"/>
        <v>0</v>
      </c>
      <c r="S1448" t="str">
        <f t="shared" si="1522"/>
        <v>publishing</v>
      </c>
      <c r="T1448" t="str">
        <f t="shared" si="1523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ref="K1449:L1449" si="1561">(J1449/60/60/24)+DATE(1970,1,1)</f>
        <v>42529.730717592596</v>
      </c>
      <c r="L1449" s="11">
        <f t="shared" si="151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520"/>
        <v>1.4999999999999999E-2</v>
      </c>
      <c r="R1449" s="7">
        <f t="shared" si="1521"/>
        <v>25</v>
      </c>
      <c r="S1449" t="str">
        <f t="shared" si="1522"/>
        <v>publishing</v>
      </c>
      <c r="T1449" t="str">
        <f t="shared" si="1523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ref="K1450:L1450" si="1562">(J1450/60/60/24)+DATE(1970,1,1)</f>
        <v>42115.936550925922</v>
      </c>
      <c r="L1450" s="11">
        <f t="shared" si="151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520"/>
        <v>0</v>
      </c>
      <c r="R1450" s="7">
        <f t="shared" si="1521"/>
        <v>0</v>
      </c>
      <c r="S1450" t="str">
        <f t="shared" si="1522"/>
        <v>publishing</v>
      </c>
      <c r="T1450" t="str">
        <f t="shared" si="1523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ref="K1451:L1451" si="1563">(J1451/60/60/24)+DATE(1970,1,1)</f>
        <v>42086.811400462961</v>
      </c>
      <c r="L1451" s="11">
        <f t="shared" si="151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520"/>
        <v>0</v>
      </c>
      <c r="R1451" s="7">
        <f t="shared" si="1521"/>
        <v>0</v>
      </c>
      <c r="S1451" t="str">
        <f t="shared" si="1522"/>
        <v>publishing</v>
      </c>
      <c r="T1451" t="str">
        <f t="shared" si="1523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ref="K1452:L1452" si="1564">(J1452/60/60/24)+DATE(1970,1,1)</f>
        <v>42390.171261574069</v>
      </c>
      <c r="L1452" s="11">
        <f t="shared" si="151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520"/>
        <v>1E-3</v>
      </c>
      <c r="R1452" s="7">
        <f t="shared" si="1521"/>
        <v>1</v>
      </c>
      <c r="S1452" t="str">
        <f t="shared" si="1522"/>
        <v>publishing</v>
      </c>
      <c r="T1452" t="str">
        <f t="shared" si="1523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ref="K1453:L1453" si="1565">(J1453/60/60/24)+DATE(1970,1,1)</f>
        <v>41931.959016203706</v>
      </c>
      <c r="L1453" s="11">
        <f t="shared" si="151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520"/>
        <v>1.0554089709762533E-2</v>
      </c>
      <c r="R1453" s="7">
        <f t="shared" si="1521"/>
        <v>1</v>
      </c>
      <c r="S1453" t="str">
        <f t="shared" si="1522"/>
        <v>publishing</v>
      </c>
      <c r="T1453" t="str">
        <f t="shared" si="1523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ref="K1454:L1454" si="1566">(J1454/60/60/24)+DATE(1970,1,1)</f>
        <v>41818.703275462962</v>
      </c>
      <c r="L1454" s="11">
        <f t="shared" si="151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520"/>
        <v>0</v>
      </c>
      <c r="R1454" s="7">
        <f t="shared" si="1521"/>
        <v>0</v>
      </c>
      <c r="S1454" t="str">
        <f t="shared" si="1522"/>
        <v>publishing</v>
      </c>
      <c r="T1454" t="str">
        <f t="shared" si="1523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ref="K1455:L1455" si="1567">(J1455/60/60/24)+DATE(1970,1,1)</f>
        <v>42795.696145833332</v>
      </c>
      <c r="L1455" s="11">
        <f t="shared" si="151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520"/>
        <v>0</v>
      </c>
      <c r="R1455" s="7">
        <f t="shared" si="1521"/>
        <v>0</v>
      </c>
      <c r="S1455" t="str">
        <f t="shared" si="1522"/>
        <v>publishing</v>
      </c>
      <c r="T1455" t="str">
        <f t="shared" si="1523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ref="K1456:L1456" si="1568">(J1456/60/60/24)+DATE(1970,1,1)</f>
        <v>42463.866666666669</v>
      </c>
      <c r="L1456" s="11">
        <f t="shared" si="151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520"/>
        <v>0.85714285714285721</v>
      </c>
      <c r="R1456" s="7">
        <f t="shared" si="1521"/>
        <v>15</v>
      </c>
      <c r="S1456" t="str">
        <f t="shared" si="1522"/>
        <v>publishing</v>
      </c>
      <c r="T1456" t="str">
        <f t="shared" si="1523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ref="K1457:L1457" si="1569">(J1457/60/60/24)+DATE(1970,1,1)</f>
        <v>41832.672685185185</v>
      </c>
      <c r="L1457" s="11">
        <f t="shared" si="151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520"/>
        <v>10.5</v>
      </c>
      <c r="R1457" s="7">
        <f t="shared" si="1521"/>
        <v>225</v>
      </c>
      <c r="S1457" t="str">
        <f t="shared" si="1522"/>
        <v>publishing</v>
      </c>
      <c r="T1457" t="str">
        <f t="shared" si="1523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ref="K1458:L1458" si="1570">(J1458/60/60/24)+DATE(1970,1,1)</f>
        <v>42708.668576388889</v>
      </c>
      <c r="L1458" s="11">
        <f t="shared" si="151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520"/>
        <v>2.9000000000000004</v>
      </c>
      <c r="R1458" s="7">
        <f t="shared" si="1521"/>
        <v>48.333333333333336</v>
      </c>
      <c r="S1458" t="str">
        <f t="shared" si="1522"/>
        <v>publishing</v>
      </c>
      <c r="T1458" t="str">
        <f t="shared" si="1523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ref="K1459:L1459" si="1571">(J1459/60/60/24)+DATE(1970,1,1)</f>
        <v>42289.89634259259</v>
      </c>
      <c r="L1459" s="11">
        <f t="shared" si="151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520"/>
        <v>0</v>
      </c>
      <c r="R1459" s="7">
        <f t="shared" si="1521"/>
        <v>0</v>
      </c>
      <c r="S1459" t="str">
        <f t="shared" si="1522"/>
        <v>publishing</v>
      </c>
      <c r="T1459" t="str">
        <f t="shared" si="1523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ref="K1460:L1460" si="1572">(J1460/60/60/24)+DATE(1970,1,1)</f>
        <v>41831.705555555556</v>
      </c>
      <c r="L1460" s="11">
        <f t="shared" si="151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520"/>
        <v>0</v>
      </c>
      <c r="R1460" s="7">
        <f t="shared" si="1521"/>
        <v>0</v>
      </c>
      <c r="S1460" t="str">
        <f t="shared" si="1522"/>
        <v>publishing</v>
      </c>
      <c r="T1460" t="str">
        <f t="shared" si="1523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ref="K1461:L1461" si="1573">(J1461/60/60/24)+DATE(1970,1,1)</f>
        <v>42312.204814814817</v>
      </c>
      <c r="L1461" s="11">
        <f t="shared" si="151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520"/>
        <v>0</v>
      </c>
      <c r="R1461" s="7">
        <f t="shared" si="1521"/>
        <v>0</v>
      </c>
      <c r="S1461" t="str">
        <f t="shared" si="1522"/>
        <v>publishing</v>
      </c>
      <c r="T1461" t="str">
        <f t="shared" si="1523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ref="K1462:L1462" si="1574">(J1462/60/60/24)+DATE(1970,1,1)</f>
        <v>41915.896967592591</v>
      </c>
      <c r="L1462" s="11">
        <f t="shared" si="151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520"/>
        <v>0</v>
      </c>
      <c r="R1462" s="7">
        <f t="shared" si="1521"/>
        <v>0</v>
      </c>
      <c r="S1462" t="str">
        <f t="shared" si="1522"/>
        <v>publishing</v>
      </c>
      <c r="T1462" t="str">
        <f t="shared" si="1523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ref="K1463:L1463" si="1575">(J1463/60/60/24)+DATE(1970,1,1)</f>
        <v>41899.645300925928</v>
      </c>
      <c r="L1463" s="11">
        <f t="shared" si="1519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520"/>
        <v>101.24459999999999</v>
      </c>
      <c r="R1463" s="7">
        <f t="shared" si="1521"/>
        <v>44.66673529411765</v>
      </c>
      <c r="S1463" t="str">
        <f t="shared" si="1522"/>
        <v>publishing</v>
      </c>
      <c r="T1463" t="str">
        <f t="shared" si="1523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ref="K1464:L1464" si="1576">(J1464/60/60/24)+DATE(1970,1,1)</f>
        <v>41344.662858796299</v>
      </c>
      <c r="L1464" s="11">
        <f t="shared" si="151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520"/>
        <v>108.5175</v>
      </c>
      <c r="R1464" s="7">
        <f t="shared" si="1521"/>
        <v>28.937999999999999</v>
      </c>
      <c r="S1464" t="str">
        <f t="shared" si="1522"/>
        <v>publishing</v>
      </c>
      <c r="T1464" t="str">
        <f t="shared" si="1523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ref="K1465:L1465" si="1577">(J1465/60/60/24)+DATE(1970,1,1)</f>
        <v>41326.911319444444</v>
      </c>
      <c r="L1465" s="11">
        <f t="shared" si="151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520"/>
        <v>147.66666666666666</v>
      </c>
      <c r="R1465" s="7">
        <f t="shared" si="1521"/>
        <v>35.44</v>
      </c>
      <c r="S1465" t="str">
        <f t="shared" si="1522"/>
        <v>publishing</v>
      </c>
      <c r="T1465" t="str">
        <f t="shared" si="1523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ref="K1466:L1466" si="1578">(J1466/60/60/24)+DATE(1970,1,1)</f>
        <v>41291.661550925928</v>
      </c>
      <c r="L1466" s="11">
        <f t="shared" si="151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520"/>
        <v>163.19999999999999</v>
      </c>
      <c r="R1466" s="7">
        <f t="shared" si="1521"/>
        <v>34.871794871794869</v>
      </c>
      <c r="S1466" t="str">
        <f t="shared" si="1522"/>
        <v>publishing</v>
      </c>
      <c r="T1466" t="str">
        <f t="shared" si="1523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ref="K1467:L1467" si="1579">(J1467/60/60/24)+DATE(1970,1,1)</f>
        <v>40959.734398148146</v>
      </c>
      <c r="L1467" s="11">
        <f t="shared" si="1519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520"/>
        <v>456.41449999999998</v>
      </c>
      <c r="R1467" s="7">
        <f t="shared" si="1521"/>
        <v>52.622732513451197</v>
      </c>
      <c r="S1467" t="str">
        <f t="shared" si="1522"/>
        <v>publishing</v>
      </c>
      <c r="T1467" t="str">
        <f t="shared" si="1523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ref="K1468:L1468" si="1580">(J1468/60/60/24)+DATE(1970,1,1)</f>
        <v>42340.172060185185</v>
      </c>
      <c r="L1468" s="11">
        <f t="shared" si="151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520"/>
        <v>107.87731249999999</v>
      </c>
      <c r="R1468" s="7">
        <f t="shared" si="1521"/>
        <v>69.598266129032254</v>
      </c>
      <c r="S1468" t="str">
        <f t="shared" si="1522"/>
        <v>publishing</v>
      </c>
      <c r="T1468" t="str">
        <f t="shared" si="1523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ref="K1469:L1469" si="1581">(J1469/60/60/24)+DATE(1970,1,1)</f>
        <v>40933.80190972222</v>
      </c>
      <c r="L1469" s="11">
        <f t="shared" si="151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520"/>
        <v>115.08</v>
      </c>
      <c r="R1469" s="7">
        <f t="shared" si="1521"/>
        <v>76.72</v>
      </c>
      <c r="S1469" t="str">
        <f t="shared" si="1522"/>
        <v>publishing</v>
      </c>
      <c r="T1469" t="str">
        <f t="shared" si="1523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ref="K1470:L1470" si="1582">(J1470/60/60/24)+DATE(1970,1,1)</f>
        <v>40646.014456018522</v>
      </c>
      <c r="L1470" s="11">
        <f t="shared" si="151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520"/>
        <v>102.36842105263158</v>
      </c>
      <c r="R1470" s="7">
        <f t="shared" si="1521"/>
        <v>33.191126279863482</v>
      </c>
      <c r="S1470" t="str">
        <f t="shared" si="1522"/>
        <v>publishing</v>
      </c>
      <c r="T1470" t="str">
        <f t="shared" si="1523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ref="K1471:L1471" si="1583">(J1471/60/60/24)+DATE(1970,1,1)</f>
        <v>41290.598483796297</v>
      </c>
      <c r="L1471" s="11">
        <f t="shared" si="151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520"/>
        <v>108.42485875706214</v>
      </c>
      <c r="R1471" s="7">
        <f t="shared" si="1521"/>
        <v>149.46417445482865</v>
      </c>
      <c r="S1471" t="str">
        <f t="shared" si="1522"/>
        <v>publishing</v>
      </c>
      <c r="T1471" t="str">
        <f t="shared" si="1523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ref="K1472:L1472" si="1584">(J1472/60/60/24)+DATE(1970,1,1)</f>
        <v>41250.827118055553</v>
      </c>
      <c r="L1472" s="11">
        <f t="shared" si="151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520"/>
        <v>125.13333333333334</v>
      </c>
      <c r="R1472" s="7">
        <f t="shared" si="1521"/>
        <v>23.172839506172838</v>
      </c>
      <c r="S1472" t="str">
        <f t="shared" si="1522"/>
        <v>publishing</v>
      </c>
      <c r="T1472" t="str">
        <f t="shared" si="1523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ref="K1473:L1473" si="1585">(J1473/60/60/24)+DATE(1970,1,1)</f>
        <v>42073.957569444443</v>
      </c>
      <c r="L1473" s="11">
        <f t="shared" si="151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520"/>
        <v>103.840625</v>
      </c>
      <c r="R1473" s="7">
        <f t="shared" si="1521"/>
        <v>96.877551020408163</v>
      </c>
      <c r="S1473" t="str">
        <f t="shared" si="1522"/>
        <v>publishing</v>
      </c>
      <c r="T1473" t="str">
        <f t="shared" si="1523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ref="K1474:L1474" si="1586">(J1474/60/60/24)+DATE(1970,1,1)</f>
        <v>41533.542858796296</v>
      </c>
      <c r="L1474" s="11">
        <f t="shared" si="151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520"/>
        <v>138.70400000000001</v>
      </c>
      <c r="R1474" s="7">
        <f t="shared" si="1521"/>
        <v>103.20238095238095</v>
      </c>
      <c r="S1474" t="str">
        <f t="shared" si="1522"/>
        <v>publishing</v>
      </c>
      <c r="T1474" t="str">
        <f t="shared" si="1523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ref="K1475:L1475" si="1587">(J1475/60/60/24)+DATE(1970,1,1)</f>
        <v>40939.979618055557</v>
      </c>
      <c r="L1475" s="11">
        <f t="shared" ref="L1475:L1538" si="1588">(I1475/60/60/24)+DATE(1970,1,1)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589">(E1475/D1475)*100</f>
        <v>120.51600000000001</v>
      </c>
      <c r="R1475" s="7">
        <f t="shared" ref="R1475:R1538" si="1590">IFERROR(E1475/N1475, 0)</f>
        <v>38.462553191489363</v>
      </c>
      <c r="S1475" t="str">
        <f t="shared" ref="S1475:S1538" si="1591">LEFT(P1475, SEARCH("/", P1475,1)-1)</f>
        <v>publishing</v>
      </c>
      <c r="T1475" t="str">
        <f t="shared" ref="T1475:T1538" si="1592">RIGHT(P1475,LEN(P1475)-SEARCH("/",P1475,SEARCH("/",P1475)))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ref="K1476:L1476" si="1593">(J1476/60/60/24)+DATE(1970,1,1)</f>
        <v>41500.727916666663</v>
      </c>
      <c r="L1476" s="11">
        <f t="shared" si="1588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589"/>
        <v>112.26666666666667</v>
      </c>
      <c r="R1476" s="7">
        <f t="shared" si="1590"/>
        <v>44.315789473684212</v>
      </c>
      <c r="S1476" t="str">
        <f t="shared" si="1591"/>
        <v>publishing</v>
      </c>
      <c r="T1476" t="str">
        <f t="shared" si="1592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ref="K1477:L1477" si="1594">(J1477/60/60/24)+DATE(1970,1,1)</f>
        <v>41960.722951388889</v>
      </c>
      <c r="L1477" s="11">
        <f t="shared" si="1588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589"/>
        <v>188.66966666666667</v>
      </c>
      <c r="R1477" s="7">
        <f t="shared" si="1590"/>
        <v>64.173356009070289</v>
      </c>
      <c r="S1477" t="str">
        <f t="shared" si="1591"/>
        <v>publishing</v>
      </c>
      <c r="T1477" t="str">
        <f t="shared" si="1592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ref="K1478:L1478" si="1595">(J1478/60/60/24)+DATE(1970,1,1)</f>
        <v>40766.041921296295</v>
      </c>
      <c r="L1478" s="11">
        <f t="shared" si="1588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589"/>
        <v>661.55466666666666</v>
      </c>
      <c r="R1478" s="7">
        <f t="shared" si="1590"/>
        <v>43.333275109170302</v>
      </c>
      <c r="S1478" t="str">
        <f t="shared" si="1591"/>
        <v>publishing</v>
      </c>
      <c r="T1478" t="str">
        <f t="shared" si="1592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ref="K1479:L1479" si="1596">(J1479/60/60/24)+DATE(1970,1,1)</f>
        <v>40840.615787037037</v>
      </c>
      <c r="L1479" s="11">
        <f t="shared" si="1588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589"/>
        <v>111.31</v>
      </c>
      <c r="R1479" s="7">
        <f t="shared" si="1590"/>
        <v>90.495934959349597</v>
      </c>
      <c r="S1479" t="str">
        <f t="shared" si="1591"/>
        <v>publishing</v>
      </c>
      <c r="T1479" t="str">
        <f t="shared" si="1592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ref="K1480:L1480" si="1597">(J1480/60/60/24)+DATE(1970,1,1)</f>
        <v>41394.871678240743</v>
      </c>
      <c r="L1480" s="11">
        <f t="shared" si="1588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589"/>
        <v>1181.6142199999999</v>
      </c>
      <c r="R1480" s="7">
        <f t="shared" si="1590"/>
        <v>29.187190495010373</v>
      </c>
      <c r="S1480" t="str">
        <f t="shared" si="1591"/>
        <v>publishing</v>
      </c>
      <c r="T1480" t="str">
        <f t="shared" si="1592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ref="K1481:L1481" si="1598">(J1481/60/60/24)+DATE(1970,1,1)</f>
        <v>41754.745243055557</v>
      </c>
      <c r="L1481" s="11">
        <f t="shared" si="1588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589"/>
        <v>137.375</v>
      </c>
      <c r="R1481" s="7">
        <f t="shared" si="1590"/>
        <v>30.95774647887324</v>
      </c>
      <c r="S1481" t="str">
        <f t="shared" si="1591"/>
        <v>publishing</v>
      </c>
      <c r="T1481" t="str">
        <f t="shared" si="1592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ref="K1482:L1482" si="1599">(J1482/60/60/24)+DATE(1970,1,1)</f>
        <v>41464.934016203704</v>
      </c>
      <c r="L1482" s="11">
        <f t="shared" si="1588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589"/>
        <v>117.04040000000001</v>
      </c>
      <c r="R1482" s="7">
        <f t="shared" si="1590"/>
        <v>92.157795275590544</v>
      </c>
      <c r="S1482" t="str">
        <f t="shared" si="1591"/>
        <v>publishing</v>
      </c>
      <c r="T1482" t="str">
        <f t="shared" si="1592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ref="K1483:L1483" si="1600">(J1483/60/60/24)+DATE(1970,1,1)</f>
        <v>41550.922974537039</v>
      </c>
      <c r="L1483" s="11">
        <f t="shared" si="1588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589"/>
        <v>2.1</v>
      </c>
      <c r="R1483" s="7">
        <f t="shared" si="1590"/>
        <v>17.5</v>
      </c>
      <c r="S1483" t="str">
        <f t="shared" si="1591"/>
        <v>publishing</v>
      </c>
      <c r="T1483" t="str">
        <f t="shared" si="1592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ref="K1484:L1484" si="1601">(J1484/60/60/24)+DATE(1970,1,1)</f>
        <v>41136.85805555556</v>
      </c>
      <c r="L1484" s="11">
        <f t="shared" si="1588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589"/>
        <v>0.1</v>
      </c>
      <c r="R1484" s="7">
        <f t="shared" si="1590"/>
        <v>5</v>
      </c>
      <c r="S1484" t="str">
        <f t="shared" si="1591"/>
        <v>publishing</v>
      </c>
      <c r="T1484" t="str">
        <f t="shared" si="1592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ref="K1485:L1485" si="1602">(J1485/60/60/24)+DATE(1970,1,1)</f>
        <v>42548.192997685182</v>
      </c>
      <c r="L1485" s="11">
        <f t="shared" si="1588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589"/>
        <v>0.7142857142857143</v>
      </c>
      <c r="R1485" s="7">
        <f t="shared" si="1590"/>
        <v>25</v>
      </c>
      <c r="S1485" t="str">
        <f t="shared" si="1591"/>
        <v>publishing</v>
      </c>
      <c r="T1485" t="str">
        <f t="shared" si="1592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ref="K1486:L1486" si="1603">(J1486/60/60/24)+DATE(1970,1,1)</f>
        <v>41053.200960648144</v>
      </c>
      <c r="L1486" s="11">
        <f t="shared" si="1588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589"/>
        <v>0</v>
      </c>
      <c r="R1486" s="7">
        <f t="shared" si="1590"/>
        <v>0</v>
      </c>
      <c r="S1486" t="str">
        <f t="shared" si="1591"/>
        <v>publishing</v>
      </c>
      <c r="T1486" t="str">
        <f t="shared" si="1592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ref="K1487:L1487" si="1604">(J1487/60/60/24)+DATE(1970,1,1)</f>
        <v>42130.795983796299</v>
      </c>
      <c r="L1487" s="11">
        <f t="shared" si="1588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589"/>
        <v>2.2388059701492535</v>
      </c>
      <c r="R1487" s="7">
        <f t="shared" si="1590"/>
        <v>50</v>
      </c>
      <c r="S1487" t="str">
        <f t="shared" si="1591"/>
        <v>publishing</v>
      </c>
      <c r="T1487" t="str">
        <f t="shared" si="1592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ref="K1488:L1488" si="1605">(J1488/60/60/24)+DATE(1970,1,1)</f>
        <v>42032.168530092589</v>
      </c>
      <c r="L1488" s="11">
        <f t="shared" si="1588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589"/>
        <v>0.24</v>
      </c>
      <c r="R1488" s="7">
        <f t="shared" si="1590"/>
        <v>16</v>
      </c>
      <c r="S1488" t="str">
        <f t="shared" si="1591"/>
        <v>publishing</v>
      </c>
      <c r="T1488" t="str">
        <f t="shared" si="1592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ref="K1489:L1489" si="1606">(J1489/60/60/24)+DATE(1970,1,1)</f>
        <v>42554.917488425926</v>
      </c>
      <c r="L1489" s="11">
        <f t="shared" si="1588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589"/>
        <v>0</v>
      </c>
      <c r="R1489" s="7">
        <f t="shared" si="1590"/>
        <v>0</v>
      </c>
      <c r="S1489" t="str">
        <f t="shared" si="1591"/>
        <v>publishing</v>
      </c>
      <c r="T1489" t="str">
        <f t="shared" si="1592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ref="K1490:L1490" si="1607">(J1490/60/60/24)+DATE(1970,1,1)</f>
        <v>41614.563194444447</v>
      </c>
      <c r="L1490" s="11">
        <f t="shared" si="1588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589"/>
        <v>2.4</v>
      </c>
      <c r="R1490" s="7">
        <f t="shared" si="1590"/>
        <v>60</v>
      </c>
      <c r="S1490" t="str">
        <f t="shared" si="1591"/>
        <v>publishing</v>
      </c>
      <c r="T1490" t="str">
        <f t="shared" si="1592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ref="K1491:L1491" si="1608">(J1491/60/60/24)+DATE(1970,1,1)</f>
        <v>41198.611712962964</v>
      </c>
      <c r="L1491" s="11">
        <f t="shared" si="1588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589"/>
        <v>0</v>
      </c>
      <c r="R1491" s="7">
        <f t="shared" si="1590"/>
        <v>0</v>
      </c>
      <c r="S1491" t="str">
        <f t="shared" si="1591"/>
        <v>publishing</v>
      </c>
      <c r="T1491" t="str">
        <f t="shared" si="1592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ref="K1492:L1492" si="1609">(J1492/60/60/24)+DATE(1970,1,1)</f>
        <v>41520.561041666668</v>
      </c>
      <c r="L1492" s="11">
        <f t="shared" si="1588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589"/>
        <v>30.862068965517242</v>
      </c>
      <c r="R1492" s="7">
        <f t="shared" si="1590"/>
        <v>47.10526315789474</v>
      </c>
      <c r="S1492" t="str">
        <f t="shared" si="1591"/>
        <v>publishing</v>
      </c>
      <c r="T1492" t="str">
        <f t="shared" si="1592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ref="K1493:L1493" si="1610">(J1493/60/60/24)+DATE(1970,1,1)</f>
        <v>41991.713460648149</v>
      </c>
      <c r="L1493" s="11">
        <f t="shared" si="1588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589"/>
        <v>8.3333333333333321</v>
      </c>
      <c r="R1493" s="7">
        <f t="shared" si="1590"/>
        <v>100</v>
      </c>
      <c r="S1493" t="str">
        <f t="shared" si="1591"/>
        <v>publishing</v>
      </c>
      <c r="T1493" t="str">
        <f t="shared" si="1592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ref="K1494:L1494" si="1611">(J1494/60/60/24)+DATE(1970,1,1)</f>
        <v>40682.884791666671</v>
      </c>
      <c r="L1494" s="11">
        <f t="shared" si="1588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589"/>
        <v>0.75</v>
      </c>
      <c r="R1494" s="7">
        <f t="shared" si="1590"/>
        <v>15</v>
      </c>
      <c r="S1494" t="str">
        <f t="shared" si="1591"/>
        <v>publishing</v>
      </c>
      <c r="T1494" t="str">
        <f t="shared" si="1592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ref="K1495:L1495" si="1612">(J1495/60/60/24)+DATE(1970,1,1)</f>
        <v>41411.866608796299</v>
      </c>
      <c r="L1495" s="11">
        <f t="shared" si="1588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589"/>
        <v>0</v>
      </c>
      <c r="R1495" s="7">
        <f t="shared" si="1590"/>
        <v>0</v>
      </c>
      <c r="S1495" t="str">
        <f t="shared" si="1591"/>
        <v>publishing</v>
      </c>
      <c r="T1495" t="str">
        <f t="shared" si="1592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ref="K1496:L1496" si="1613">(J1496/60/60/24)+DATE(1970,1,1)</f>
        <v>42067.722372685181</v>
      </c>
      <c r="L1496" s="11">
        <f t="shared" si="1588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589"/>
        <v>8.9</v>
      </c>
      <c r="R1496" s="7">
        <f t="shared" si="1590"/>
        <v>40.454545454545453</v>
      </c>
      <c r="S1496" t="str">
        <f t="shared" si="1591"/>
        <v>publishing</v>
      </c>
      <c r="T1496" t="str">
        <f t="shared" si="1592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ref="K1497:L1497" si="1614">(J1497/60/60/24)+DATE(1970,1,1)</f>
        <v>40752.789710648147</v>
      </c>
      <c r="L1497" s="11">
        <f t="shared" si="1588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589"/>
        <v>0</v>
      </c>
      <c r="R1497" s="7">
        <f t="shared" si="1590"/>
        <v>0</v>
      </c>
      <c r="S1497" t="str">
        <f t="shared" si="1591"/>
        <v>publishing</v>
      </c>
      <c r="T1497" t="str">
        <f t="shared" si="1592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ref="K1498:L1498" si="1615">(J1498/60/60/24)+DATE(1970,1,1)</f>
        <v>41838.475219907406</v>
      </c>
      <c r="L1498" s="11">
        <f t="shared" si="1588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589"/>
        <v>0</v>
      </c>
      <c r="R1498" s="7">
        <f t="shared" si="1590"/>
        <v>0</v>
      </c>
      <c r="S1498" t="str">
        <f t="shared" si="1591"/>
        <v>publishing</v>
      </c>
      <c r="T1498" t="str">
        <f t="shared" si="1592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ref="K1499:L1499" si="1616">(J1499/60/60/24)+DATE(1970,1,1)</f>
        <v>41444.64261574074</v>
      </c>
      <c r="L1499" s="11">
        <f t="shared" si="1588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589"/>
        <v>6.6666666666666671E-3</v>
      </c>
      <c r="R1499" s="7">
        <f t="shared" si="1590"/>
        <v>1</v>
      </c>
      <c r="S1499" t="str">
        <f t="shared" si="1591"/>
        <v>publishing</v>
      </c>
      <c r="T1499" t="str">
        <f t="shared" si="1592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ref="K1500:L1500" si="1617">(J1500/60/60/24)+DATE(1970,1,1)</f>
        <v>41840.983541666668</v>
      </c>
      <c r="L1500" s="11">
        <f t="shared" si="1588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589"/>
        <v>1.9</v>
      </c>
      <c r="R1500" s="7">
        <f t="shared" si="1590"/>
        <v>19</v>
      </c>
      <c r="S1500" t="str">
        <f t="shared" si="1591"/>
        <v>publishing</v>
      </c>
      <c r="T1500" t="str">
        <f t="shared" si="1592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ref="K1501:L1501" si="1618">(J1501/60/60/24)+DATE(1970,1,1)</f>
        <v>42527.007326388892</v>
      </c>
      <c r="L1501" s="11">
        <f t="shared" si="1588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589"/>
        <v>0.25</v>
      </c>
      <c r="R1501" s="7">
        <f t="shared" si="1590"/>
        <v>5</v>
      </c>
      <c r="S1501" t="str">
        <f t="shared" si="1591"/>
        <v>publishing</v>
      </c>
      <c r="T1501" t="str">
        <f t="shared" si="1592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ref="K1502:L1502" si="1619">(J1502/60/60/24)+DATE(1970,1,1)</f>
        <v>41365.904594907406</v>
      </c>
      <c r="L1502" s="11">
        <f t="shared" si="1588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589"/>
        <v>25.035714285714285</v>
      </c>
      <c r="R1502" s="7">
        <f t="shared" si="1590"/>
        <v>46.733333333333334</v>
      </c>
      <c r="S1502" t="str">
        <f t="shared" si="1591"/>
        <v>publishing</v>
      </c>
      <c r="T1502" t="str">
        <f t="shared" si="1592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ref="K1503:L1503" si="1620">(J1503/60/60/24)+DATE(1970,1,1)</f>
        <v>42163.583599537036</v>
      </c>
      <c r="L1503" s="11">
        <f t="shared" si="1588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589"/>
        <v>166.33076923076925</v>
      </c>
      <c r="R1503" s="7">
        <f t="shared" si="1590"/>
        <v>97.731073446327684</v>
      </c>
      <c r="S1503" t="str">
        <f t="shared" si="1591"/>
        <v>photography</v>
      </c>
      <c r="T1503" t="str">
        <f t="shared" si="1592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ref="K1504:L1504" si="1621">(J1504/60/60/24)+DATE(1970,1,1)</f>
        <v>42426.542592592596</v>
      </c>
      <c r="L1504" s="11">
        <f t="shared" si="1588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589"/>
        <v>101.44545454545455</v>
      </c>
      <c r="R1504" s="7">
        <f t="shared" si="1590"/>
        <v>67.835866261398181</v>
      </c>
      <c r="S1504" t="str">
        <f t="shared" si="1591"/>
        <v>photography</v>
      </c>
      <c r="T1504" t="str">
        <f t="shared" si="1592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ref="K1505:L1505" si="1622">(J1505/60/60/24)+DATE(1970,1,1)</f>
        <v>42606.347233796296</v>
      </c>
      <c r="L1505" s="11">
        <f t="shared" si="1588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589"/>
        <v>107.89146666666667</v>
      </c>
      <c r="R1505" s="7">
        <f t="shared" si="1590"/>
        <v>56.98492957746479</v>
      </c>
      <c r="S1505" t="str">
        <f t="shared" si="1591"/>
        <v>photography</v>
      </c>
      <c r="T1505" t="str">
        <f t="shared" si="1592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ref="K1506:L1506" si="1623">(J1506/60/60/24)+DATE(1970,1,1)</f>
        <v>41772.657685185186</v>
      </c>
      <c r="L1506" s="11">
        <f t="shared" si="1588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589"/>
        <v>277.93846153846158</v>
      </c>
      <c r="R1506" s="7">
        <f t="shared" si="1590"/>
        <v>67.159851301115239</v>
      </c>
      <c r="S1506" t="str">
        <f t="shared" si="1591"/>
        <v>photography</v>
      </c>
      <c r="T1506" t="str">
        <f t="shared" si="1592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ref="K1507:L1507" si="1624">(J1507/60/60/24)+DATE(1970,1,1)</f>
        <v>42414.44332175926</v>
      </c>
      <c r="L1507" s="11">
        <f t="shared" si="1588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589"/>
        <v>103.58125</v>
      </c>
      <c r="R1507" s="7">
        <f t="shared" si="1590"/>
        <v>48.037681159420288</v>
      </c>
      <c r="S1507" t="str">
        <f t="shared" si="1591"/>
        <v>photography</v>
      </c>
      <c r="T1507" t="str">
        <f t="shared" si="1592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ref="K1508:L1508" si="1625">(J1508/60/60/24)+DATE(1970,1,1)</f>
        <v>41814.785925925928</v>
      </c>
      <c r="L1508" s="11">
        <f t="shared" si="1588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589"/>
        <v>111.4</v>
      </c>
      <c r="R1508" s="7">
        <f t="shared" si="1590"/>
        <v>38.860465116279073</v>
      </c>
      <c r="S1508" t="str">
        <f t="shared" si="1591"/>
        <v>photography</v>
      </c>
      <c r="T1508" t="str">
        <f t="shared" si="1592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ref="K1509:L1509" si="1626">(J1509/60/60/24)+DATE(1970,1,1)</f>
        <v>40254.450335648151</v>
      </c>
      <c r="L1509" s="11">
        <f t="shared" si="1588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589"/>
        <v>215</v>
      </c>
      <c r="R1509" s="7">
        <f t="shared" si="1590"/>
        <v>78.181818181818187</v>
      </c>
      <c r="S1509" t="str">
        <f t="shared" si="1591"/>
        <v>photography</v>
      </c>
      <c r="T1509" t="str">
        <f t="shared" si="1592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ref="K1510:L1510" si="1627">(J1510/60/60/24)+DATE(1970,1,1)</f>
        <v>41786.614363425928</v>
      </c>
      <c r="L1510" s="11">
        <f t="shared" si="1588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589"/>
        <v>110.76216216216217</v>
      </c>
      <c r="R1510" s="7">
        <f t="shared" si="1590"/>
        <v>97.113744075829388</v>
      </c>
      <c r="S1510" t="str">
        <f t="shared" si="1591"/>
        <v>photography</v>
      </c>
      <c r="T1510" t="str">
        <f t="shared" si="1592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ref="K1511:L1511" si="1628">(J1511/60/60/24)+DATE(1970,1,1)</f>
        <v>42751.533391203702</v>
      </c>
      <c r="L1511" s="11">
        <f t="shared" si="1588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589"/>
        <v>123.64125714285714</v>
      </c>
      <c r="R1511" s="7">
        <f t="shared" si="1590"/>
        <v>110.39397959183674</v>
      </c>
      <c r="S1511" t="str">
        <f t="shared" si="1591"/>
        <v>photography</v>
      </c>
      <c r="T1511" t="str">
        <f t="shared" si="1592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ref="K1512:L1512" si="1629">(J1512/60/60/24)+DATE(1970,1,1)</f>
        <v>41809.385162037033</v>
      </c>
      <c r="L1512" s="11">
        <f t="shared" si="1588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589"/>
        <v>101.03500000000001</v>
      </c>
      <c r="R1512" s="7">
        <f t="shared" si="1590"/>
        <v>39.91506172839506</v>
      </c>
      <c r="S1512" t="str">
        <f t="shared" si="1591"/>
        <v>photography</v>
      </c>
      <c r="T1512" t="str">
        <f t="shared" si="1592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ref="K1513:L1513" si="1630">(J1513/60/60/24)+DATE(1970,1,1)</f>
        <v>42296.583379629628</v>
      </c>
      <c r="L1513" s="11">
        <f t="shared" si="1588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589"/>
        <v>111.79285714285714</v>
      </c>
      <c r="R1513" s="7">
        <f t="shared" si="1590"/>
        <v>75.975728155339809</v>
      </c>
      <c r="S1513" t="str">
        <f t="shared" si="1591"/>
        <v>photography</v>
      </c>
      <c r="T1513" t="str">
        <f t="shared" si="1592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ref="K1514:L1514" si="1631">(J1514/60/60/24)+DATE(1970,1,1)</f>
        <v>42741.684479166666</v>
      </c>
      <c r="L1514" s="11">
        <f t="shared" si="1588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589"/>
        <v>558.7714285714286</v>
      </c>
      <c r="R1514" s="7">
        <f t="shared" si="1590"/>
        <v>58.379104477611939</v>
      </c>
      <c r="S1514" t="str">
        <f t="shared" si="1591"/>
        <v>photography</v>
      </c>
      <c r="T1514" t="str">
        <f t="shared" si="1592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ref="K1515:L1515" si="1632">(J1515/60/60/24)+DATE(1970,1,1)</f>
        <v>41806.637337962966</v>
      </c>
      <c r="L1515" s="11">
        <f t="shared" si="1588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589"/>
        <v>150.01875000000001</v>
      </c>
      <c r="R1515" s="7">
        <f t="shared" si="1590"/>
        <v>55.82093023255814</v>
      </c>
      <c r="S1515" t="str">
        <f t="shared" si="1591"/>
        <v>photography</v>
      </c>
      <c r="T1515" t="str">
        <f t="shared" si="1592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ref="K1516:L1516" si="1633">(J1516/60/60/24)+DATE(1970,1,1)</f>
        <v>42234.597685185188</v>
      </c>
      <c r="L1516" s="11">
        <f t="shared" si="1588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589"/>
        <v>106.476</v>
      </c>
      <c r="R1516" s="7">
        <f t="shared" si="1590"/>
        <v>151.24431818181819</v>
      </c>
      <c r="S1516" t="str">
        <f t="shared" si="1591"/>
        <v>photography</v>
      </c>
      <c r="T1516" t="str">
        <f t="shared" si="1592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ref="K1517:L1517" si="1634">(J1517/60/60/24)+DATE(1970,1,1)</f>
        <v>42415.253437499996</v>
      </c>
      <c r="L1517" s="11">
        <f t="shared" si="1588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589"/>
        <v>157.18899999999999</v>
      </c>
      <c r="R1517" s="7">
        <f t="shared" si="1590"/>
        <v>849.67027027027029</v>
      </c>
      <c r="S1517" t="str">
        <f t="shared" si="1591"/>
        <v>photography</v>
      </c>
      <c r="T1517" t="str">
        <f t="shared" si="1592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ref="K1518:L1518" si="1635">(J1518/60/60/24)+DATE(1970,1,1)</f>
        <v>42619.466342592597</v>
      </c>
      <c r="L1518" s="11">
        <f t="shared" si="1588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589"/>
        <v>108.65882352941176</v>
      </c>
      <c r="R1518" s="7">
        <f t="shared" si="1590"/>
        <v>159.24137931034483</v>
      </c>
      <c r="S1518" t="str">
        <f t="shared" si="1591"/>
        <v>photography</v>
      </c>
      <c r="T1518" t="str">
        <f t="shared" si="1592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ref="K1519:L1519" si="1636">(J1519/60/60/24)+DATE(1970,1,1)</f>
        <v>41948.56658564815</v>
      </c>
      <c r="L1519" s="11">
        <f t="shared" si="1588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589"/>
        <v>161.97999999999999</v>
      </c>
      <c r="R1519" s="7">
        <f t="shared" si="1590"/>
        <v>39.507317073170732</v>
      </c>
      <c r="S1519" t="str">
        <f t="shared" si="1591"/>
        <v>photography</v>
      </c>
      <c r="T1519" t="str">
        <f t="shared" si="1592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ref="K1520:L1520" si="1637">(J1520/60/60/24)+DATE(1970,1,1)</f>
        <v>41760.8200462963</v>
      </c>
      <c r="L1520" s="11">
        <f t="shared" si="1588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589"/>
        <v>205.36666666666665</v>
      </c>
      <c r="R1520" s="7">
        <f t="shared" si="1590"/>
        <v>130.52966101694915</v>
      </c>
      <c r="S1520" t="str">
        <f t="shared" si="1591"/>
        <v>photography</v>
      </c>
      <c r="T1520" t="str">
        <f t="shared" si="1592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ref="K1521:L1521" si="1638">(J1521/60/60/24)+DATE(1970,1,1)</f>
        <v>41782.741701388892</v>
      </c>
      <c r="L1521" s="11">
        <f t="shared" si="1588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589"/>
        <v>103.36388888888889</v>
      </c>
      <c r="R1521" s="7">
        <f t="shared" si="1590"/>
        <v>64.156896551724131</v>
      </c>
      <c r="S1521" t="str">
        <f t="shared" si="1591"/>
        <v>photography</v>
      </c>
      <c r="T1521" t="str">
        <f t="shared" si="1592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ref="K1522:L1522" si="1639">(J1522/60/60/24)+DATE(1970,1,1)</f>
        <v>41955.857789351852</v>
      </c>
      <c r="L1522" s="11">
        <f t="shared" si="1588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589"/>
        <v>103.47222222222223</v>
      </c>
      <c r="R1522" s="7">
        <f t="shared" si="1590"/>
        <v>111.52694610778443</v>
      </c>
      <c r="S1522" t="str">
        <f t="shared" si="1591"/>
        <v>photography</v>
      </c>
      <c r="T1522" t="str">
        <f t="shared" si="1592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ref="K1523:L1523" si="1640">(J1523/60/60/24)+DATE(1970,1,1)</f>
        <v>42493.167719907404</v>
      </c>
      <c r="L1523" s="11">
        <f t="shared" si="1588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589"/>
        <v>106.81333333333333</v>
      </c>
      <c r="R1523" s="7">
        <f t="shared" si="1590"/>
        <v>170.44680851063831</v>
      </c>
      <c r="S1523" t="str">
        <f t="shared" si="1591"/>
        <v>photography</v>
      </c>
      <c r="T1523" t="str">
        <f t="shared" si="1592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ref="K1524:L1524" si="1641">(J1524/60/60/24)+DATE(1970,1,1)</f>
        <v>41899.830312500002</v>
      </c>
      <c r="L1524" s="11">
        <f t="shared" si="1588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589"/>
        <v>138.96574712643678</v>
      </c>
      <c r="R1524" s="7">
        <f t="shared" si="1590"/>
        <v>133.7391592920354</v>
      </c>
      <c r="S1524" t="str">
        <f t="shared" si="1591"/>
        <v>photography</v>
      </c>
      <c r="T1524" t="str">
        <f t="shared" si="1592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ref="K1525:L1525" si="1642">(J1525/60/60/24)+DATE(1970,1,1)</f>
        <v>41964.751342592594</v>
      </c>
      <c r="L1525" s="11">
        <f t="shared" si="1588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589"/>
        <v>124.84324324324325</v>
      </c>
      <c r="R1525" s="7">
        <f t="shared" si="1590"/>
        <v>95.834024896265561</v>
      </c>
      <c r="S1525" t="str">
        <f t="shared" si="1591"/>
        <v>photography</v>
      </c>
      <c r="T1525" t="str">
        <f t="shared" si="1592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ref="K1526:L1526" si="1643">(J1526/60/60/24)+DATE(1970,1,1)</f>
        <v>42756.501041666663</v>
      </c>
      <c r="L1526" s="11">
        <f t="shared" si="1588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589"/>
        <v>206.99999999999997</v>
      </c>
      <c r="R1526" s="7">
        <f t="shared" si="1590"/>
        <v>221.78571428571428</v>
      </c>
      <c r="S1526" t="str">
        <f t="shared" si="1591"/>
        <v>photography</v>
      </c>
      <c r="T1526" t="str">
        <f t="shared" si="1592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ref="K1527:L1527" si="1644">(J1527/60/60/24)+DATE(1970,1,1)</f>
        <v>42570.702986111108</v>
      </c>
      <c r="L1527" s="11">
        <f t="shared" si="1588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589"/>
        <v>174.00576923076923</v>
      </c>
      <c r="R1527" s="7">
        <f t="shared" si="1590"/>
        <v>32.315357142857138</v>
      </c>
      <c r="S1527" t="str">
        <f t="shared" si="1591"/>
        <v>photography</v>
      </c>
      <c r="T1527" t="str">
        <f t="shared" si="1592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ref="K1528:L1528" si="1645">(J1528/60/60/24)+DATE(1970,1,1)</f>
        <v>42339.276006944448</v>
      </c>
      <c r="L1528" s="11">
        <f t="shared" si="1588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589"/>
        <v>120.32608695652173</v>
      </c>
      <c r="R1528" s="7">
        <f t="shared" si="1590"/>
        <v>98.839285714285708</v>
      </c>
      <c r="S1528" t="str">
        <f t="shared" si="1591"/>
        <v>photography</v>
      </c>
      <c r="T1528" t="str">
        <f t="shared" si="1592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ref="K1529:L1529" si="1646">(J1529/60/60/24)+DATE(1970,1,1)</f>
        <v>42780.600532407407</v>
      </c>
      <c r="L1529" s="11">
        <f t="shared" si="1588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589"/>
        <v>110.44428571428573</v>
      </c>
      <c r="R1529" s="7">
        <f t="shared" si="1590"/>
        <v>55.222142857142863</v>
      </c>
      <c r="S1529" t="str">
        <f t="shared" si="1591"/>
        <v>photography</v>
      </c>
      <c r="T1529" t="str">
        <f t="shared" si="1592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ref="K1530:L1530" si="1647">(J1530/60/60/24)+DATE(1970,1,1)</f>
        <v>42736.732893518521</v>
      </c>
      <c r="L1530" s="11">
        <f t="shared" si="1588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589"/>
        <v>281.56666666666666</v>
      </c>
      <c r="R1530" s="7">
        <f t="shared" si="1590"/>
        <v>52.793750000000003</v>
      </c>
      <c r="S1530" t="str">
        <f t="shared" si="1591"/>
        <v>photography</v>
      </c>
      <c r="T1530" t="str">
        <f t="shared" si="1592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ref="K1531:L1531" si="1648">(J1531/60/60/24)+DATE(1970,1,1)</f>
        <v>42052.628703703704</v>
      </c>
      <c r="L1531" s="11">
        <f t="shared" si="1588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589"/>
        <v>100.67894736842105</v>
      </c>
      <c r="R1531" s="7">
        <f t="shared" si="1590"/>
        <v>135.66666666666666</v>
      </c>
      <c r="S1531" t="str">
        <f t="shared" si="1591"/>
        <v>photography</v>
      </c>
      <c r="T1531" t="str">
        <f t="shared" si="1592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ref="K1532:L1532" si="1649">(J1532/60/60/24)+DATE(1970,1,1)</f>
        <v>42275.767303240747</v>
      </c>
      <c r="L1532" s="11">
        <f t="shared" si="1588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589"/>
        <v>134.82571428571427</v>
      </c>
      <c r="R1532" s="7">
        <f t="shared" si="1590"/>
        <v>53.991990846681922</v>
      </c>
      <c r="S1532" t="str">
        <f t="shared" si="1591"/>
        <v>photography</v>
      </c>
      <c r="T1532" t="str">
        <f t="shared" si="1592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ref="K1533:L1533" si="1650">(J1533/60/60/24)+DATE(1970,1,1)</f>
        <v>41941.802384259259</v>
      </c>
      <c r="L1533" s="11">
        <f t="shared" si="1588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589"/>
        <v>175.95744680851064</v>
      </c>
      <c r="R1533" s="7">
        <f t="shared" si="1590"/>
        <v>56.643835616438359</v>
      </c>
      <c r="S1533" t="str">
        <f t="shared" si="1591"/>
        <v>photography</v>
      </c>
      <c r="T1533" t="str">
        <f t="shared" si="1592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ref="K1534:L1534" si="1651">(J1534/60/60/24)+DATE(1970,1,1)</f>
        <v>42391.475289351853</v>
      </c>
      <c r="L1534" s="11">
        <f t="shared" si="1588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589"/>
        <v>484.02000000000004</v>
      </c>
      <c r="R1534" s="7">
        <f t="shared" si="1590"/>
        <v>82.316326530612244</v>
      </c>
      <c r="S1534" t="str">
        <f t="shared" si="1591"/>
        <v>photography</v>
      </c>
      <c r="T1534" t="str">
        <f t="shared" si="1592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ref="K1535:L1535" si="1652">(J1535/60/60/24)+DATE(1970,1,1)</f>
        <v>42443.00204861111</v>
      </c>
      <c r="L1535" s="11">
        <f t="shared" si="1588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589"/>
        <v>145.14000000000001</v>
      </c>
      <c r="R1535" s="7">
        <f t="shared" si="1590"/>
        <v>88.26081081081081</v>
      </c>
      <c r="S1535" t="str">
        <f t="shared" si="1591"/>
        <v>photography</v>
      </c>
      <c r="T1535" t="str">
        <f t="shared" si="1592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ref="K1536:L1536" si="1653">(J1536/60/60/24)+DATE(1970,1,1)</f>
        <v>42221.67432870371</v>
      </c>
      <c r="L1536" s="11">
        <f t="shared" si="1588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589"/>
        <v>417.73333333333335</v>
      </c>
      <c r="R1536" s="7">
        <f t="shared" si="1590"/>
        <v>84.905149051490511</v>
      </c>
      <c r="S1536" t="str">
        <f t="shared" si="1591"/>
        <v>photography</v>
      </c>
      <c r="T1536" t="str">
        <f t="shared" si="1592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ref="K1537:L1537" si="1654">(J1537/60/60/24)+DATE(1970,1,1)</f>
        <v>42484.829062500001</v>
      </c>
      <c r="L1537" s="11">
        <f t="shared" si="1588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589"/>
        <v>132.42499999999998</v>
      </c>
      <c r="R1537" s="7">
        <f t="shared" si="1590"/>
        <v>48.154545454545456</v>
      </c>
      <c r="S1537" t="str">
        <f t="shared" si="1591"/>
        <v>photography</v>
      </c>
      <c r="T1537" t="str">
        <f t="shared" si="1592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ref="K1538:L1538" si="1655">(J1538/60/60/24)+DATE(1970,1,1)</f>
        <v>42213.802199074074</v>
      </c>
      <c r="L1538" s="11">
        <f t="shared" si="1588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589"/>
        <v>250.30841666666666</v>
      </c>
      <c r="R1538" s="7">
        <f t="shared" si="1590"/>
        <v>66.015406593406595</v>
      </c>
      <c r="S1538" t="str">
        <f t="shared" si="1591"/>
        <v>photography</v>
      </c>
      <c r="T1538" t="str">
        <f t="shared" si="1592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ref="K1539:L1539" si="1656">(J1539/60/60/24)+DATE(1970,1,1)</f>
        <v>42552.315127314811</v>
      </c>
      <c r="L1539" s="11">
        <f t="shared" ref="L1539:L1602" si="1657">(I1539/60/60/24)+DATE(1970,1,1)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658">(E1539/D1539)*100</f>
        <v>179.9</v>
      </c>
      <c r="R1539" s="7">
        <f t="shared" ref="R1539:R1602" si="1659">IFERROR(E1539/N1539, 0)</f>
        <v>96.375</v>
      </c>
      <c r="S1539" t="str">
        <f t="shared" ref="S1539:S1602" si="1660">LEFT(P1539, SEARCH("/", P1539,1)-1)</f>
        <v>photography</v>
      </c>
      <c r="T1539" t="str">
        <f t="shared" ref="T1539:T1602" si="1661">RIGHT(P1539,LEN(P1539)-SEARCH("/",P1539,SEARCH("/",P1539)))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ref="K1540:L1540" si="1662">(J1540/60/60/24)+DATE(1970,1,1)</f>
        <v>41981.782060185185</v>
      </c>
      <c r="L1540" s="11">
        <f t="shared" si="165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658"/>
        <v>102.62857142857142</v>
      </c>
      <c r="R1540" s="7">
        <f t="shared" si="1659"/>
        <v>156.17391304347825</v>
      </c>
      <c r="S1540" t="str">
        <f t="shared" si="1660"/>
        <v>photography</v>
      </c>
      <c r="T1540" t="str">
        <f t="shared" si="1661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ref="K1541:L1541" si="1663">(J1541/60/60/24)+DATE(1970,1,1)</f>
        <v>42705.919201388882</v>
      </c>
      <c r="L1541" s="11">
        <f t="shared" si="165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658"/>
        <v>135.98609999999999</v>
      </c>
      <c r="R1541" s="7">
        <f t="shared" si="1659"/>
        <v>95.764859154929582</v>
      </c>
      <c r="S1541" t="str">
        <f t="shared" si="1660"/>
        <v>photography</v>
      </c>
      <c r="T1541" t="str">
        <f t="shared" si="1661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ref="K1542:L1542" si="1664">(J1542/60/60/24)+DATE(1970,1,1)</f>
        <v>41939.00712962963</v>
      </c>
      <c r="L1542" s="11">
        <f t="shared" si="165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658"/>
        <v>117.86666666666667</v>
      </c>
      <c r="R1542" s="7">
        <f t="shared" si="1659"/>
        <v>180.40816326530611</v>
      </c>
      <c r="S1542" t="str">
        <f t="shared" si="1660"/>
        <v>photography</v>
      </c>
      <c r="T1542" t="str">
        <f t="shared" si="1661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ref="K1543:L1543" si="1665">(J1543/60/60/24)+DATE(1970,1,1)</f>
        <v>41974.712245370371</v>
      </c>
      <c r="L1543" s="11">
        <f t="shared" si="165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658"/>
        <v>3.3333333333333333E-2</v>
      </c>
      <c r="R1543" s="7">
        <f t="shared" si="1659"/>
        <v>3</v>
      </c>
      <c r="S1543" t="str">
        <f t="shared" si="1660"/>
        <v>photography</v>
      </c>
      <c r="T1543" t="str">
        <f t="shared" si="1661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ref="K1544:L1544" si="1666">(J1544/60/60/24)+DATE(1970,1,1)</f>
        <v>42170.996527777781</v>
      </c>
      <c r="L1544" s="11">
        <f t="shared" si="165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658"/>
        <v>4</v>
      </c>
      <c r="R1544" s="7">
        <f t="shared" si="1659"/>
        <v>20</v>
      </c>
      <c r="S1544" t="str">
        <f t="shared" si="1660"/>
        <v>photography</v>
      </c>
      <c r="T1544" t="str">
        <f t="shared" si="1661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ref="K1545:L1545" si="1667">(J1545/60/60/24)+DATE(1970,1,1)</f>
        <v>41935.509652777779</v>
      </c>
      <c r="L1545" s="11">
        <f t="shared" si="165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658"/>
        <v>0.44444444444444442</v>
      </c>
      <c r="R1545" s="7">
        <f t="shared" si="1659"/>
        <v>10</v>
      </c>
      <c r="S1545" t="str">
        <f t="shared" si="1660"/>
        <v>photography</v>
      </c>
      <c r="T1545" t="str">
        <f t="shared" si="1661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ref="K1546:L1546" si="1668">(J1546/60/60/24)+DATE(1970,1,1)</f>
        <v>42053.051203703704</v>
      </c>
      <c r="L1546" s="11">
        <f t="shared" si="165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658"/>
        <v>0</v>
      </c>
      <c r="R1546" s="7">
        <f t="shared" si="1659"/>
        <v>0</v>
      </c>
      <c r="S1546" t="str">
        <f t="shared" si="1660"/>
        <v>photography</v>
      </c>
      <c r="T1546" t="str">
        <f t="shared" si="1661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ref="K1547:L1547" si="1669">(J1547/60/60/24)+DATE(1970,1,1)</f>
        <v>42031.884652777779</v>
      </c>
      <c r="L1547" s="11">
        <f t="shared" si="165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658"/>
        <v>3.3333333333333333E-2</v>
      </c>
      <c r="R1547" s="7">
        <f t="shared" si="1659"/>
        <v>1</v>
      </c>
      <c r="S1547" t="str">
        <f t="shared" si="1660"/>
        <v>photography</v>
      </c>
      <c r="T1547" t="str">
        <f t="shared" si="1661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ref="K1548:L1548" si="1670">(J1548/60/60/24)+DATE(1970,1,1)</f>
        <v>41839.212951388887</v>
      </c>
      <c r="L1548" s="11">
        <f t="shared" si="165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658"/>
        <v>28.9</v>
      </c>
      <c r="R1548" s="7">
        <f t="shared" si="1659"/>
        <v>26.272727272727273</v>
      </c>
      <c r="S1548" t="str">
        <f t="shared" si="1660"/>
        <v>photography</v>
      </c>
      <c r="T1548" t="str">
        <f t="shared" si="1661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ref="K1549:L1549" si="1671">(J1549/60/60/24)+DATE(1970,1,1)</f>
        <v>42782.426875000005</v>
      </c>
      <c r="L1549" s="11">
        <f t="shared" si="165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658"/>
        <v>0</v>
      </c>
      <c r="R1549" s="7">
        <f t="shared" si="1659"/>
        <v>0</v>
      </c>
      <c r="S1549" t="str">
        <f t="shared" si="1660"/>
        <v>photography</v>
      </c>
      <c r="T1549" t="str">
        <f t="shared" si="1661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ref="K1550:L1550" si="1672">(J1550/60/60/24)+DATE(1970,1,1)</f>
        <v>42286.88217592593</v>
      </c>
      <c r="L1550" s="11">
        <f t="shared" si="165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658"/>
        <v>8.5714285714285712</v>
      </c>
      <c r="R1550" s="7">
        <f t="shared" si="1659"/>
        <v>60</v>
      </c>
      <c r="S1550" t="str">
        <f t="shared" si="1660"/>
        <v>photography</v>
      </c>
      <c r="T1550" t="str">
        <f t="shared" si="1661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ref="K1551:L1551" si="1673">(J1551/60/60/24)+DATE(1970,1,1)</f>
        <v>42281.136099537034</v>
      </c>
      <c r="L1551" s="11">
        <f t="shared" si="165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658"/>
        <v>34</v>
      </c>
      <c r="R1551" s="7">
        <f t="shared" si="1659"/>
        <v>28.333333333333332</v>
      </c>
      <c r="S1551" t="str">
        <f t="shared" si="1660"/>
        <v>photography</v>
      </c>
      <c r="T1551" t="str">
        <f t="shared" si="1661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ref="K1552:L1552" si="1674">(J1552/60/60/24)+DATE(1970,1,1)</f>
        <v>42472.449467592596</v>
      </c>
      <c r="L1552" s="11">
        <f t="shared" si="165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658"/>
        <v>13.466666666666665</v>
      </c>
      <c r="R1552" s="7">
        <f t="shared" si="1659"/>
        <v>14.428571428571429</v>
      </c>
      <c r="S1552" t="str">
        <f t="shared" si="1660"/>
        <v>photography</v>
      </c>
      <c r="T1552" t="str">
        <f t="shared" si="1661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ref="K1553:L1553" si="1675">(J1553/60/60/24)+DATE(1970,1,1)</f>
        <v>42121.824525462958</v>
      </c>
      <c r="L1553" s="11">
        <f t="shared" si="165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658"/>
        <v>0</v>
      </c>
      <c r="R1553" s="7">
        <f t="shared" si="1659"/>
        <v>0</v>
      </c>
      <c r="S1553" t="str">
        <f t="shared" si="1660"/>
        <v>photography</v>
      </c>
      <c r="T1553" t="str">
        <f t="shared" si="1661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ref="K1554:L1554" si="1676">(J1554/60/60/24)+DATE(1970,1,1)</f>
        <v>41892.688750000001</v>
      </c>
      <c r="L1554" s="11">
        <f t="shared" si="165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658"/>
        <v>49.186046511627907</v>
      </c>
      <c r="R1554" s="7">
        <f t="shared" si="1659"/>
        <v>132.1875</v>
      </c>
      <c r="S1554" t="str">
        <f t="shared" si="1660"/>
        <v>photography</v>
      </c>
      <c r="T1554" t="str">
        <f t="shared" si="1661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ref="K1555:L1555" si="1677">(J1555/60/60/24)+DATE(1970,1,1)</f>
        <v>42219.282951388886</v>
      </c>
      <c r="L1555" s="11">
        <f t="shared" si="165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658"/>
        <v>0</v>
      </c>
      <c r="R1555" s="7">
        <f t="shared" si="1659"/>
        <v>0</v>
      </c>
      <c r="S1555" t="str">
        <f t="shared" si="1660"/>
        <v>photography</v>
      </c>
      <c r="T1555" t="str">
        <f t="shared" si="1661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ref="K1556:L1556" si="1678">(J1556/60/60/24)+DATE(1970,1,1)</f>
        <v>42188.252199074079</v>
      </c>
      <c r="L1556" s="11">
        <f t="shared" si="165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658"/>
        <v>0</v>
      </c>
      <c r="R1556" s="7">
        <f t="shared" si="1659"/>
        <v>0</v>
      </c>
      <c r="S1556" t="str">
        <f t="shared" si="1660"/>
        <v>photography</v>
      </c>
      <c r="T1556" t="str">
        <f t="shared" si="1661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ref="K1557:L1557" si="1679">(J1557/60/60/24)+DATE(1970,1,1)</f>
        <v>42241.613796296297</v>
      </c>
      <c r="L1557" s="11">
        <f t="shared" si="165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658"/>
        <v>0</v>
      </c>
      <c r="R1557" s="7">
        <f t="shared" si="1659"/>
        <v>0</v>
      </c>
      <c r="S1557" t="str">
        <f t="shared" si="1660"/>
        <v>photography</v>
      </c>
      <c r="T1557" t="str">
        <f t="shared" si="1661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ref="K1558:L1558" si="1680">(J1558/60/60/24)+DATE(1970,1,1)</f>
        <v>42525.153055555551</v>
      </c>
      <c r="L1558" s="11">
        <f t="shared" si="165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658"/>
        <v>45.133333333333333</v>
      </c>
      <c r="R1558" s="7">
        <f t="shared" si="1659"/>
        <v>56.416666666666664</v>
      </c>
      <c r="S1558" t="str">
        <f t="shared" si="1660"/>
        <v>photography</v>
      </c>
      <c r="T1558" t="str">
        <f t="shared" si="1661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ref="K1559:L1559" si="1681">(J1559/60/60/24)+DATE(1970,1,1)</f>
        <v>41871.65315972222</v>
      </c>
      <c r="L1559" s="11">
        <f t="shared" si="165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658"/>
        <v>4</v>
      </c>
      <c r="R1559" s="7">
        <f t="shared" si="1659"/>
        <v>100</v>
      </c>
      <c r="S1559" t="str">
        <f t="shared" si="1660"/>
        <v>photography</v>
      </c>
      <c r="T1559" t="str">
        <f t="shared" si="1661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ref="K1560:L1560" si="1682">(J1560/60/60/24)+DATE(1970,1,1)</f>
        <v>42185.397673611107</v>
      </c>
      <c r="L1560" s="11">
        <f t="shared" si="165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658"/>
        <v>4.666666666666667</v>
      </c>
      <c r="R1560" s="7">
        <f t="shared" si="1659"/>
        <v>11.666666666666666</v>
      </c>
      <c r="S1560" t="str">
        <f t="shared" si="1660"/>
        <v>photography</v>
      </c>
      <c r="T1560" t="str">
        <f t="shared" si="1661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ref="K1561:L1561" si="1683">(J1561/60/60/24)+DATE(1970,1,1)</f>
        <v>42108.05322916666</v>
      </c>
      <c r="L1561" s="11">
        <f t="shared" si="165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658"/>
        <v>0.33333333333333337</v>
      </c>
      <c r="R1561" s="7">
        <f t="shared" si="1659"/>
        <v>50</v>
      </c>
      <c r="S1561" t="str">
        <f t="shared" si="1660"/>
        <v>photography</v>
      </c>
      <c r="T1561" t="str">
        <f t="shared" si="1661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ref="K1562:L1562" si="1684">(J1562/60/60/24)+DATE(1970,1,1)</f>
        <v>41936.020752314813</v>
      </c>
      <c r="L1562" s="11">
        <f t="shared" si="165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658"/>
        <v>3.7600000000000002</v>
      </c>
      <c r="R1562" s="7">
        <f t="shared" si="1659"/>
        <v>23.5</v>
      </c>
      <c r="S1562" t="str">
        <f t="shared" si="1660"/>
        <v>photography</v>
      </c>
      <c r="T1562" t="str">
        <f t="shared" si="1661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ref="K1563:L1563" si="1685">(J1563/60/60/24)+DATE(1970,1,1)</f>
        <v>41555.041701388887</v>
      </c>
      <c r="L1563" s="11">
        <f t="shared" si="165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658"/>
        <v>0.67</v>
      </c>
      <c r="R1563" s="7">
        <f t="shared" si="1659"/>
        <v>67</v>
      </c>
      <c r="S1563" t="str">
        <f t="shared" si="1660"/>
        <v>publishing</v>
      </c>
      <c r="T1563" t="str">
        <f t="shared" si="1661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ref="K1564:L1564" si="1686">(J1564/60/60/24)+DATE(1970,1,1)</f>
        <v>40079.566157407404</v>
      </c>
      <c r="L1564" s="11">
        <f t="shared" si="165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658"/>
        <v>0</v>
      </c>
      <c r="R1564" s="7">
        <f t="shared" si="1659"/>
        <v>0</v>
      </c>
      <c r="S1564" t="str">
        <f t="shared" si="1660"/>
        <v>publishing</v>
      </c>
      <c r="T1564" t="str">
        <f t="shared" si="1661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ref="K1565:L1565" si="1687">(J1565/60/60/24)+DATE(1970,1,1)</f>
        <v>41652.742488425924</v>
      </c>
      <c r="L1565" s="11">
        <f t="shared" si="165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658"/>
        <v>1.4166666666666665</v>
      </c>
      <c r="R1565" s="7">
        <f t="shared" si="1659"/>
        <v>42.5</v>
      </c>
      <c r="S1565" t="str">
        <f t="shared" si="1660"/>
        <v>publishing</v>
      </c>
      <c r="T1565" t="str">
        <f t="shared" si="1661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ref="K1566:L1566" si="1688">(J1566/60/60/24)+DATE(1970,1,1)</f>
        <v>42121.367002314815</v>
      </c>
      <c r="L1566" s="11">
        <f t="shared" si="165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658"/>
        <v>0.1</v>
      </c>
      <c r="R1566" s="7">
        <f t="shared" si="1659"/>
        <v>10</v>
      </c>
      <c r="S1566" t="str">
        <f t="shared" si="1660"/>
        <v>publishing</v>
      </c>
      <c r="T1566" t="str">
        <f t="shared" si="1661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ref="K1567:L1567" si="1689">(J1567/60/60/24)+DATE(1970,1,1)</f>
        <v>40672.729872685188</v>
      </c>
      <c r="L1567" s="11">
        <f t="shared" si="165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658"/>
        <v>2.5</v>
      </c>
      <c r="R1567" s="7">
        <f t="shared" si="1659"/>
        <v>100</v>
      </c>
      <c r="S1567" t="str">
        <f t="shared" si="1660"/>
        <v>publishing</v>
      </c>
      <c r="T1567" t="str">
        <f t="shared" si="1661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ref="K1568:L1568" si="1690">(J1568/60/60/24)+DATE(1970,1,1)</f>
        <v>42549.916712962964</v>
      </c>
      <c r="L1568" s="11">
        <f t="shared" si="165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658"/>
        <v>21.25</v>
      </c>
      <c r="R1568" s="7">
        <f t="shared" si="1659"/>
        <v>108.05084745762711</v>
      </c>
      <c r="S1568" t="str">
        <f t="shared" si="1660"/>
        <v>publishing</v>
      </c>
      <c r="T1568" t="str">
        <f t="shared" si="1661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ref="K1569:L1569" si="1691">(J1569/60/60/24)+DATE(1970,1,1)</f>
        <v>41671.936863425923</v>
      </c>
      <c r="L1569" s="11">
        <f t="shared" si="1657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658"/>
        <v>4.117647058823529</v>
      </c>
      <c r="R1569" s="7">
        <f t="shared" si="1659"/>
        <v>26.923076923076923</v>
      </c>
      <c r="S1569" t="str">
        <f t="shared" si="1660"/>
        <v>publishing</v>
      </c>
      <c r="T1569" t="str">
        <f t="shared" si="1661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ref="K1570:L1570" si="1692">(J1570/60/60/24)+DATE(1970,1,1)</f>
        <v>41962.062326388885</v>
      </c>
      <c r="L1570" s="11">
        <f t="shared" si="165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658"/>
        <v>13.639999999999999</v>
      </c>
      <c r="R1570" s="7">
        <f t="shared" si="1659"/>
        <v>155</v>
      </c>
      <c r="S1570" t="str">
        <f t="shared" si="1660"/>
        <v>publishing</v>
      </c>
      <c r="T1570" t="str">
        <f t="shared" si="1661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ref="K1571:L1571" si="1693">(J1571/60/60/24)+DATE(1970,1,1)</f>
        <v>41389.679560185185</v>
      </c>
      <c r="L1571" s="11">
        <f t="shared" si="165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658"/>
        <v>0</v>
      </c>
      <c r="R1571" s="7">
        <f t="shared" si="1659"/>
        <v>0</v>
      </c>
      <c r="S1571" t="str">
        <f t="shared" si="1660"/>
        <v>publishing</v>
      </c>
      <c r="T1571" t="str">
        <f t="shared" si="1661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ref="K1572:L1572" si="1694">(J1572/60/60/24)+DATE(1970,1,1)</f>
        <v>42438.813449074078</v>
      </c>
      <c r="L1572" s="11">
        <f t="shared" si="165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658"/>
        <v>41.4</v>
      </c>
      <c r="R1572" s="7">
        <f t="shared" si="1659"/>
        <v>47.769230769230766</v>
      </c>
      <c r="S1572" t="str">
        <f t="shared" si="1660"/>
        <v>publishing</v>
      </c>
      <c r="T1572" t="str">
        <f t="shared" si="1661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ref="K1573:L1573" si="1695">(J1573/60/60/24)+DATE(1970,1,1)</f>
        <v>42144.769479166673</v>
      </c>
      <c r="L1573" s="11">
        <f t="shared" si="165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658"/>
        <v>0.66115702479338845</v>
      </c>
      <c r="R1573" s="7">
        <f t="shared" si="1659"/>
        <v>20</v>
      </c>
      <c r="S1573" t="str">
        <f t="shared" si="1660"/>
        <v>publishing</v>
      </c>
      <c r="T1573" t="str">
        <f t="shared" si="1661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ref="K1574:L1574" si="1696">(J1574/60/60/24)+DATE(1970,1,1)</f>
        <v>42404.033090277779</v>
      </c>
      <c r="L1574" s="11">
        <f t="shared" si="165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658"/>
        <v>5</v>
      </c>
      <c r="R1574" s="7">
        <f t="shared" si="1659"/>
        <v>41.666666666666664</v>
      </c>
      <c r="S1574" t="str">
        <f t="shared" si="1660"/>
        <v>publishing</v>
      </c>
      <c r="T1574" t="str">
        <f t="shared" si="1661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ref="K1575:L1575" si="1697">(J1575/60/60/24)+DATE(1970,1,1)</f>
        <v>42786.000023148154</v>
      </c>
      <c r="L1575" s="11">
        <f t="shared" si="165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658"/>
        <v>2.4777777777777779</v>
      </c>
      <c r="R1575" s="7">
        <f t="shared" si="1659"/>
        <v>74.333333333333329</v>
      </c>
      <c r="S1575" t="str">
        <f t="shared" si="1660"/>
        <v>publishing</v>
      </c>
      <c r="T1575" t="str">
        <f t="shared" si="1661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ref="K1576:L1576" si="1698">(J1576/60/60/24)+DATE(1970,1,1)</f>
        <v>42017.927418981482</v>
      </c>
      <c r="L1576" s="11">
        <f t="shared" si="165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658"/>
        <v>5.0599999999999996</v>
      </c>
      <c r="R1576" s="7">
        <f t="shared" si="1659"/>
        <v>84.333333333333329</v>
      </c>
      <c r="S1576" t="str">
        <f t="shared" si="1660"/>
        <v>publishing</v>
      </c>
      <c r="T1576" t="str">
        <f t="shared" si="1661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ref="K1577:L1577" si="1699">(J1577/60/60/24)+DATE(1970,1,1)</f>
        <v>41799.524259259262</v>
      </c>
      <c r="L1577" s="11">
        <f t="shared" si="165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658"/>
        <v>22.91</v>
      </c>
      <c r="R1577" s="7">
        <f t="shared" si="1659"/>
        <v>65.457142857142856</v>
      </c>
      <c r="S1577" t="str">
        <f t="shared" si="1660"/>
        <v>publishing</v>
      </c>
      <c r="T1577" t="str">
        <f t="shared" si="1661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ref="K1578:L1578" si="1700">(J1578/60/60/24)+DATE(1970,1,1)</f>
        <v>42140.879259259258</v>
      </c>
      <c r="L1578" s="11">
        <f t="shared" si="165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658"/>
        <v>13</v>
      </c>
      <c r="R1578" s="7">
        <f t="shared" si="1659"/>
        <v>65</v>
      </c>
      <c r="S1578" t="str">
        <f t="shared" si="1660"/>
        <v>publishing</v>
      </c>
      <c r="T1578" t="str">
        <f t="shared" si="1661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ref="K1579:L1579" si="1701">(J1579/60/60/24)+DATE(1970,1,1)</f>
        <v>41054.847777777781</v>
      </c>
      <c r="L1579" s="11">
        <f t="shared" si="165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658"/>
        <v>0.54999999999999993</v>
      </c>
      <c r="R1579" s="7">
        <f t="shared" si="1659"/>
        <v>27.5</v>
      </c>
      <c r="S1579" t="str">
        <f t="shared" si="1660"/>
        <v>publishing</v>
      </c>
      <c r="T1579" t="str">
        <f t="shared" si="1661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ref="K1580:L1580" si="1702">(J1580/60/60/24)+DATE(1970,1,1)</f>
        <v>40399.065868055557</v>
      </c>
      <c r="L1580" s="11">
        <f t="shared" si="165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658"/>
        <v>10.806536636794938</v>
      </c>
      <c r="R1580" s="7">
        <f t="shared" si="1659"/>
        <v>51.25</v>
      </c>
      <c r="S1580" t="str">
        <f t="shared" si="1660"/>
        <v>publishing</v>
      </c>
      <c r="T1580" t="str">
        <f t="shared" si="1661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ref="K1581:L1581" si="1703">(J1581/60/60/24)+DATE(1970,1,1)</f>
        <v>41481.996423611112</v>
      </c>
      <c r="L1581" s="11">
        <f t="shared" si="165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658"/>
        <v>0.84008400840084008</v>
      </c>
      <c r="R1581" s="7">
        <f t="shared" si="1659"/>
        <v>14</v>
      </c>
      <c r="S1581" t="str">
        <f t="shared" si="1660"/>
        <v>publishing</v>
      </c>
      <c r="T1581" t="str">
        <f t="shared" si="1661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ref="K1582:L1582" si="1704">(J1582/60/60/24)+DATE(1970,1,1)</f>
        <v>40990.050069444449</v>
      </c>
      <c r="L1582" s="11">
        <f t="shared" si="165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658"/>
        <v>0</v>
      </c>
      <c r="R1582" s="7">
        <f t="shared" si="1659"/>
        <v>0</v>
      </c>
      <c r="S1582" t="str">
        <f t="shared" si="1660"/>
        <v>publishing</v>
      </c>
      <c r="T1582" t="str">
        <f t="shared" si="1661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ref="K1583:L1583" si="1705">(J1583/60/60/24)+DATE(1970,1,1)</f>
        <v>42325.448958333334</v>
      </c>
      <c r="L1583" s="11">
        <f t="shared" si="165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658"/>
        <v>0.5</v>
      </c>
      <c r="R1583" s="7">
        <f t="shared" si="1659"/>
        <v>5</v>
      </c>
      <c r="S1583" t="str">
        <f t="shared" si="1660"/>
        <v>photography</v>
      </c>
      <c r="T1583" t="str">
        <f t="shared" si="1661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ref="K1584:L1584" si="1706">(J1584/60/60/24)+DATE(1970,1,1)</f>
        <v>42246.789965277778</v>
      </c>
      <c r="L1584" s="11">
        <f t="shared" si="165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658"/>
        <v>9.3000000000000007</v>
      </c>
      <c r="R1584" s="7">
        <f t="shared" si="1659"/>
        <v>31</v>
      </c>
      <c r="S1584" t="str">
        <f t="shared" si="1660"/>
        <v>photography</v>
      </c>
      <c r="T1584" t="str">
        <f t="shared" si="1661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ref="K1585:L1585" si="1707">(J1585/60/60/24)+DATE(1970,1,1)</f>
        <v>41877.904988425929</v>
      </c>
      <c r="L1585" s="11">
        <f t="shared" si="165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658"/>
        <v>7.4999999999999997E-2</v>
      </c>
      <c r="R1585" s="7">
        <f t="shared" si="1659"/>
        <v>15</v>
      </c>
      <c r="S1585" t="str">
        <f t="shared" si="1660"/>
        <v>photography</v>
      </c>
      <c r="T1585" t="str">
        <f t="shared" si="1661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ref="K1586:L1586" si="1708">(J1586/60/60/24)+DATE(1970,1,1)</f>
        <v>41779.649317129632</v>
      </c>
      <c r="L1586" s="11">
        <f t="shared" si="165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658"/>
        <v>0</v>
      </c>
      <c r="R1586" s="7">
        <f t="shared" si="1659"/>
        <v>0</v>
      </c>
      <c r="S1586" t="str">
        <f t="shared" si="1660"/>
        <v>photography</v>
      </c>
      <c r="T1586" t="str">
        <f t="shared" si="1661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ref="K1587:L1587" si="1709">(J1587/60/60/24)+DATE(1970,1,1)</f>
        <v>42707.895462962959</v>
      </c>
      <c r="L1587" s="11">
        <f t="shared" si="165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658"/>
        <v>79</v>
      </c>
      <c r="R1587" s="7">
        <f t="shared" si="1659"/>
        <v>131.66666666666666</v>
      </c>
      <c r="S1587" t="str">
        <f t="shared" si="1660"/>
        <v>photography</v>
      </c>
      <c r="T1587" t="str">
        <f t="shared" si="1661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ref="K1588:L1588" si="1710">(J1588/60/60/24)+DATE(1970,1,1)</f>
        <v>42069.104421296302</v>
      </c>
      <c r="L1588" s="11">
        <f t="shared" si="165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658"/>
        <v>0</v>
      </c>
      <c r="R1588" s="7">
        <f t="shared" si="1659"/>
        <v>0</v>
      </c>
      <c r="S1588" t="str">
        <f t="shared" si="1660"/>
        <v>photography</v>
      </c>
      <c r="T1588" t="str">
        <f t="shared" si="1661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ref="K1589:L1589" si="1711">(J1589/60/60/24)+DATE(1970,1,1)</f>
        <v>41956.950983796298</v>
      </c>
      <c r="L1589" s="11">
        <f t="shared" si="165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658"/>
        <v>1.3333333333333334E-2</v>
      </c>
      <c r="R1589" s="7">
        <f t="shared" si="1659"/>
        <v>1</v>
      </c>
      <c r="S1589" t="str">
        <f t="shared" si="1660"/>
        <v>photography</v>
      </c>
      <c r="T1589" t="str">
        <f t="shared" si="1661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ref="K1590:L1590" si="1712">(J1590/60/60/24)+DATE(1970,1,1)</f>
        <v>42005.24998842593</v>
      </c>
      <c r="L1590" s="11">
        <f t="shared" si="165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658"/>
        <v>0</v>
      </c>
      <c r="R1590" s="7">
        <f t="shared" si="1659"/>
        <v>0</v>
      </c>
      <c r="S1590" t="str">
        <f t="shared" si="1660"/>
        <v>photography</v>
      </c>
      <c r="T1590" t="str">
        <f t="shared" si="1661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ref="K1591:L1591" si="1713">(J1591/60/60/24)+DATE(1970,1,1)</f>
        <v>42256.984791666662</v>
      </c>
      <c r="L1591" s="11">
        <f t="shared" si="165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658"/>
        <v>0</v>
      </c>
      <c r="R1591" s="7">
        <f t="shared" si="1659"/>
        <v>0</v>
      </c>
      <c r="S1591" t="str">
        <f t="shared" si="1660"/>
        <v>photography</v>
      </c>
      <c r="T1591" t="str">
        <f t="shared" si="1661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ref="K1592:L1592" si="1714">(J1592/60/60/24)+DATE(1970,1,1)</f>
        <v>42240.857222222221</v>
      </c>
      <c r="L1592" s="11">
        <f t="shared" si="165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658"/>
        <v>1.7000000000000002</v>
      </c>
      <c r="R1592" s="7">
        <f t="shared" si="1659"/>
        <v>510</v>
      </c>
      <c r="S1592" t="str">
        <f t="shared" si="1660"/>
        <v>photography</v>
      </c>
      <c r="T1592" t="str">
        <f t="shared" si="1661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ref="K1593:L1593" si="1715">(J1593/60/60/24)+DATE(1970,1,1)</f>
        <v>42433.726168981477</v>
      </c>
      <c r="L1593" s="11">
        <f t="shared" si="165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658"/>
        <v>29.228571428571428</v>
      </c>
      <c r="R1593" s="7">
        <f t="shared" si="1659"/>
        <v>44.478260869565219</v>
      </c>
      <c r="S1593" t="str">
        <f t="shared" si="1660"/>
        <v>photography</v>
      </c>
      <c r="T1593" t="str">
        <f t="shared" si="1661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ref="K1594:L1594" si="1716">(J1594/60/60/24)+DATE(1970,1,1)</f>
        <v>42046.072743055556</v>
      </c>
      <c r="L1594" s="11">
        <f t="shared" si="165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658"/>
        <v>0</v>
      </c>
      <c r="R1594" s="7">
        <f t="shared" si="1659"/>
        <v>0</v>
      </c>
      <c r="S1594" t="str">
        <f t="shared" si="1660"/>
        <v>photography</v>
      </c>
      <c r="T1594" t="str">
        <f t="shared" si="1661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ref="K1595:L1595" si="1717">(J1595/60/60/24)+DATE(1970,1,1)</f>
        <v>42033.845543981486</v>
      </c>
      <c r="L1595" s="11">
        <f t="shared" si="165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658"/>
        <v>1.3636363636363637E-2</v>
      </c>
      <c r="R1595" s="7">
        <f t="shared" si="1659"/>
        <v>1</v>
      </c>
      <c r="S1595" t="str">
        <f t="shared" si="1660"/>
        <v>photography</v>
      </c>
      <c r="T1595" t="str">
        <f t="shared" si="1661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ref="K1596:L1596" si="1718">(J1596/60/60/24)+DATE(1970,1,1)</f>
        <v>42445.712754629625</v>
      </c>
      <c r="L1596" s="11">
        <f t="shared" si="165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658"/>
        <v>20.5</v>
      </c>
      <c r="R1596" s="7">
        <f t="shared" si="1659"/>
        <v>20.5</v>
      </c>
      <c r="S1596" t="str">
        <f t="shared" si="1660"/>
        <v>photography</v>
      </c>
      <c r="T1596" t="str">
        <f t="shared" si="1661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ref="K1597:L1597" si="1719">(J1597/60/60/24)+DATE(1970,1,1)</f>
        <v>41780.050092592595</v>
      </c>
      <c r="L1597" s="11">
        <f t="shared" si="165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658"/>
        <v>0.27999999999999997</v>
      </c>
      <c r="R1597" s="7">
        <f t="shared" si="1659"/>
        <v>40</v>
      </c>
      <c r="S1597" t="str">
        <f t="shared" si="1660"/>
        <v>photography</v>
      </c>
      <c r="T1597" t="str">
        <f t="shared" si="1661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ref="K1598:L1598" si="1720">(J1598/60/60/24)+DATE(1970,1,1)</f>
        <v>41941.430196759262</v>
      </c>
      <c r="L1598" s="11">
        <f t="shared" si="165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658"/>
        <v>2.3076923076923079</v>
      </c>
      <c r="R1598" s="7">
        <f t="shared" si="1659"/>
        <v>25</v>
      </c>
      <c r="S1598" t="str">
        <f t="shared" si="1660"/>
        <v>photography</v>
      </c>
      <c r="T1598" t="str">
        <f t="shared" si="1661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ref="K1599:L1599" si="1721">(J1599/60/60/24)+DATE(1970,1,1)</f>
        <v>42603.354131944448</v>
      </c>
      <c r="L1599" s="11">
        <f t="shared" si="165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658"/>
        <v>0</v>
      </c>
      <c r="R1599" s="7">
        <f t="shared" si="1659"/>
        <v>0</v>
      </c>
      <c r="S1599" t="str">
        <f t="shared" si="1660"/>
        <v>photography</v>
      </c>
      <c r="T1599" t="str">
        <f t="shared" si="1661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ref="K1600:L1600" si="1722">(J1600/60/60/24)+DATE(1970,1,1)</f>
        <v>42151.667337962965</v>
      </c>
      <c r="L1600" s="11">
        <f t="shared" si="165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658"/>
        <v>0.125</v>
      </c>
      <c r="R1600" s="7">
        <f t="shared" si="1659"/>
        <v>1</v>
      </c>
      <c r="S1600" t="str">
        <f t="shared" si="1660"/>
        <v>photography</v>
      </c>
      <c r="T1600" t="str">
        <f t="shared" si="1661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ref="K1601:L1601" si="1723">(J1601/60/60/24)+DATE(1970,1,1)</f>
        <v>42438.53907407407</v>
      </c>
      <c r="L1601" s="11">
        <f t="shared" si="165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658"/>
        <v>0</v>
      </c>
      <c r="R1601" s="7">
        <f t="shared" si="1659"/>
        <v>0</v>
      </c>
      <c r="S1601" t="str">
        <f t="shared" si="1660"/>
        <v>photography</v>
      </c>
      <c r="T1601" t="str">
        <f t="shared" si="1661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ref="K1602:L1602" si="1724">(J1602/60/60/24)+DATE(1970,1,1)</f>
        <v>41791.057314814818</v>
      </c>
      <c r="L1602" s="11">
        <f t="shared" si="165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658"/>
        <v>7.3400000000000007</v>
      </c>
      <c r="R1602" s="7">
        <f t="shared" si="1659"/>
        <v>40.777777777777779</v>
      </c>
      <c r="S1602" t="str">
        <f t="shared" si="1660"/>
        <v>photography</v>
      </c>
      <c r="T1602" t="str">
        <f t="shared" si="1661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ref="K1603:L1603" si="1725">(J1603/60/60/24)+DATE(1970,1,1)</f>
        <v>40638.092974537038</v>
      </c>
      <c r="L1603" s="11">
        <f t="shared" ref="L1603:L1666" si="1726">(I1603/60/60/24)+DATE(1970,1,1)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727">(E1603/D1603)*100</f>
        <v>108.2492</v>
      </c>
      <c r="R1603" s="7">
        <f t="shared" ref="R1603:R1666" si="1728">IFERROR(E1603/N1603, 0)</f>
        <v>48.325535714285714</v>
      </c>
      <c r="S1603" t="str">
        <f t="shared" ref="S1603:S1666" si="1729">LEFT(P1603, SEARCH("/", P1603,1)-1)</f>
        <v>music</v>
      </c>
      <c r="T1603" t="str">
        <f t="shared" ref="T1603:T1666" si="1730">RIGHT(P1603,LEN(P1603)-SEARCH("/",P1603,SEARCH("/",P1603)))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ref="K1604:L1604" si="1731">(J1604/60/60/24)+DATE(1970,1,1)</f>
        <v>40788.297650462962</v>
      </c>
      <c r="L1604" s="11">
        <f t="shared" si="1726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727"/>
        <v>100.16666666666667</v>
      </c>
      <c r="R1604" s="7">
        <f t="shared" si="1728"/>
        <v>46.953125</v>
      </c>
      <c r="S1604" t="str">
        <f t="shared" si="1729"/>
        <v>music</v>
      </c>
      <c r="T1604" t="str">
        <f t="shared" si="1730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ref="K1605:L1605" si="1732">(J1605/60/60/24)+DATE(1970,1,1)</f>
        <v>40876.169664351852</v>
      </c>
      <c r="L1605" s="11">
        <f t="shared" si="1726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727"/>
        <v>100.03299999999999</v>
      </c>
      <c r="R1605" s="7">
        <f t="shared" si="1728"/>
        <v>66.688666666666663</v>
      </c>
      <c r="S1605" t="str">
        <f t="shared" si="1729"/>
        <v>music</v>
      </c>
      <c r="T1605" t="str">
        <f t="shared" si="1730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ref="K1606:L1606" si="1733">(J1606/60/60/24)+DATE(1970,1,1)</f>
        <v>40945.845312500001</v>
      </c>
      <c r="L1606" s="11">
        <f t="shared" si="1726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727"/>
        <v>122.10714285714286</v>
      </c>
      <c r="R1606" s="7">
        <f t="shared" si="1728"/>
        <v>48.842857142857142</v>
      </c>
      <c r="S1606" t="str">
        <f t="shared" si="1729"/>
        <v>music</v>
      </c>
      <c r="T1606" t="str">
        <f t="shared" si="1730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ref="K1607:L1607" si="1734">(J1607/60/60/24)+DATE(1970,1,1)</f>
        <v>40747.012881944444</v>
      </c>
      <c r="L1607" s="11">
        <f t="shared" si="1726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727"/>
        <v>100.69333333333334</v>
      </c>
      <c r="R1607" s="7">
        <f t="shared" si="1728"/>
        <v>137.30909090909091</v>
      </c>
      <c r="S1607" t="str">
        <f t="shared" si="1729"/>
        <v>music</v>
      </c>
      <c r="T1607" t="str">
        <f t="shared" si="1730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ref="K1608:L1608" si="1735">(J1608/60/60/24)+DATE(1970,1,1)</f>
        <v>40536.111550925925</v>
      </c>
      <c r="L1608" s="11">
        <f t="shared" si="1726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727"/>
        <v>101.004125</v>
      </c>
      <c r="R1608" s="7">
        <f t="shared" si="1728"/>
        <v>87.829673913043479</v>
      </c>
      <c r="S1608" t="str">
        <f t="shared" si="1729"/>
        <v>music</v>
      </c>
      <c r="T1608" t="str">
        <f t="shared" si="1730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ref="K1609:L1609" si="1736">(J1609/60/60/24)+DATE(1970,1,1)</f>
        <v>41053.80846064815</v>
      </c>
      <c r="L1609" s="11">
        <f t="shared" si="1726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727"/>
        <v>145.11000000000001</v>
      </c>
      <c r="R1609" s="7">
        <f t="shared" si="1728"/>
        <v>70.785365853658533</v>
      </c>
      <c r="S1609" t="str">
        <f t="shared" si="1729"/>
        <v>music</v>
      </c>
      <c r="T1609" t="str">
        <f t="shared" si="1730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ref="K1610:L1610" si="1737">(J1610/60/60/24)+DATE(1970,1,1)</f>
        <v>41607.83085648148</v>
      </c>
      <c r="L1610" s="11">
        <f t="shared" si="1726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727"/>
        <v>101.25</v>
      </c>
      <c r="R1610" s="7">
        <f t="shared" si="1728"/>
        <v>52.826086956521742</v>
      </c>
      <c r="S1610" t="str">
        <f t="shared" si="1729"/>
        <v>music</v>
      </c>
      <c r="T1610" t="str">
        <f t="shared" si="1730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ref="K1611:L1611" si="1738">(J1611/60/60/24)+DATE(1970,1,1)</f>
        <v>40796.001261574071</v>
      </c>
      <c r="L1611" s="11">
        <f t="shared" si="1726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727"/>
        <v>118.33333333333333</v>
      </c>
      <c r="R1611" s="7">
        <f t="shared" si="1728"/>
        <v>443.75</v>
      </c>
      <c r="S1611" t="str">
        <f t="shared" si="1729"/>
        <v>music</v>
      </c>
      <c r="T1611" t="str">
        <f t="shared" si="1730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ref="K1612:L1612" si="1739">(J1612/60/60/24)+DATE(1970,1,1)</f>
        <v>41228.924884259257</v>
      </c>
      <c r="L1612" s="11">
        <f t="shared" si="1726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727"/>
        <v>271.85000000000002</v>
      </c>
      <c r="R1612" s="7">
        <f t="shared" si="1728"/>
        <v>48.544642857142854</v>
      </c>
      <c r="S1612" t="str">
        <f t="shared" si="1729"/>
        <v>music</v>
      </c>
      <c r="T1612" t="str">
        <f t="shared" si="1730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ref="K1613:L1613" si="1740">(J1613/60/60/24)+DATE(1970,1,1)</f>
        <v>41409.00037037037</v>
      </c>
      <c r="L1613" s="11">
        <f t="shared" si="1726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727"/>
        <v>125.125</v>
      </c>
      <c r="R1613" s="7">
        <f t="shared" si="1728"/>
        <v>37.074074074074076</v>
      </c>
      <c r="S1613" t="str">
        <f t="shared" si="1729"/>
        <v>music</v>
      </c>
      <c r="T1613" t="str">
        <f t="shared" si="1730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ref="K1614:L1614" si="1741">(J1614/60/60/24)+DATE(1970,1,1)</f>
        <v>41246.874814814815</v>
      </c>
      <c r="L1614" s="11">
        <f t="shared" si="1726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727"/>
        <v>110.00000000000001</v>
      </c>
      <c r="R1614" s="7">
        <f t="shared" si="1728"/>
        <v>50</v>
      </c>
      <c r="S1614" t="str">
        <f t="shared" si="1729"/>
        <v>music</v>
      </c>
      <c r="T1614" t="str">
        <f t="shared" si="1730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ref="K1615:L1615" si="1742">(J1615/60/60/24)+DATE(1970,1,1)</f>
        <v>41082.069467592592</v>
      </c>
      <c r="L1615" s="11">
        <f t="shared" si="1726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727"/>
        <v>101.49999999999999</v>
      </c>
      <c r="R1615" s="7">
        <f t="shared" si="1728"/>
        <v>39.03846153846154</v>
      </c>
      <c r="S1615" t="str">
        <f t="shared" si="1729"/>
        <v>music</v>
      </c>
      <c r="T1615" t="str">
        <f t="shared" si="1730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ref="K1616:L1616" si="1743">(J1616/60/60/24)+DATE(1970,1,1)</f>
        <v>41794.981122685182</v>
      </c>
      <c r="L1616" s="11">
        <f t="shared" si="1726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727"/>
        <v>102.69999999999999</v>
      </c>
      <c r="R1616" s="7">
        <f t="shared" si="1728"/>
        <v>66.688311688311686</v>
      </c>
      <c r="S1616" t="str">
        <f t="shared" si="1729"/>
        <v>music</v>
      </c>
      <c r="T1616" t="str">
        <f t="shared" si="1730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ref="K1617:L1617" si="1744">(J1617/60/60/24)+DATE(1970,1,1)</f>
        <v>40845.050879629627</v>
      </c>
      <c r="L1617" s="11">
        <f t="shared" si="1726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727"/>
        <v>114.12500000000001</v>
      </c>
      <c r="R1617" s="7">
        <f t="shared" si="1728"/>
        <v>67.132352941176464</v>
      </c>
      <c r="S1617" t="str">
        <f t="shared" si="1729"/>
        <v>music</v>
      </c>
      <c r="T1617" t="str">
        <f t="shared" si="1730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ref="K1618:L1618" si="1745">(J1618/60/60/24)+DATE(1970,1,1)</f>
        <v>41194.715520833335</v>
      </c>
      <c r="L1618" s="11">
        <f t="shared" si="1726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727"/>
        <v>104.2</v>
      </c>
      <c r="R1618" s="7">
        <f t="shared" si="1728"/>
        <v>66.369426751592357</v>
      </c>
      <c r="S1618" t="str">
        <f t="shared" si="1729"/>
        <v>music</v>
      </c>
      <c r="T1618" t="str">
        <f t="shared" si="1730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ref="K1619:L1619" si="1746">(J1619/60/60/24)+DATE(1970,1,1)</f>
        <v>41546.664212962962</v>
      </c>
      <c r="L1619" s="11">
        <f t="shared" si="1726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727"/>
        <v>145.85714285714286</v>
      </c>
      <c r="R1619" s="7">
        <f t="shared" si="1728"/>
        <v>64.620253164556956</v>
      </c>
      <c r="S1619" t="str">
        <f t="shared" si="1729"/>
        <v>music</v>
      </c>
      <c r="T1619" t="str">
        <f t="shared" si="1730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ref="K1620:L1620" si="1747">(J1620/60/60/24)+DATE(1970,1,1)</f>
        <v>41301.654340277775</v>
      </c>
      <c r="L1620" s="11">
        <f t="shared" si="1726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727"/>
        <v>105.06666666666666</v>
      </c>
      <c r="R1620" s="7">
        <f t="shared" si="1728"/>
        <v>58.370370370370374</v>
      </c>
      <c r="S1620" t="str">
        <f t="shared" si="1729"/>
        <v>music</v>
      </c>
      <c r="T1620" t="str">
        <f t="shared" si="1730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ref="K1621:L1621" si="1748">(J1621/60/60/24)+DATE(1970,1,1)</f>
        <v>41876.18618055556</v>
      </c>
      <c r="L1621" s="11">
        <f t="shared" si="1726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727"/>
        <v>133.33333333333331</v>
      </c>
      <c r="R1621" s="7">
        <f t="shared" si="1728"/>
        <v>86.956521739130437</v>
      </c>
      <c r="S1621" t="str">
        <f t="shared" si="1729"/>
        <v>music</v>
      </c>
      <c r="T1621" t="str">
        <f t="shared" si="1730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ref="K1622:L1622" si="1749">(J1622/60/60/24)+DATE(1970,1,1)</f>
        <v>41321.339583333334</v>
      </c>
      <c r="L1622" s="11">
        <f t="shared" si="1726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727"/>
        <v>112.99999999999999</v>
      </c>
      <c r="R1622" s="7">
        <f t="shared" si="1728"/>
        <v>66.470588235294116</v>
      </c>
      <c r="S1622" t="str">
        <f t="shared" si="1729"/>
        <v>music</v>
      </c>
      <c r="T1622" t="str">
        <f t="shared" si="1730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ref="K1623:L1623" si="1750">(J1623/60/60/24)+DATE(1970,1,1)</f>
        <v>41003.60665509259</v>
      </c>
      <c r="L1623" s="11">
        <f t="shared" si="1726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727"/>
        <v>121.2</v>
      </c>
      <c r="R1623" s="7">
        <f t="shared" si="1728"/>
        <v>163.78378378378378</v>
      </c>
      <c r="S1623" t="str">
        <f t="shared" si="1729"/>
        <v>music</v>
      </c>
      <c r="T1623" t="str">
        <f t="shared" si="1730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ref="K1624:L1624" si="1751">(J1624/60/60/24)+DATE(1970,1,1)</f>
        <v>41950.29483796296</v>
      </c>
      <c r="L1624" s="11">
        <f t="shared" si="1726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727"/>
        <v>101.72463768115942</v>
      </c>
      <c r="R1624" s="7">
        <f t="shared" si="1728"/>
        <v>107.98461538461538</v>
      </c>
      <c r="S1624" t="str">
        <f t="shared" si="1729"/>
        <v>music</v>
      </c>
      <c r="T1624" t="str">
        <f t="shared" si="1730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ref="K1625:L1625" si="1752">(J1625/60/60/24)+DATE(1970,1,1)</f>
        <v>41453.688530092593</v>
      </c>
      <c r="L1625" s="11">
        <f t="shared" si="1726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727"/>
        <v>101.06666666666666</v>
      </c>
      <c r="R1625" s="7">
        <f t="shared" si="1728"/>
        <v>42.111111111111114</v>
      </c>
      <c r="S1625" t="str">
        <f t="shared" si="1729"/>
        <v>music</v>
      </c>
      <c r="T1625" t="str">
        <f t="shared" si="1730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ref="K1626:L1626" si="1753">(J1626/60/60/24)+DATE(1970,1,1)</f>
        <v>41243.367303240739</v>
      </c>
      <c r="L1626" s="11">
        <f t="shared" si="1726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727"/>
        <v>118</v>
      </c>
      <c r="R1626" s="7">
        <f t="shared" si="1728"/>
        <v>47.2</v>
      </c>
      <c r="S1626" t="str">
        <f t="shared" si="1729"/>
        <v>music</v>
      </c>
      <c r="T1626" t="str">
        <f t="shared" si="1730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ref="K1627:L1627" si="1754">(J1627/60/60/24)+DATE(1970,1,1)</f>
        <v>41135.699687500004</v>
      </c>
      <c r="L1627" s="11">
        <f t="shared" si="1726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727"/>
        <v>155.33333333333331</v>
      </c>
      <c r="R1627" s="7">
        <f t="shared" si="1728"/>
        <v>112.01923076923077</v>
      </c>
      <c r="S1627" t="str">
        <f t="shared" si="1729"/>
        <v>music</v>
      </c>
      <c r="T1627" t="str">
        <f t="shared" si="1730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ref="K1628:L1628" si="1755">(J1628/60/60/24)+DATE(1970,1,1)</f>
        <v>41579.847997685189</v>
      </c>
      <c r="L1628" s="11">
        <f t="shared" si="1726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727"/>
        <v>101.18750000000001</v>
      </c>
      <c r="R1628" s="7">
        <f t="shared" si="1728"/>
        <v>74.953703703703709</v>
      </c>
      <c r="S1628" t="str">
        <f t="shared" si="1729"/>
        <v>music</v>
      </c>
      <c r="T1628" t="str">
        <f t="shared" si="1730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ref="K1629:L1629" si="1756">(J1629/60/60/24)+DATE(1970,1,1)</f>
        <v>41205.707048611112</v>
      </c>
      <c r="L1629" s="11">
        <f t="shared" si="1726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727"/>
        <v>117</v>
      </c>
      <c r="R1629" s="7">
        <f t="shared" si="1728"/>
        <v>61.578947368421055</v>
      </c>
      <c r="S1629" t="str">
        <f t="shared" si="1729"/>
        <v>music</v>
      </c>
      <c r="T1629" t="str">
        <f t="shared" si="1730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ref="K1630:L1630" si="1757">(J1630/60/60/24)+DATE(1970,1,1)</f>
        <v>41774.737060185187</v>
      </c>
      <c r="L1630" s="11">
        <f t="shared" si="1726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727"/>
        <v>100.925</v>
      </c>
      <c r="R1630" s="7">
        <f t="shared" si="1728"/>
        <v>45.875</v>
      </c>
      <c r="S1630" t="str">
        <f t="shared" si="1729"/>
        <v>music</v>
      </c>
      <c r="T1630" t="str">
        <f t="shared" si="1730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ref="K1631:L1631" si="1758">(J1631/60/60/24)+DATE(1970,1,1)</f>
        <v>41645.867280092592</v>
      </c>
      <c r="L1631" s="11">
        <f t="shared" si="1726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727"/>
        <v>103.66666666666666</v>
      </c>
      <c r="R1631" s="7">
        <f t="shared" si="1728"/>
        <v>75.853658536585371</v>
      </c>
      <c r="S1631" t="str">
        <f t="shared" si="1729"/>
        <v>music</v>
      </c>
      <c r="T1631" t="str">
        <f t="shared" si="1730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ref="K1632:L1632" si="1759">(J1632/60/60/24)+DATE(1970,1,1)</f>
        <v>40939.837673611109</v>
      </c>
      <c r="L1632" s="11">
        <f t="shared" si="1726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727"/>
        <v>265.25</v>
      </c>
      <c r="R1632" s="7">
        <f t="shared" si="1728"/>
        <v>84.206349206349202</v>
      </c>
      <c r="S1632" t="str">
        <f t="shared" si="1729"/>
        <v>music</v>
      </c>
      <c r="T1632" t="str">
        <f t="shared" si="1730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ref="K1633:L1633" si="1760">(J1633/60/60/24)+DATE(1970,1,1)</f>
        <v>41164.859502314815</v>
      </c>
      <c r="L1633" s="11">
        <f t="shared" si="1726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727"/>
        <v>155.91</v>
      </c>
      <c r="R1633" s="7">
        <f t="shared" si="1728"/>
        <v>117.22556390977444</v>
      </c>
      <c r="S1633" t="str">
        <f t="shared" si="1729"/>
        <v>music</v>
      </c>
      <c r="T1633" t="str">
        <f t="shared" si="1730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ref="K1634:L1634" si="1761">(J1634/60/60/24)+DATE(1970,1,1)</f>
        <v>40750.340902777774</v>
      </c>
      <c r="L1634" s="11">
        <f t="shared" si="1726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727"/>
        <v>101.62500000000001</v>
      </c>
      <c r="R1634" s="7">
        <f t="shared" si="1728"/>
        <v>86.489361702127653</v>
      </c>
      <c r="S1634" t="str">
        <f t="shared" si="1729"/>
        <v>music</v>
      </c>
      <c r="T1634" t="str">
        <f t="shared" si="1730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ref="K1635:L1635" si="1762">(J1635/60/60/24)+DATE(1970,1,1)</f>
        <v>40896.883750000001</v>
      </c>
      <c r="L1635" s="11">
        <f t="shared" si="1726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727"/>
        <v>100</v>
      </c>
      <c r="R1635" s="7">
        <f t="shared" si="1728"/>
        <v>172.41379310344828</v>
      </c>
      <c r="S1635" t="str">
        <f t="shared" si="1729"/>
        <v>music</v>
      </c>
      <c r="T1635" t="str">
        <f t="shared" si="1730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ref="K1636:L1636" si="1763">(J1636/60/60/24)+DATE(1970,1,1)</f>
        <v>40658.189826388887</v>
      </c>
      <c r="L1636" s="11">
        <f t="shared" si="1726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727"/>
        <v>100.49999999999999</v>
      </c>
      <c r="R1636" s="7">
        <f t="shared" si="1728"/>
        <v>62.8125</v>
      </c>
      <c r="S1636" t="str">
        <f t="shared" si="1729"/>
        <v>music</v>
      </c>
      <c r="T1636" t="str">
        <f t="shared" si="1730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ref="K1637:L1637" si="1764">(J1637/60/60/24)+DATE(1970,1,1)</f>
        <v>42502.868761574078</v>
      </c>
      <c r="L1637" s="11">
        <f t="shared" si="1726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727"/>
        <v>125.29999999999998</v>
      </c>
      <c r="R1637" s="7">
        <f t="shared" si="1728"/>
        <v>67.729729729729726</v>
      </c>
      <c r="S1637" t="str">
        <f t="shared" si="1729"/>
        <v>music</v>
      </c>
      <c r="T1637" t="str">
        <f t="shared" si="1730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ref="K1638:L1638" si="1765">(J1638/60/60/24)+DATE(1970,1,1)</f>
        <v>40663.08666666667</v>
      </c>
      <c r="L1638" s="11">
        <f t="shared" si="1726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727"/>
        <v>103.55555555555556</v>
      </c>
      <c r="R1638" s="7">
        <f t="shared" si="1728"/>
        <v>53.5632183908046</v>
      </c>
      <c r="S1638" t="str">
        <f t="shared" si="1729"/>
        <v>music</v>
      </c>
      <c r="T1638" t="str">
        <f t="shared" si="1730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ref="K1639:L1639" si="1766">(J1639/60/60/24)+DATE(1970,1,1)</f>
        <v>40122.751620370371</v>
      </c>
      <c r="L1639" s="11">
        <f t="shared" si="1726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727"/>
        <v>103.8</v>
      </c>
      <c r="R1639" s="7">
        <f t="shared" si="1728"/>
        <v>34.6</v>
      </c>
      <c r="S1639" t="str">
        <f t="shared" si="1729"/>
        <v>music</v>
      </c>
      <c r="T1639" t="str">
        <f t="shared" si="1730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ref="K1640:L1640" si="1767">(J1640/60/60/24)+DATE(1970,1,1)</f>
        <v>41288.68712962963</v>
      </c>
      <c r="L1640" s="11">
        <f t="shared" si="1726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727"/>
        <v>105</v>
      </c>
      <c r="R1640" s="7">
        <f t="shared" si="1728"/>
        <v>38.888888888888886</v>
      </c>
      <c r="S1640" t="str">
        <f t="shared" si="1729"/>
        <v>music</v>
      </c>
      <c r="T1640" t="str">
        <f t="shared" si="1730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ref="K1641:L1641" si="1768">(J1641/60/60/24)+DATE(1970,1,1)</f>
        <v>40941.652372685188</v>
      </c>
      <c r="L1641" s="11">
        <f t="shared" si="1726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727"/>
        <v>100</v>
      </c>
      <c r="R1641" s="7">
        <f t="shared" si="1728"/>
        <v>94.736842105263165</v>
      </c>
      <c r="S1641" t="str">
        <f t="shared" si="1729"/>
        <v>music</v>
      </c>
      <c r="T1641" t="str">
        <f t="shared" si="1730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ref="K1642:L1642" si="1769">(J1642/60/60/24)+DATE(1970,1,1)</f>
        <v>40379.23096064815</v>
      </c>
      <c r="L1642" s="11">
        <f t="shared" si="1726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727"/>
        <v>169.86</v>
      </c>
      <c r="R1642" s="7">
        <f t="shared" si="1728"/>
        <v>39.967058823529413</v>
      </c>
      <c r="S1642" t="str">
        <f t="shared" si="1729"/>
        <v>music</v>
      </c>
      <c r="T1642" t="str">
        <f t="shared" si="1730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ref="K1643:L1643" si="1770">(J1643/60/60/24)+DATE(1970,1,1)</f>
        <v>41962.596574074079</v>
      </c>
      <c r="L1643" s="11">
        <f t="shared" si="1726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727"/>
        <v>101.4</v>
      </c>
      <c r="R1643" s="7">
        <f t="shared" si="1728"/>
        <v>97.5</v>
      </c>
      <c r="S1643" t="str">
        <f t="shared" si="1729"/>
        <v>music</v>
      </c>
      <c r="T1643" t="str">
        <f t="shared" si="1730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ref="K1644:L1644" si="1771">(J1644/60/60/24)+DATE(1970,1,1)</f>
        <v>40688.024618055555</v>
      </c>
      <c r="L1644" s="11">
        <f t="shared" si="1726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727"/>
        <v>100</v>
      </c>
      <c r="R1644" s="7">
        <f t="shared" si="1728"/>
        <v>42.857142857142854</v>
      </c>
      <c r="S1644" t="str">
        <f t="shared" si="1729"/>
        <v>music</v>
      </c>
      <c r="T1644" t="str">
        <f t="shared" si="1730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ref="K1645:L1645" si="1772">(J1645/60/60/24)+DATE(1970,1,1)</f>
        <v>41146.824212962965</v>
      </c>
      <c r="L1645" s="11">
        <f t="shared" si="1726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727"/>
        <v>124.70000000000002</v>
      </c>
      <c r="R1645" s="7">
        <f t="shared" si="1728"/>
        <v>168.51351351351352</v>
      </c>
      <c r="S1645" t="str">
        <f t="shared" si="1729"/>
        <v>music</v>
      </c>
      <c r="T1645" t="str">
        <f t="shared" si="1730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ref="K1646:L1646" si="1773">(J1646/60/60/24)+DATE(1970,1,1)</f>
        <v>41175.05972222222</v>
      </c>
      <c r="L1646" s="11">
        <f t="shared" si="1726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727"/>
        <v>109.5</v>
      </c>
      <c r="R1646" s="7">
        <f t="shared" si="1728"/>
        <v>85.546875</v>
      </c>
      <c r="S1646" t="str">
        <f t="shared" si="1729"/>
        <v>music</v>
      </c>
      <c r="T1646" t="str">
        <f t="shared" si="1730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ref="K1647:L1647" si="1774">(J1647/60/60/24)+DATE(1970,1,1)</f>
        <v>41521.617361111108</v>
      </c>
      <c r="L1647" s="11">
        <f t="shared" si="1726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727"/>
        <v>110.80000000000001</v>
      </c>
      <c r="R1647" s="7">
        <f t="shared" si="1728"/>
        <v>554</v>
      </c>
      <c r="S1647" t="str">
        <f t="shared" si="1729"/>
        <v>music</v>
      </c>
      <c r="T1647" t="str">
        <f t="shared" si="1730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ref="K1648:L1648" si="1775">(J1648/60/60/24)+DATE(1970,1,1)</f>
        <v>41833.450266203705</v>
      </c>
      <c r="L1648" s="11">
        <f t="shared" si="1726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727"/>
        <v>110.2</v>
      </c>
      <c r="R1648" s="7">
        <f t="shared" si="1728"/>
        <v>26.554216867469879</v>
      </c>
      <c r="S1648" t="str">
        <f t="shared" si="1729"/>
        <v>music</v>
      </c>
      <c r="T1648" t="str">
        <f t="shared" si="1730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ref="K1649:L1649" si="1776">(J1649/60/60/24)+DATE(1970,1,1)</f>
        <v>41039.409456018519</v>
      </c>
      <c r="L1649" s="11">
        <f t="shared" si="1726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727"/>
        <v>104.71999999999998</v>
      </c>
      <c r="R1649" s="7">
        <f t="shared" si="1728"/>
        <v>113.82608695652173</v>
      </c>
      <c r="S1649" t="str">
        <f t="shared" si="1729"/>
        <v>music</v>
      </c>
      <c r="T1649" t="str">
        <f t="shared" si="1730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ref="K1650:L1650" si="1777">(J1650/60/60/24)+DATE(1970,1,1)</f>
        <v>40592.704652777778</v>
      </c>
      <c r="L1650" s="11">
        <f t="shared" si="1726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727"/>
        <v>125.26086956521738</v>
      </c>
      <c r="R1650" s="7">
        <f t="shared" si="1728"/>
        <v>32.011111111111113</v>
      </c>
      <c r="S1650" t="str">
        <f t="shared" si="1729"/>
        <v>music</v>
      </c>
      <c r="T1650" t="str">
        <f t="shared" si="1730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ref="K1651:L1651" si="1778">(J1651/60/60/24)+DATE(1970,1,1)</f>
        <v>41737.684664351851</v>
      </c>
      <c r="L1651" s="11">
        <f t="shared" si="1726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727"/>
        <v>100.58763157894737</v>
      </c>
      <c r="R1651" s="7">
        <f t="shared" si="1728"/>
        <v>47.189259259259259</v>
      </c>
      <c r="S1651" t="str">
        <f t="shared" si="1729"/>
        <v>music</v>
      </c>
      <c r="T1651" t="str">
        <f t="shared" si="1730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ref="K1652:L1652" si="1779">(J1652/60/60/24)+DATE(1970,1,1)</f>
        <v>41526.435613425929</v>
      </c>
      <c r="L1652" s="11">
        <f t="shared" si="1726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727"/>
        <v>141.55000000000001</v>
      </c>
      <c r="R1652" s="7">
        <f t="shared" si="1728"/>
        <v>88.46875</v>
      </c>
      <c r="S1652" t="str">
        <f t="shared" si="1729"/>
        <v>music</v>
      </c>
      <c r="T1652" t="str">
        <f t="shared" si="1730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ref="K1653:L1653" si="1780">(J1653/60/60/24)+DATE(1970,1,1)</f>
        <v>40625.900694444441</v>
      </c>
      <c r="L1653" s="11">
        <f t="shared" si="1726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727"/>
        <v>100.75</v>
      </c>
      <c r="R1653" s="7">
        <f t="shared" si="1728"/>
        <v>100.75</v>
      </c>
      <c r="S1653" t="str">
        <f t="shared" si="1729"/>
        <v>music</v>
      </c>
      <c r="T1653" t="str">
        <f t="shared" si="1730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ref="K1654:L1654" si="1781">(J1654/60/60/24)+DATE(1970,1,1)</f>
        <v>41572.492974537039</v>
      </c>
      <c r="L1654" s="11">
        <f t="shared" si="1726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727"/>
        <v>100.66666666666666</v>
      </c>
      <c r="R1654" s="7">
        <f t="shared" si="1728"/>
        <v>64.714285714285708</v>
      </c>
      <c r="S1654" t="str">
        <f t="shared" si="1729"/>
        <v>music</v>
      </c>
      <c r="T1654" t="str">
        <f t="shared" si="1730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ref="K1655:L1655" si="1782">(J1655/60/60/24)+DATE(1970,1,1)</f>
        <v>40626.834444444445</v>
      </c>
      <c r="L1655" s="11">
        <f t="shared" si="1726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727"/>
        <v>174.2304</v>
      </c>
      <c r="R1655" s="7">
        <f t="shared" si="1728"/>
        <v>51.854285714285716</v>
      </c>
      <c r="S1655" t="str">
        <f t="shared" si="1729"/>
        <v>music</v>
      </c>
      <c r="T1655" t="str">
        <f t="shared" si="1730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ref="K1656:L1656" si="1783">(J1656/60/60/24)+DATE(1970,1,1)</f>
        <v>40987.890740740739</v>
      </c>
      <c r="L1656" s="11">
        <f t="shared" si="1726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727"/>
        <v>119.90909090909089</v>
      </c>
      <c r="R1656" s="7">
        <f t="shared" si="1728"/>
        <v>38.794117647058826</v>
      </c>
      <c r="S1656" t="str">
        <f t="shared" si="1729"/>
        <v>music</v>
      </c>
      <c r="T1656" t="str">
        <f t="shared" si="1730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ref="K1657:L1657" si="1784">(J1657/60/60/24)+DATE(1970,1,1)</f>
        <v>40974.791898148149</v>
      </c>
      <c r="L1657" s="11">
        <f t="shared" si="1726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727"/>
        <v>142.86666666666667</v>
      </c>
      <c r="R1657" s="7">
        <f t="shared" si="1728"/>
        <v>44.645833333333336</v>
      </c>
      <c r="S1657" t="str">
        <f t="shared" si="1729"/>
        <v>music</v>
      </c>
      <c r="T1657" t="str">
        <f t="shared" si="1730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ref="K1658:L1658" si="1785">(J1658/60/60/24)+DATE(1970,1,1)</f>
        <v>41226.928842592592</v>
      </c>
      <c r="L1658" s="11">
        <f t="shared" si="1726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727"/>
        <v>100.33493333333334</v>
      </c>
      <c r="R1658" s="7">
        <f t="shared" si="1728"/>
        <v>156.77333333333334</v>
      </c>
      <c r="S1658" t="str">
        <f t="shared" si="1729"/>
        <v>music</v>
      </c>
      <c r="T1658" t="str">
        <f t="shared" si="1730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ref="K1659:L1659" si="1786">(J1659/60/60/24)+DATE(1970,1,1)</f>
        <v>41023.782037037039</v>
      </c>
      <c r="L1659" s="11">
        <f t="shared" si="1726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727"/>
        <v>104.93380000000001</v>
      </c>
      <c r="R1659" s="7">
        <f t="shared" si="1728"/>
        <v>118.70339366515837</v>
      </c>
      <c r="S1659" t="str">
        <f t="shared" si="1729"/>
        <v>music</v>
      </c>
      <c r="T1659" t="str">
        <f t="shared" si="1730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ref="K1660:L1660" si="1787">(J1660/60/60/24)+DATE(1970,1,1)</f>
        <v>41223.22184027778</v>
      </c>
      <c r="L1660" s="11">
        <f t="shared" si="1726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727"/>
        <v>132.23333333333335</v>
      </c>
      <c r="R1660" s="7">
        <f t="shared" si="1728"/>
        <v>74.149532710280369</v>
      </c>
      <c r="S1660" t="str">
        <f t="shared" si="1729"/>
        <v>music</v>
      </c>
      <c r="T1660" t="str">
        <f t="shared" si="1730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ref="K1661:L1661" si="1788">(J1661/60/60/24)+DATE(1970,1,1)</f>
        <v>41596.913437499999</v>
      </c>
      <c r="L1661" s="11">
        <f t="shared" si="1726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727"/>
        <v>112.79999999999998</v>
      </c>
      <c r="R1661" s="7">
        <f t="shared" si="1728"/>
        <v>12.533333333333333</v>
      </c>
      <c r="S1661" t="str">
        <f t="shared" si="1729"/>
        <v>music</v>
      </c>
      <c r="T1661" t="str">
        <f t="shared" si="1730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ref="K1662:L1662" si="1789">(J1662/60/60/24)+DATE(1970,1,1)</f>
        <v>42459.693865740745</v>
      </c>
      <c r="L1662" s="11">
        <f t="shared" si="1726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727"/>
        <v>1253.75</v>
      </c>
      <c r="R1662" s="7">
        <f t="shared" si="1728"/>
        <v>27.861111111111111</v>
      </c>
      <c r="S1662" t="str">
        <f t="shared" si="1729"/>
        <v>music</v>
      </c>
      <c r="T1662" t="str">
        <f t="shared" si="1730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ref="K1663:L1663" si="1790">(J1663/60/60/24)+DATE(1970,1,1)</f>
        <v>42343.998043981483</v>
      </c>
      <c r="L1663" s="11">
        <f t="shared" si="1726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727"/>
        <v>102.50632911392405</v>
      </c>
      <c r="R1663" s="7">
        <f t="shared" si="1728"/>
        <v>80.178217821782184</v>
      </c>
      <c r="S1663" t="str">
        <f t="shared" si="1729"/>
        <v>music</v>
      </c>
      <c r="T1663" t="str">
        <f t="shared" si="1730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ref="K1664:L1664" si="1791">(J1664/60/60/24)+DATE(1970,1,1)</f>
        <v>40848.198333333334</v>
      </c>
      <c r="L1664" s="11">
        <f t="shared" si="1726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727"/>
        <v>102.6375</v>
      </c>
      <c r="R1664" s="7">
        <f t="shared" si="1728"/>
        <v>132.43548387096774</v>
      </c>
      <c r="S1664" t="str">
        <f t="shared" si="1729"/>
        <v>music</v>
      </c>
      <c r="T1664" t="str">
        <f t="shared" si="1730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ref="K1665:L1665" si="1792">(J1665/60/60/24)+DATE(1970,1,1)</f>
        <v>42006.02207175926</v>
      </c>
      <c r="L1665" s="11">
        <f t="shared" si="1726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727"/>
        <v>108</v>
      </c>
      <c r="R1665" s="7">
        <f t="shared" si="1728"/>
        <v>33.75</v>
      </c>
      <c r="S1665" t="str">
        <f t="shared" si="1729"/>
        <v>music</v>
      </c>
      <c r="T1665" t="str">
        <f t="shared" si="1730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ref="K1666:L1666" si="1793">(J1666/60/60/24)+DATE(1970,1,1)</f>
        <v>40939.761782407404</v>
      </c>
      <c r="L1666" s="11">
        <f t="shared" si="1726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727"/>
        <v>122.40879999999999</v>
      </c>
      <c r="R1666" s="7">
        <f t="shared" si="1728"/>
        <v>34.384494382022467</v>
      </c>
      <c r="S1666" t="str">
        <f t="shared" si="1729"/>
        <v>music</v>
      </c>
      <c r="T1666" t="str">
        <f t="shared" si="1730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ref="K1667:L1667" si="1794">(J1667/60/60/24)+DATE(1970,1,1)</f>
        <v>40564.649456018517</v>
      </c>
      <c r="L1667" s="11">
        <f t="shared" ref="L1667:L1730" si="1795">(I1667/60/60/24)+DATE(1970,1,1)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796">(E1667/D1667)*100</f>
        <v>119.45714285714286</v>
      </c>
      <c r="R1667" s="7">
        <f t="shared" ref="R1667:R1730" si="1797">IFERROR(E1667/N1667, 0)</f>
        <v>44.956989247311824</v>
      </c>
      <c r="S1667" t="str">
        <f t="shared" ref="S1667:S1730" si="1798">LEFT(P1667, SEARCH("/", P1667,1)-1)</f>
        <v>music</v>
      </c>
      <c r="T1667" t="str">
        <f t="shared" ref="T1667:T1730" si="1799">RIGHT(P1667,LEN(P1667)-SEARCH("/",P1667,SEARCH("/",P1667)))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ref="K1668:L1668" si="1800">(J1668/60/60/24)+DATE(1970,1,1)</f>
        <v>41331.253159722226</v>
      </c>
      <c r="L1668" s="11">
        <f t="shared" si="179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796"/>
        <v>160.88</v>
      </c>
      <c r="R1668" s="7">
        <f t="shared" si="1797"/>
        <v>41.04081632653061</v>
      </c>
      <c r="S1668" t="str">
        <f t="shared" si="1798"/>
        <v>music</v>
      </c>
      <c r="T1668" t="str">
        <f t="shared" si="1799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ref="K1669:L1669" si="1801">(J1669/60/60/24)+DATE(1970,1,1)</f>
        <v>41682.0705787037</v>
      </c>
      <c r="L1669" s="11">
        <f t="shared" si="179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796"/>
        <v>126.85294117647059</v>
      </c>
      <c r="R1669" s="7">
        <f t="shared" si="1797"/>
        <v>52.597560975609753</v>
      </c>
      <c r="S1669" t="str">
        <f t="shared" si="1798"/>
        <v>music</v>
      </c>
      <c r="T1669" t="str">
        <f t="shared" si="1799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ref="K1670:L1670" si="1802">(J1670/60/60/24)+DATE(1970,1,1)</f>
        <v>40845.14975694444</v>
      </c>
      <c r="L1670" s="11">
        <f t="shared" si="179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796"/>
        <v>102.6375</v>
      </c>
      <c r="R1670" s="7">
        <f t="shared" si="1797"/>
        <v>70.784482758620683</v>
      </c>
      <c r="S1670" t="str">
        <f t="shared" si="1798"/>
        <v>music</v>
      </c>
      <c r="T1670" t="str">
        <f t="shared" si="1799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ref="K1671:L1671" si="1803">(J1671/60/60/24)+DATE(1970,1,1)</f>
        <v>42461.885138888887</v>
      </c>
      <c r="L1671" s="11">
        <f t="shared" si="179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796"/>
        <v>139.75</v>
      </c>
      <c r="R1671" s="7">
        <f t="shared" si="1797"/>
        <v>53.75</v>
      </c>
      <c r="S1671" t="str">
        <f t="shared" si="1798"/>
        <v>music</v>
      </c>
      <c r="T1671" t="str">
        <f t="shared" si="1799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ref="K1672:L1672" si="1804">(J1672/60/60/24)+DATE(1970,1,1)</f>
        <v>40313.930543981485</v>
      </c>
      <c r="L1672" s="11">
        <f t="shared" si="179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796"/>
        <v>102.60000000000001</v>
      </c>
      <c r="R1672" s="7">
        <f t="shared" si="1797"/>
        <v>44.608695652173914</v>
      </c>
      <c r="S1672" t="str">
        <f t="shared" si="1798"/>
        <v>music</v>
      </c>
      <c r="T1672" t="str">
        <f t="shared" si="1799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ref="K1673:L1673" si="1805">(J1673/60/60/24)+DATE(1970,1,1)</f>
        <v>42553.54414351852</v>
      </c>
      <c r="L1673" s="11">
        <f t="shared" si="179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796"/>
        <v>100.67349999999999</v>
      </c>
      <c r="R1673" s="7">
        <f t="shared" si="1797"/>
        <v>26.148961038961041</v>
      </c>
      <c r="S1673" t="str">
        <f t="shared" si="1798"/>
        <v>music</v>
      </c>
      <c r="T1673" t="str">
        <f t="shared" si="1799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ref="K1674:L1674" si="1806">(J1674/60/60/24)+DATE(1970,1,1)</f>
        <v>41034.656597222223</v>
      </c>
      <c r="L1674" s="11">
        <f t="shared" si="179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796"/>
        <v>112.94117647058823</v>
      </c>
      <c r="R1674" s="7">
        <f t="shared" si="1797"/>
        <v>39.183673469387756</v>
      </c>
      <c r="S1674" t="str">
        <f t="shared" si="1798"/>
        <v>music</v>
      </c>
      <c r="T1674" t="str">
        <f t="shared" si="1799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ref="K1675:L1675" si="1807">(J1675/60/60/24)+DATE(1970,1,1)</f>
        <v>42039.878379629634</v>
      </c>
      <c r="L1675" s="11">
        <f t="shared" si="179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796"/>
        <v>128.09523809523807</v>
      </c>
      <c r="R1675" s="7">
        <f t="shared" si="1797"/>
        <v>45.593220338983052</v>
      </c>
      <c r="S1675" t="str">
        <f t="shared" si="1798"/>
        <v>music</v>
      </c>
      <c r="T1675" t="str">
        <f t="shared" si="1799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ref="K1676:L1676" si="1808">(J1676/60/60/24)+DATE(1970,1,1)</f>
        <v>42569.605393518519</v>
      </c>
      <c r="L1676" s="11">
        <f t="shared" si="179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796"/>
        <v>201.7</v>
      </c>
      <c r="R1676" s="7">
        <f t="shared" si="1797"/>
        <v>89.247787610619469</v>
      </c>
      <c r="S1676" t="str">
        <f t="shared" si="1798"/>
        <v>music</v>
      </c>
      <c r="T1676" t="str">
        <f t="shared" si="1799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ref="K1677:L1677" si="1809">(J1677/60/60/24)+DATE(1970,1,1)</f>
        <v>40802.733101851853</v>
      </c>
      <c r="L1677" s="11">
        <f t="shared" si="179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796"/>
        <v>137.416</v>
      </c>
      <c r="R1677" s="7">
        <f t="shared" si="1797"/>
        <v>40.416470588235299</v>
      </c>
      <c r="S1677" t="str">
        <f t="shared" si="1798"/>
        <v>music</v>
      </c>
      <c r="T1677" t="str">
        <f t="shared" si="1799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ref="K1678:L1678" si="1810">(J1678/60/60/24)+DATE(1970,1,1)</f>
        <v>40973.72623842593</v>
      </c>
      <c r="L1678" s="11">
        <f t="shared" si="179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796"/>
        <v>115.33333333333333</v>
      </c>
      <c r="R1678" s="7">
        <f t="shared" si="1797"/>
        <v>82.38095238095238</v>
      </c>
      <c r="S1678" t="str">
        <f t="shared" si="1798"/>
        <v>music</v>
      </c>
      <c r="T1678" t="str">
        <f t="shared" si="1799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ref="K1679:L1679" si="1811">(J1679/60/60/24)+DATE(1970,1,1)</f>
        <v>42416.407129629632</v>
      </c>
      <c r="L1679" s="11">
        <f t="shared" si="179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796"/>
        <v>111.66666666666667</v>
      </c>
      <c r="R1679" s="7">
        <f t="shared" si="1797"/>
        <v>159.52380952380952</v>
      </c>
      <c r="S1679" t="str">
        <f t="shared" si="1798"/>
        <v>music</v>
      </c>
      <c r="T1679" t="str">
        <f t="shared" si="1799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ref="K1680:L1680" si="1812">(J1680/60/60/24)+DATE(1970,1,1)</f>
        <v>41662.854988425926</v>
      </c>
      <c r="L1680" s="11">
        <f t="shared" si="179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796"/>
        <v>118.39999999999999</v>
      </c>
      <c r="R1680" s="7">
        <f t="shared" si="1797"/>
        <v>36.244897959183675</v>
      </c>
      <c r="S1680" t="str">
        <f t="shared" si="1798"/>
        <v>music</v>
      </c>
      <c r="T1680" t="str">
        <f t="shared" si="1799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ref="K1681:L1681" si="1813">(J1681/60/60/24)+DATE(1970,1,1)</f>
        <v>40723.068807870368</v>
      </c>
      <c r="L1681" s="11">
        <f t="shared" si="179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796"/>
        <v>175</v>
      </c>
      <c r="R1681" s="7">
        <f t="shared" si="1797"/>
        <v>62.5</v>
      </c>
      <c r="S1681" t="str">
        <f t="shared" si="1798"/>
        <v>music</v>
      </c>
      <c r="T1681" t="str">
        <f t="shared" si="1799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ref="K1682:L1682" si="1814">(J1682/60/60/24)+DATE(1970,1,1)</f>
        <v>41802.757719907408</v>
      </c>
      <c r="L1682" s="11">
        <f t="shared" si="179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796"/>
        <v>117.5</v>
      </c>
      <c r="R1682" s="7">
        <f t="shared" si="1797"/>
        <v>47</v>
      </c>
      <c r="S1682" t="str">
        <f t="shared" si="1798"/>
        <v>music</v>
      </c>
      <c r="T1682" t="str">
        <f t="shared" si="1799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ref="K1683:L1683" si="1815">(J1683/60/60/24)+DATE(1970,1,1)</f>
        <v>42774.121342592596</v>
      </c>
      <c r="L1683" s="11">
        <f t="shared" si="179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796"/>
        <v>101.42212307692309</v>
      </c>
      <c r="R1683" s="7">
        <f t="shared" si="1797"/>
        <v>74.575090497737563</v>
      </c>
      <c r="S1683" t="str">
        <f t="shared" si="1798"/>
        <v>music</v>
      </c>
      <c r="T1683" t="str">
        <f t="shared" si="1799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ref="K1684:L1684" si="1816">(J1684/60/60/24)+DATE(1970,1,1)</f>
        <v>42779.21365740741</v>
      </c>
      <c r="L1684" s="11">
        <f t="shared" si="179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796"/>
        <v>0</v>
      </c>
      <c r="R1684" s="7">
        <f t="shared" si="1797"/>
        <v>0</v>
      </c>
      <c r="S1684" t="str">
        <f t="shared" si="1798"/>
        <v>music</v>
      </c>
      <c r="T1684" t="str">
        <f t="shared" si="1799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ref="K1685:L1685" si="1817">(J1685/60/60/24)+DATE(1970,1,1)</f>
        <v>42808.781689814816</v>
      </c>
      <c r="L1685" s="11">
        <f t="shared" si="179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796"/>
        <v>21.714285714285715</v>
      </c>
      <c r="R1685" s="7">
        <f t="shared" si="1797"/>
        <v>76</v>
      </c>
      <c r="S1685" t="str">
        <f t="shared" si="1798"/>
        <v>music</v>
      </c>
      <c r="T1685" t="str">
        <f t="shared" si="1799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ref="K1686:L1686" si="1818">(J1686/60/60/24)+DATE(1970,1,1)</f>
        <v>42783.815289351856</v>
      </c>
      <c r="L1686" s="11">
        <f t="shared" si="179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796"/>
        <v>109.125</v>
      </c>
      <c r="R1686" s="7">
        <f t="shared" si="1797"/>
        <v>86.43564356435644</v>
      </c>
      <c r="S1686" t="str">
        <f t="shared" si="1798"/>
        <v>music</v>
      </c>
      <c r="T1686" t="str">
        <f t="shared" si="1799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ref="K1687:L1687" si="1819">(J1687/60/60/24)+DATE(1970,1,1)</f>
        <v>42788.2502662037</v>
      </c>
      <c r="L1687" s="11">
        <f t="shared" si="179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796"/>
        <v>102.85714285714285</v>
      </c>
      <c r="R1687" s="7">
        <f t="shared" si="1797"/>
        <v>24</v>
      </c>
      <c r="S1687" t="str">
        <f t="shared" si="1798"/>
        <v>music</v>
      </c>
      <c r="T1687" t="str">
        <f t="shared" si="1799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ref="K1688:L1688" si="1820">(J1688/60/60/24)+DATE(1970,1,1)</f>
        <v>42792.843969907408</v>
      </c>
      <c r="L1688" s="11">
        <f t="shared" si="179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796"/>
        <v>0.36</v>
      </c>
      <c r="R1688" s="7">
        <f t="shared" si="1797"/>
        <v>18</v>
      </c>
      <c r="S1688" t="str">
        <f t="shared" si="1798"/>
        <v>music</v>
      </c>
      <c r="T1688" t="str">
        <f t="shared" si="1799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ref="K1689:L1689" si="1821">(J1689/60/60/24)+DATE(1970,1,1)</f>
        <v>42802.046817129631</v>
      </c>
      <c r="L1689" s="11">
        <f t="shared" si="1795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796"/>
        <v>31.25</v>
      </c>
      <c r="R1689" s="7">
        <f t="shared" si="1797"/>
        <v>80.128205128205124</v>
      </c>
      <c r="S1689" t="str">
        <f t="shared" si="1798"/>
        <v>music</v>
      </c>
      <c r="T1689" t="str">
        <f t="shared" si="1799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ref="K1690:L1690" si="1822">(J1690/60/60/24)+DATE(1970,1,1)</f>
        <v>42804.534652777773</v>
      </c>
      <c r="L1690" s="11">
        <f t="shared" si="179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796"/>
        <v>44.3</v>
      </c>
      <c r="R1690" s="7">
        <f t="shared" si="1797"/>
        <v>253.14285714285714</v>
      </c>
      <c r="S1690" t="str">
        <f t="shared" si="1798"/>
        <v>music</v>
      </c>
      <c r="T1690" t="str">
        <f t="shared" si="1799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ref="K1691:L1691" si="1823">(J1691/60/60/24)+DATE(1970,1,1)</f>
        <v>42780.942476851851</v>
      </c>
      <c r="L1691" s="11">
        <f t="shared" si="179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796"/>
        <v>100</v>
      </c>
      <c r="R1691" s="7">
        <f t="shared" si="1797"/>
        <v>171.42857142857142</v>
      </c>
      <c r="S1691" t="str">
        <f t="shared" si="1798"/>
        <v>music</v>
      </c>
      <c r="T1691" t="str">
        <f t="shared" si="1799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ref="K1692:L1692" si="1824">(J1692/60/60/24)+DATE(1970,1,1)</f>
        <v>42801.43104166667</v>
      </c>
      <c r="L1692" s="11">
        <f t="shared" si="179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796"/>
        <v>25.4</v>
      </c>
      <c r="R1692" s="7">
        <f t="shared" si="1797"/>
        <v>57.727272727272727</v>
      </c>
      <c r="S1692" t="str">
        <f t="shared" si="1798"/>
        <v>music</v>
      </c>
      <c r="T1692" t="str">
        <f t="shared" si="1799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ref="K1693:L1693" si="1825">(J1693/60/60/24)+DATE(1970,1,1)</f>
        <v>42795.701481481476</v>
      </c>
      <c r="L1693" s="11">
        <f t="shared" si="179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796"/>
        <v>33.473333333333329</v>
      </c>
      <c r="R1693" s="7">
        <f t="shared" si="1797"/>
        <v>264.26315789473682</v>
      </c>
      <c r="S1693" t="str">
        <f t="shared" si="1798"/>
        <v>music</v>
      </c>
      <c r="T1693" t="str">
        <f t="shared" si="1799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ref="K1694:L1694" si="1826">(J1694/60/60/24)+DATE(1970,1,1)</f>
        <v>42788.151238425926</v>
      </c>
      <c r="L1694" s="11">
        <f t="shared" si="179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796"/>
        <v>47.8</v>
      </c>
      <c r="R1694" s="7">
        <f t="shared" si="1797"/>
        <v>159.33333333333334</v>
      </c>
      <c r="S1694" t="str">
        <f t="shared" si="1798"/>
        <v>music</v>
      </c>
      <c r="T1694" t="str">
        <f t="shared" si="1799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ref="K1695:L1695" si="1827">(J1695/60/60/24)+DATE(1970,1,1)</f>
        <v>42803.920277777783</v>
      </c>
      <c r="L1695" s="11">
        <f t="shared" si="179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796"/>
        <v>9.3333333333333339</v>
      </c>
      <c r="R1695" s="7">
        <f t="shared" si="1797"/>
        <v>35</v>
      </c>
      <c r="S1695" t="str">
        <f t="shared" si="1798"/>
        <v>music</v>
      </c>
      <c r="T1695" t="str">
        <f t="shared" si="1799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ref="K1696:L1696" si="1828">(J1696/60/60/24)+DATE(1970,1,1)</f>
        <v>42791.669837962967</v>
      </c>
      <c r="L1696" s="11">
        <f t="shared" si="179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796"/>
        <v>0.05</v>
      </c>
      <c r="R1696" s="7">
        <f t="shared" si="1797"/>
        <v>5</v>
      </c>
      <c r="S1696" t="str">
        <f t="shared" si="1798"/>
        <v>music</v>
      </c>
      <c r="T1696" t="str">
        <f t="shared" si="1799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ref="K1697:L1697" si="1829">(J1697/60/60/24)+DATE(1970,1,1)</f>
        <v>42801.031412037039</v>
      </c>
      <c r="L1697" s="11">
        <f t="shared" si="179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796"/>
        <v>11.708333333333334</v>
      </c>
      <c r="R1697" s="7">
        <f t="shared" si="1797"/>
        <v>61.086956521739133</v>
      </c>
      <c r="S1697" t="str">
        <f t="shared" si="1798"/>
        <v>music</v>
      </c>
      <c r="T1697" t="str">
        <f t="shared" si="1799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ref="K1698:L1698" si="1830">(J1698/60/60/24)+DATE(1970,1,1)</f>
        <v>42796.069571759261</v>
      </c>
      <c r="L1698" s="11">
        <f t="shared" si="179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796"/>
        <v>0</v>
      </c>
      <c r="R1698" s="7">
        <f t="shared" si="1797"/>
        <v>0</v>
      </c>
      <c r="S1698" t="str">
        <f t="shared" si="1798"/>
        <v>music</v>
      </c>
      <c r="T1698" t="str">
        <f t="shared" si="1799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ref="K1699:L1699" si="1831">(J1699/60/60/24)+DATE(1970,1,1)</f>
        <v>42805.032962962956</v>
      </c>
      <c r="L1699" s="11">
        <f t="shared" si="179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796"/>
        <v>20.208000000000002</v>
      </c>
      <c r="R1699" s="7">
        <f t="shared" si="1797"/>
        <v>114.81818181818181</v>
      </c>
      <c r="S1699" t="str">
        <f t="shared" si="1798"/>
        <v>music</v>
      </c>
      <c r="T1699" t="str">
        <f t="shared" si="1799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ref="K1700:L1700" si="1832">(J1700/60/60/24)+DATE(1970,1,1)</f>
        <v>42796.207870370374</v>
      </c>
      <c r="L1700" s="11">
        <f t="shared" si="179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796"/>
        <v>0</v>
      </c>
      <c r="R1700" s="7">
        <f t="shared" si="1797"/>
        <v>0</v>
      </c>
      <c r="S1700" t="str">
        <f t="shared" si="1798"/>
        <v>music</v>
      </c>
      <c r="T1700" t="str">
        <f t="shared" si="1799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ref="K1701:L1701" si="1833">(J1701/60/60/24)+DATE(1970,1,1)</f>
        <v>42806.863946759258</v>
      </c>
      <c r="L1701" s="11">
        <f t="shared" si="179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796"/>
        <v>4.2311459353574925</v>
      </c>
      <c r="R1701" s="7">
        <f t="shared" si="1797"/>
        <v>54</v>
      </c>
      <c r="S1701" t="str">
        <f t="shared" si="1798"/>
        <v>music</v>
      </c>
      <c r="T1701" t="str">
        <f t="shared" si="1799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ref="K1702:L1702" si="1834">(J1702/60/60/24)+DATE(1970,1,1)</f>
        <v>42796.071643518517</v>
      </c>
      <c r="L1702" s="11">
        <f t="shared" si="179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796"/>
        <v>26.06</v>
      </c>
      <c r="R1702" s="7">
        <f t="shared" si="1797"/>
        <v>65.974683544303801</v>
      </c>
      <c r="S1702" t="str">
        <f t="shared" si="1798"/>
        <v>music</v>
      </c>
      <c r="T1702" t="str">
        <f t="shared" si="1799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ref="K1703:L1703" si="1835">(J1703/60/60/24)+DATE(1970,1,1)</f>
        <v>41989.664409722223</v>
      </c>
      <c r="L1703" s="11">
        <f t="shared" si="179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796"/>
        <v>0.19801980198019803</v>
      </c>
      <c r="R1703" s="7">
        <f t="shared" si="1797"/>
        <v>5</v>
      </c>
      <c r="S1703" t="str">
        <f t="shared" si="1798"/>
        <v>music</v>
      </c>
      <c r="T1703" t="str">
        <f t="shared" si="1799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ref="K1704:L1704" si="1836">(J1704/60/60/24)+DATE(1970,1,1)</f>
        <v>42063.869791666672</v>
      </c>
      <c r="L1704" s="11">
        <f t="shared" si="1795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796"/>
        <v>6.0606060606060606E-3</v>
      </c>
      <c r="R1704" s="7">
        <f t="shared" si="1797"/>
        <v>1</v>
      </c>
      <c r="S1704" t="str">
        <f t="shared" si="1798"/>
        <v>music</v>
      </c>
      <c r="T1704" t="str">
        <f t="shared" si="1799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ref="K1705:L1705" si="1837">(J1705/60/60/24)+DATE(1970,1,1)</f>
        <v>42187.281678240746</v>
      </c>
      <c r="L1705" s="11">
        <f t="shared" si="179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796"/>
        <v>1.02</v>
      </c>
      <c r="R1705" s="7">
        <f t="shared" si="1797"/>
        <v>25.5</v>
      </c>
      <c r="S1705" t="str">
        <f t="shared" si="1798"/>
        <v>music</v>
      </c>
      <c r="T1705" t="str">
        <f t="shared" si="1799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ref="K1706:L1706" si="1838">(J1706/60/60/24)+DATE(1970,1,1)</f>
        <v>42021.139733796299</v>
      </c>
      <c r="L1706" s="11">
        <f t="shared" si="179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796"/>
        <v>65.100000000000009</v>
      </c>
      <c r="R1706" s="7">
        <f t="shared" si="1797"/>
        <v>118.36363636363636</v>
      </c>
      <c r="S1706" t="str">
        <f t="shared" si="1798"/>
        <v>music</v>
      </c>
      <c r="T1706" t="str">
        <f t="shared" si="1799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ref="K1707:L1707" si="1839">(J1707/60/60/24)+DATE(1970,1,1)</f>
        <v>42245.016736111109</v>
      </c>
      <c r="L1707" s="11">
        <f t="shared" si="179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796"/>
        <v>0</v>
      </c>
      <c r="R1707" s="7">
        <f t="shared" si="1797"/>
        <v>0</v>
      </c>
      <c r="S1707" t="str">
        <f t="shared" si="1798"/>
        <v>music</v>
      </c>
      <c r="T1707" t="str">
        <f t="shared" si="1799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ref="K1708:L1708" si="1840">(J1708/60/60/24)+DATE(1970,1,1)</f>
        <v>42179.306388888886</v>
      </c>
      <c r="L1708" s="11">
        <f t="shared" si="179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796"/>
        <v>0</v>
      </c>
      <c r="R1708" s="7">
        <f t="shared" si="1797"/>
        <v>0</v>
      </c>
      <c r="S1708" t="str">
        <f t="shared" si="1798"/>
        <v>music</v>
      </c>
      <c r="T1708" t="str">
        <f t="shared" si="1799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ref="K1709:L1709" si="1841">(J1709/60/60/24)+DATE(1970,1,1)</f>
        <v>42427.721006944441</v>
      </c>
      <c r="L1709" s="11">
        <f t="shared" si="179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796"/>
        <v>9.74</v>
      </c>
      <c r="R1709" s="7">
        <f t="shared" si="1797"/>
        <v>54.111111111111114</v>
      </c>
      <c r="S1709" t="str">
        <f t="shared" si="1798"/>
        <v>music</v>
      </c>
      <c r="T1709" t="str">
        <f t="shared" si="1799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ref="K1710:L1710" si="1842">(J1710/60/60/24)+DATE(1970,1,1)</f>
        <v>42451.866967592592</v>
      </c>
      <c r="L1710" s="11">
        <f t="shared" si="179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796"/>
        <v>0</v>
      </c>
      <c r="R1710" s="7">
        <f t="shared" si="1797"/>
        <v>0</v>
      </c>
      <c r="S1710" t="str">
        <f t="shared" si="1798"/>
        <v>music</v>
      </c>
      <c r="T1710" t="str">
        <f t="shared" si="1799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ref="K1711:L1711" si="1843">(J1711/60/60/24)+DATE(1970,1,1)</f>
        <v>41841.56381944444</v>
      </c>
      <c r="L1711" s="11">
        <f t="shared" si="179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796"/>
        <v>4.8571428571428568</v>
      </c>
      <c r="R1711" s="7">
        <f t="shared" si="1797"/>
        <v>21.25</v>
      </c>
      <c r="S1711" t="str">
        <f t="shared" si="1798"/>
        <v>music</v>
      </c>
      <c r="T1711" t="str">
        <f t="shared" si="1799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ref="K1712:L1712" si="1844">(J1712/60/60/24)+DATE(1970,1,1)</f>
        <v>42341.59129629629</v>
      </c>
      <c r="L1712" s="11">
        <f t="shared" si="179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796"/>
        <v>0.67999999999999994</v>
      </c>
      <c r="R1712" s="7">
        <f t="shared" si="1797"/>
        <v>34</v>
      </c>
      <c r="S1712" t="str">
        <f t="shared" si="1798"/>
        <v>music</v>
      </c>
      <c r="T1712" t="str">
        <f t="shared" si="1799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ref="K1713:L1713" si="1845">(J1713/60/60/24)+DATE(1970,1,1)</f>
        <v>41852.646226851852</v>
      </c>
      <c r="L1713" s="11">
        <f t="shared" si="179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796"/>
        <v>10.5</v>
      </c>
      <c r="R1713" s="7">
        <f t="shared" si="1797"/>
        <v>525</v>
      </c>
      <c r="S1713" t="str">
        <f t="shared" si="1798"/>
        <v>music</v>
      </c>
      <c r="T1713" t="str">
        <f t="shared" si="1799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ref="K1714:L1714" si="1846">(J1714/60/60/24)+DATE(1970,1,1)</f>
        <v>42125.913807870369</v>
      </c>
      <c r="L1714" s="11">
        <f t="shared" si="179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796"/>
        <v>0</v>
      </c>
      <c r="R1714" s="7">
        <f t="shared" si="1797"/>
        <v>0</v>
      </c>
      <c r="S1714" t="str">
        <f t="shared" si="1798"/>
        <v>music</v>
      </c>
      <c r="T1714" t="str">
        <f t="shared" si="1799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ref="K1715:L1715" si="1847">(J1715/60/60/24)+DATE(1970,1,1)</f>
        <v>41887.801064814819</v>
      </c>
      <c r="L1715" s="11">
        <f t="shared" si="179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796"/>
        <v>1.6666666666666667</v>
      </c>
      <c r="R1715" s="7">
        <f t="shared" si="1797"/>
        <v>50</v>
      </c>
      <c r="S1715" t="str">
        <f t="shared" si="1798"/>
        <v>music</v>
      </c>
      <c r="T1715" t="str">
        <f t="shared" si="1799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ref="K1716:L1716" si="1848">(J1716/60/60/24)+DATE(1970,1,1)</f>
        <v>42095.918530092589</v>
      </c>
      <c r="L1716" s="11">
        <f t="shared" si="179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796"/>
        <v>7.8680000000000003</v>
      </c>
      <c r="R1716" s="7">
        <f t="shared" si="1797"/>
        <v>115.70588235294117</v>
      </c>
      <c r="S1716" t="str">
        <f t="shared" si="1798"/>
        <v>music</v>
      </c>
      <c r="T1716" t="str">
        <f t="shared" si="1799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ref="K1717:L1717" si="1849">(J1717/60/60/24)+DATE(1970,1,1)</f>
        <v>42064.217418981483</v>
      </c>
      <c r="L1717" s="11">
        <f t="shared" si="179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796"/>
        <v>0.22</v>
      </c>
      <c r="R1717" s="7">
        <f t="shared" si="1797"/>
        <v>5.5</v>
      </c>
      <c r="S1717" t="str">
        <f t="shared" si="1798"/>
        <v>music</v>
      </c>
      <c r="T1717" t="str">
        <f t="shared" si="1799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ref="K1718:L1718" si="1850">(J1718/60/60/24)+DATE(1970,1,1)</f>
        <v>42673.577534722222</v>
      </c>
      <c r="L1718" s="11">
        <f t="shared" si="179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796"/>
        <v>7.5</v>
      </c>
      <c r="R1718" s="7">
        <f t="shared" si="1797"/>
        <v>50</v>
      </c>
      <c r="S1718" t="str">
        <f t="shared" si="1798"/>
        <v>music</v>
      </c>
      <c r="T1718" t="str">
        <f t="shared" si="1799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ref="K1719:L1719" si="1851">(J1719/60/60/24)+DATE(1970,1,1)</f>
        <v>42460.98192129629</v>
      </c>
      <c r="L1719" s="11">
        <f t="shared" si="179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796"/>
        <v>42.725880551301685</v>
      </c>
      <c r="R1719" s="7">
        <f t="shared" si="1797"/>
        <v>34.024390243902438</v>
      </c>
      <c r="S1719" t="str">
        <f t="shared" si="1798"/>
        <v>music</v>
      </c>
      <c r="T1719" t="str">
        <f t="shared" si="1799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ref="K1720:L1720" si="1852">(J1720/60/60/24)+DATE(1970,1,1)</f>
        <v>42460.610520833332</v>
      </c>
      <c r="L1720" s="11">
        <f t="shared" si="179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796"/>
        <v>0.2142857142857143</v>
      </c>
      <c r="R1720" s="7">
        <f t="shared" si="1797"/>
        <v>37.5</v>
      </c>
      <c r="S1720" t="str">
        <f t="shared" si="1798"/>
        <v>music</v>
      </c>
      <c r="T1720" t="str">
        <f t="shared" si="1799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ref="K1721:L1721" si="1853">(J1721/60/60/24)+DATE(1970,1,1)</f>
        <v>41869.534618055557</v>
      </c>
      <c r="L1721" s="11">
        <f t="shared" si="179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796"/>
        <v>0.87500000000000011</v>
      </c>
      <c r="R1721" s="7">
        <f t="shared" si="1797"/>
        <v>11.666666666666666</v>
      </c>
      <c r="S1721" t="str">
        <f t="shared" si="1798"/>
        <v>music</v>
      </c>
      <c r="T1721" t="str">
        <f t="shared" si="1799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ref="K1722:L1722" si="1854">(J1722/60/60/24)+DATE(1970,1,1)</f>
        <v>41922.783229166671</v>
      </c>
      <c r="L1722" s="11">
        <f t="shared" si="179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796"/>
        <v>5.625</v>
      </c>
      <c r="R1722" s="7">
        <f t="shared" si="1797"/>
        <v>28.125</v>
      </c>
      <c r="S1722" t="str">
        <f t="shared" si="1798"/>
        <v>music</v>
      </c>
      <c r="T1722" t="str">
        <f t="shared" si="1799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ref="K1723:L1723" si="1855">(J1723/60/60/24)+DATE(1970,1,1)</f>
        <v>42319.461377314816</v>
      </c>
      <c r="L1723" s="11">
        <f t="shared" si="179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796"/>
        <v>0</v>
      </c>
      <c r="R1723" s="7">
        <f t="shared" si="1797"/>
        <v>0</v>
      </c>
      <c r="S1723" t="str">
        <f t="shared" si="1798"/>
        <v>music</v>
      </c>
      <c r="T1723" t="str">
        <f t="shared" si="1799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ref="K1724:L1724" si="1856">(J1724/60/60/24)+DATE(1970,1,1)</f>
        <v>42425.960983796293</v>
      </c>
      <c r="L1724" s="11">
        <f t="shared" si="179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796"/>
        <v>3.4722222222222224E-2</v>
      </c>
      <c r="R1724" s="7">
        <f t="shared" si="1797"/>
        <v>1</v>
      </c>
      <c r="S1724" t="str">
        <f t="shared" si="1798"/>
        <v>music</v>
      </c>
      <c r="T1724" t="str">
        <f t="shared" si="1799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ref="K1725:L1725" si="1857">(J1725/60/60/24)+DATE(1970,1,1)</f>
        <v>42129.82540509259</v>
      </c>
      <c r="L1725" s="11">
        <f t="shared" si="1795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796"/>
        <v>6.5</v>
      </c>
      <c r="R1725" s="7">
        <f t="shared" si="1797"/>
        <v>216.66666666666666</v>
      </c>
      <c r="S1725" t="str">
        <f t="shared" si="1798"/>
        <v>music</v>
      </c>
      <c r="T1725" t="str">
        <f t="shared" si="1799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ref="K1726:L1726" si="1858">(J1726/60/60/24)+DATE(1970,1,1)</f>
        <v>41912.932430555556</v>
      </c>
      <c r="L1726" s="11">
        <f t="shared" si="179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796"/>
        <v>0.58333333333333337</v>
      </c>
      <c r="R1726" s="7">
        <f t="shared" si="1797"/>
        <v>8.75</v>
      </c>
      <c r="S1726" t="str">
        <f t="shared" si="1798"/>
        <v>music</v>
      </c>
      <c r="T1726" t="str">
        <f t="shared" si="1799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ref="K1727:L1727" si="1859">(J1727/60/60/24)+DATE(1970,1,1)</f>
        <v>41845.968159722222</v>
      </c>
      <c r="L1727" s="11">
        <f t="shared" si="179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796"/>
        <v>10.181818181818182</v>
      </c>
      <c r="R1727" s="7">
        <f t="shared" si="1797"/>
        <v>62.222222222222221</v>
      </c>
      <c r="S1727" t="str">
        <f t="shared" si="1798"/>
        <v>music</v>
      </c>
      <c r="T1727" t="str">
        <f t="shared" si="1799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ref="K1728:L1728" si="1860">(J1728/60/60/24)+DATE(1970,1,1)</f>
        <v>41788.919722222221</v>
      </c>
      <c r="L1728" s="11">
        <f t="shared" si="179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796"/>
        <v>33.784615384615385</v>
      </c>
      <c r="R1728" s="7">
        <f t="shared" si="1797"/>
        <v>137.25</v>
      </c>
      <c r="S1728" t="str">
        <f t="shared" si="1798"/>
        <v>music</v>
      </c>
      <c r="T1728" t="str">
        <f t="shared" si="1799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ref="K1729:L1729" si="1861">(J1729/60/60/24)+DATE(1970,1,1)</f>
        <v>42044.927974537044</v>
      </c>
      <c r="L1729" s="11">
        <f t="shared" si="179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796"/>
        <v>3.3333333333333333E-2</v>
      </c>
      <c r="R1729" s="7">
        <f t="shared" si="1797"/>
        <v>1</v>
      </c>
      <c r="S1729" t="str">
        <f t="shared" si="1798"/>
        <v>music</v>
      </c>
      <c r="T1729" t="str">
        <f t="shared" si="1799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ref="K1730:L1730" si="1862">(J1730/60/60/24)+DATE(1970,1,1)</f>
        <v>42268.625856481478</v>
      </c>
      <c r="L1730" s="11">
        <f t="shared" si="179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796"/>
        <v>68.400000000000006</v>
      </c>
      <c r="R1730" s="7">
        <f t="shared" si="1797"/>
        <v>122.14285714285714</v>
      </c>
      <c r="S1730" t="str">
        <f t="shared" si="1798"/>
        <v>music</v>
      </c>
      <c r="T1730" t="str">
        <f t="shared" si="1799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ref="K1731:L1731" si="1863">(J1731/60/60/24)+DATE(1970,1,1)</f>
        <v>42471.052152777775</v>
      </c>
      <c r="L1731" s="11">
        <f t="shared" ref="L1731:L1794" si="1864">(I1731/60/60/24)+DATE(1970,1,1)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865">(E1731/D1731)*100</f>
        <v>0</v>
      </c>
      <c r="R1731" s="7">
        <f t="shared" ref="R1731:R1794" si="1866">IFERROR(E1731/N1731, 0)</f>
        <v>0</v>
      </c>
      <c r="S1731" t="str">
        <f t="shared" ref="S1731:S1794" si="1867">LEFT(P1731, SEARCH("/", P1731,1)-1)</f>
        <v>music</v>
      </c>
      <c r="T1731" t="str">
        <f t="shared" ref="T1731:T1794" si="1868">RIGHT(P1731,LEN(P1731)-SEARCH("/",P1731,SEARCH("/",P1731)))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ref="K1732:L1732" si="1869">(J1732/60/60/24)+DATE(1970,1,1)</f>
        <v>42272.087766203709</v>
      </c>
      <c r="L1732" s="11">
        <f t="shared" si="1864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865"/>
        <v>0</v>
      </c>
      <c r="R1732" s="7">
        <f t="shared" si="1866"/>
        <v>0</v>
      </c>
      <c r="S1732" t="str">
        <f t="shared" si="1867"/>
        <v>music</v>
      </c>
      <c r="T1732" t="str">
        <f t="shared" si="1868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ref="K1733:L1733" si="1870">(J1733/60/60/24)+DATE(1970,1,1)</f>
        <v>42152.906851851847</v>
      </c>
      <c r="L1733" s="11">
        <f t="shared" si="1864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865"/>
        <v>0</v>
      </c>
      <c r="R1733" s="7">
        <f t="shared" si="1866"/>
        <v>0</v>
      </c>
      <c r="S1733" t="str">
        <f t="shared" si="1867"/>
        <v>music</v>
      </c>
      <c r="T1733" t="str">
        <f t="shared" si="1868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ref="K1734:L1734" si="1871">(J1734/60/60/24)+DATE(1970,1,1)</f>
        <v>42325.683807870373</v>
      </c>
      <c r="L1734" s="11">
        <f t="shared" si="1864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865"/>
        <v>0</v>
      </c>
      <c r="R1734" s="7">
        <f t="shared" si="1866"/>
        <v>0</v>
      </c>
      <c r="S1734" t="str">
        <f t="shared" si="1867"/>
        <v>music</v>
      </c>
      <c r="T1734" t="str">
        <f t="shared" si="1868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ref="K1735:L1735" si="1872">(J1735/60/60/24)+DATE(1970,1,1)</f>
        <v>42614.675625000003</v>
      </c>
      <c r="L1735" s="11">
        <f t="shared" si="1864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865"/>
        <v>0</v>
      </c>
      <c r="R1735" s="7">
        <f t="shared" si="1866"/>
        <v>0</v>
      </c>
      <c r="S1735" t="str">
        <f t="shared" si="1867"/>
        <v>music</v>
      </c>
      <c r="T1735" t="str">
        <f t="shared" si="1868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ref="K1736:L1736" si="1873">(J1736/60/60/24)+DATE(1970,1,1)</f>
        <v>42102.036527777775</v>
      </c>
      <c r="L1736" s="11">
        <f t="shared" si="1864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865"/>
        <v>2.2222222222222223E-2</v>
      </c>
      <c r="R1736" s="7">
        <f t="shared" si="1866"/>
        <v>1</v>
      </c>
      <c r="S1736" t="str">
        <f t="shared" si="1867"/>
        <v>music</v>
      </c>
      <c r="T1736" t="str">
        <f t="shared" si="1868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ref="K1737:L1737" si="1874">(J1737/60/60/24)+DATE(1970,1,1)</f>
        <v>42559.814178240747</v>
      </c>
      <c r="L1737" s="11">
        <f t="shared" si="1864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865"/>
        <v>11</v>
      </c>
      <c r="R1737" s="7">
        <f t="shared" si="1866"/>
        <v>55</v>
      </c>
      <c r="S1737" t="str">
        <f t="shared" si="1867"/>
        <v>music</v>
      </c>
      <c r="T1737" t="str">
        <f t="shared" si="1868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ref="K1738:L1738" si="1875">(J1738/60/60/24)+DATE(1970,1,1)</f>
        <v>42286.861493055556</v>
      </c>
      <c r="L1738" s="11">
        <f t="shared" si="1864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865"/>
        <v>0.73333333333333328</v>
      </c>
      <c r="R1738" s="7">
        <f t="shared" si="1866"/>
        <v>22</v>
      </c>
      <c r="S1738" t="str">
        <f t="shared" si="1867"/>
        <v>music</v>
      </c>
      <c r="T1738" t="str">
        <f t="shared" si="1868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ref="K1739:L1739" si="1876">(J1739/60/60/24)+DATE(1970,1,1)</f>
        <v>42175.948981481488</v>
      </c>
      <c r="L1739" s="11">
        <f t="shared" si="1864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865"/>
        <v>21.25</v>
      </c>
      <c r="R1739" s="7">
        <f t="shared" si="1866"/>
        <v>56.666666666666664</v>
      </c>
      <c r="S1739" t="str">
        <f t="shared" si="1867"/>
        <v>music</v>
      </c>
      <c r="T1739" t="str">
        <f t="shared" si="1868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ref="K1740:L1740" si="1877">(J1740/60/60/24)+DATE(1970,1,1)</f>
        <v>41884.874328703707</v>
      </c>
      <c r="L1740" s="11">
        <f t="shared" si="1864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865"/>
        <v>0.4</v>
      </c>
      <c r="R1740" s="7">
        <f t="shared" si="1866"/>
        <v>20</v>
      </c>
      <c r="S1740" t="str">
        <f t="shared" si="1867"/>
        <v>music</v>
      </c>
      <c r="T1740" t="str">
        <f t="shared" si="1868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ref="K1741:L1741" si="1878">(J1741/60/60/24)+DATE(1970,1,1)</f>
        <v>42435.874212962968</v>
      </c>
      <c r="L1741" s="11">
        <f t="shared" si="1864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865"/>
        <v>0.1</v>
      </c>
      <c r="R1741" s="7">
        <f t="shared" si="1866"/>
        <v>1</v>
      </c>
      <c r="S1741" t="str">
        <f t="shared" si="1867"/>
        <v>music</v>
      </c>
      <c r="T1741" t="str">
        <f t="shared" si="1868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ref="K1742:L1742" si="1879">(J1742/60/60/24)+DATE(1970,1,1)</f>
        <v>42171.817384259266</v>
      </c>
      <c r="L1742" s="11">
        <f t="shared" si="1864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865"/>
        <v>0</v>
      </c>
      <c r="R1742" s="7">
        <f t="shared" si="1866"/>
        <v>0</v>
      </c>
      <c r="S1742" t="str">
        <f t="shared" si="1867"/>
        <v>music</v>
      </c>
      <c r="T1742" t="str">
        <f t="shared" si="1868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ref="K1743:L1743" si="1880">(J1743/60/60/24)+DATE(1970,1,1)</f>
        <v>42120.628136574072</v>
      </c>
      <c r="L1743" s="11">
        <f t="shared" si="1864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865"/>
        <v>110.83333333333334</v>
      </c>
      <c r="R1743" s="7">
        <f t="shared" si="1866"/>
        <v>25.576923076923077</v>
      </c>
      <c r="S1743" t="str">
        <f t="shared" si="1867"/>
        <v>photography</v>
      </c>
      <c r="T1743" t="str">
        <f t="shared" si="1868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ref="K1744:L1744" si="1881">(J1744/60/60/24)+DATE(1970,1,1)</f>
        <v>42710.876967592587</v>
      </c>
      <c r="L1744" s="11">
        <f t="shared" si="1864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865"/>
        <v>108.74999999999999</v>
      </c>
      <c r="R1744" s="7">
        <f t="shared" si="1866"/>
        <v>63.970588235294116</v>
      </c>
      <c r="S1744" t="str">
        <f t="shared" si="1867"/>
        <v>photography</v>
      </c>
      <c r="T1744" t="str">
        <f t="shared" si="1868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ref="K1745:L1745" si="1882">(J1745/60/60/24)+DATE(1970,1,1)</f>
        <v>42586.925636574073</v>
      </c>
      <c r="L1745" s="11">
        <f t="shared" si="1864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865"/>
        <v>100.41666666666667</v>
      </c>
      <c r="R1745" s="7">
        <f t="shared" si="1866"/>
        <v>89.925373134328353</v>
      </c>
      <c r="S1745" t="str">
        <f t="shared" si="1867"/>
        <v>photography</v>
      </c>
      <c r="T1745" t="str">
        <f t="shared" si="1868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ref="K1746:L1746" si="1883">(J1746/60/60/24)+DATE(1970,1,1)</f>
        <v>42026.605057870373</v>
      </c>
      <c r="L1746" s="11">
        <f t="shared" si="1864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865"/>
        <v>118.45454545454545</v>
      </c>
      <c r="R1746" s="7">
        <f t="shared" si="1866"/>
        <v>93.071428571428569</v>
      </c>
      <c r="S1746" t="str">
        <f t="shared" si="1867"/>
        <v>photography</v>
      </c>
      <c r="T1746" t="str">
        <f t="shared" si="1868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ref="K1747:L1747" si="1884">(J1747/60/60/24)+DATE(1970,1,1)</f>
        <v>42690.259699074071</v>
      </c>
      <c r="L1747" s="11">
        <f t="shared" si="1864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865"/>
        <v>114.01428571428571</v>
      </c>
      <c r="R1747" s="7">
        <f t="shared" si="1866"/>
        <v>89.674157303370791</v>
      </c>
      <c r="S1747" t="str">
        <f t="shared" si="1867"/>
        <v>photography</v>
      </c>
      <c r="T1747" t="str">
        <f t="shared" si="1868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ref="K1748:L1748" si="1885">(J1748/60/60/24)+DATE(1970,1,1)</f>
        <v>42668.176701388889</v>
      </c>
      <c r="L1748" s="11">
        <f t="shared" si="1864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865"/>
        <v>148.10000000000002</v>
      </c>
      <c r="R1748" s="7">
        <f t="shared" si="1866"/>
        <v>207.61682242990653</v>
      </c>
      <c r="S1748" t="str">
        <f t="shared" si="1867"/>
        <v>photography</v>
      </c>
      <c r="T1748" t="str">
        <f t="shared" si="1868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ref="K1749:L1749" si="1886">(J1749/60/60/24)+DATE(1970,1,1)</f>
        <v>42292.435532407413</v>
      </c>
      <c r="L1749" s="11">
        <f t="shared" si="1864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865"/>
        <v>104.95555555555556</v>
      </c>
      <c r="R1749" s="7">
        <f t="shared" si="1866"/>
        <v>59.408805031446541</v>
      </c>
      <c r="S1749" t="str">
        <f t="shared" si="1867"/>
        <v>photography</v>
      </c>
      <c r="T1749" t="str">
        <f t="shared" si="1868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ref="K1750:L1750" si="1887">(J1750/60/60/24)+DATE(1970,1,1)</f>
        <v>42219.950729166667</v>
      </c>
      <c r="L1750" s="11">
        <f t="shared" si="1864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865"/>
        <v>129.94800000000001</v>
      </c>
      <c r="R1750" s="7">
        <f t="shared" si="1866"/>
        <v>358.97237569060775</v>
      </c>
      <c r="S1750" t="str">
        <f t="shared" si="1867"/>
        <v>photography</v>
      </c>
      <c r="T1750" t="str">
        <f t="shared" si="1868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ref="K1751:L1751" si="1888">(J1751/60/60/24)+DATE(1970,1,1)</f>
        <v>42758.975937499999</v>
      </c>
      <c r="L1751" s="11">
        <f t="shared" si="1864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865"/>
        <v>123.48756218905473</v>
      </c>
      <c r="R1751" s="7">
        <f t="shared" si="1866"/>
        <v>94.736641221374043</v>
      </c>
      <c r="S1751" t="str">
        <f t="shared" si="1867"/>
        <v>photography</v>
      </c>
      <c r="T1751" t="str">
        <f t="shared" si="1868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ref="K1752:L1752" si="1889">(J1752/60/60/24)+DATE(1970,1,1)</f>
        <v>42454.836851851855</v>
      </c>
      <c r="L1752" s="11">
        <f t="shared" si="1864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865"/>
        <v>201.62</v>
      </c>
      <c r="R1752" s="7">
        <f t="shared" si="1866"/>
        <v>80.647999999999996</v>
      </c>
      <c r="S1752" t="str">
        <f t="shared" si="1867"/>
        <v>photography</v>
      </c>
      <c r="T1752" t="str">
        <f t="shared" si="1868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ref="K1753:L1753" si="1890">(J1753/60/60/24)+DATE(1970,1,1)</f>
        <v>42052.7815162037</v>
      </c>
      <c r="L1753" s="11">
        <f t="shared" si="1864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865"/>
        <v>102.89999999999999</v>
      </c>
      <c r="R1753" s="7">
        <f t="shared" si="1866"/>
        <v>168.68852459016392</v>
      </c>
      <c r="S1753" t="str">
        <f t="shared" si="1867"/>
        <v>photography</v>
      </c>
      <c r="T1753" t="str">
        <f t="shared" si="1868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ref="K1754:L1754" si="1891">(J1754/60/60/24)+DATE(1970,1,1)</f>
        <v>42627.253263888888</v>
      </c>
      <c r="L1754" s="11">
        <f t="shared" si="1864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865"/>
        <v>260.16666666666663</v>
      </c>
      <c r="R1754" s="7">
        <f t="shared" si="1866"/>
        <v>34.68888888888889</v>
      </c>
      <c r="S1754" t="str">
        <f t="shared" si="1867"/>
        <v>photography</v>
      </c>
      <c r="T1754" t="str">
        <f t="shared" si="1868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ref="K1755:L1755" si="1892">(J1755/60/60/24)+DATE(1970,1,1)</f>
        <v>42420.74962962963</v>
      </c>
      <c r="L1755" s="11">
        <f t="shared" si="1864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865"/>
        <v>108</v>
      </c>
      <c r="R1755" s="7">
        <f t="shared" si="1866"/>
        <v>462.85714285714283</v>
      </c>
      <c r="S1755" t="str">
        <f t="shared" si="1867"/>
        <v>photography</v>
      </c>
      <c r="T1755" t="str">
        <f t="shared" si="1868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ref="K1756:L1756" si="1893">(J1756/60/60/24)+DATE(1970,1,1)</f>
        <v>42067.876770833333</v>
      </c>
      <c r="L1756" s="11">
        <f t="shared" si="1864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865"/>
        <v>110.52941176470587</v>
      </c>
      <c r="R1756" s="7">
        <f t="shared" si="1866"/>
        <v>104.38888888888889</v>
      </c>
      <c r="S1756" t="str">
        <f t="shared" si="1867"/>
        <v>photography</v>
      </c>
      <c r="T1756" t="str">
        <f t="shared" si="1868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ref="K1757:L1757" si="1894">(J1757/60/60/24)+DATE(1970,1,1)</f>
        <v>42252.788900462961</v>
      </c>
      <c r="L1757" s="11">
        <f t="shared" si="1864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865"/>
        <v>120</v>
      </c>
      <c r="R1757" s="7">
        <f t="shared" si="1866"/>
        <v>7.5</v>
      </c>
      <c r="S1757" t="str">
        <f t="shared" si="1867"/>
        <v>photography</v>
      </c>
      <c r="T1757" t="str">
        <f t="shared" si="1868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ref="K1758:L1758" si="1895">(J1758/60/60/24)+DATE(1970,1,1)</f>
        <v>42571.167465277773</v>
      </c>
      <c r="L1758" s="11">
        <f t="shared" si="1864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865"/>
        <v>102.82909090909091</v>
      </c>
      <c r="R1758" s="7">
        <f t="shared" si="1866"/>
        <v>47.13</v>
      </c>
      <c r="S1758" t="str">
        <f t="shared" si="1867"/>
        <v>photography</v>
      </c>
      <c r="T1758" t="str">
        <f t="shared" si="1868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ref="K1759:L1759" si="1896">(J1759/60/60/24)+DATE(1970,1,1)</f>
        <v>42733.827349537038</v>
      </c>
      <c r="L1759" s="11">
        <f t="shared" si="1864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865"/>
        <v>115.99999999999999</v>
      </c>
      <c r="R1759" s="7">
        <f t="shared" si="1866"/>
        <v>414.28571428571428</v>
      </c>
      <c r="S1759" t="str">
        <f t="shared" si="1867"/>
        <v>photography</v>
      </c>
      <c r="T1759" t="str">
        <f t="shared" si="1868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ref="K1760:L1760" si="1897">(J1760/60/60/24)+DATE(1970,1,1)</f>
        <v>42505.955925925926</v>
      </c>
      <c r="L1760" s="11">
        <f t="shared" si="1864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865"/>
        <v>114.7</v>
      </c>
      <c r="R1760" s="7">
        <f t="shared" si="1866"/>
        <v>42.481481481481481</v>
      </c>
      <c r="S1760" t="str">
        <f t="shared" si="1867"/>
        <v>photography</v>
      </c>
      <c r="T1760" t="str">
        <f t="shared" si="1868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ref="K1761:L1761" si="1898">(J1761/60/60/24)+DATE(1970,1,1)</f>
        <v>42068.829039351855</v>
      </c>
      <c r="L1761" s="11">
        <f t="shared" si="1864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865"/>
        <v>106.60000000000001</v>
      </c>
      <c r="R1761" s="7">
        <f t="shared" si="1866"/>
        <v>108.77551020408163</v>
      </c>
      <c r="S1761" t="str">
        <f t="shared" si="1867"/>
        <v>photography</v>
      </c>
      <c r="T1761" t="str">
        <f t="shared" si="1868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ref="K1762:L1762" si="1899">(J1762/60/60/24)+DATE(1970,1,1)</f>
        <v>42405.67260416667</v>
      </c>
      <c r="L1762" s="11">
        <f t="shared" si="1864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865"/>
        <v>165.44</v>
      </c>
      <c r="R1762" s="7">
        <f t="shared" si="1866"/>
        <v>81.098039215686271</v>
      </c>
      <c r="S1762" t="str">
        <f t="shared" si="1867"/>
        <v>photography</v>
      </c>
      <c r="T1762" t="str">
        <f t="shared" si="1868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ref="K1763:L1763" si="1900">(J1763/60/60/24)+DATE(1970,1,1)</f>
        <v>42209.567824074074</v>
      </c>
      <c r="L1763" s="11">
        <f t="shared" si="1864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865"/>
        <v>155</v>
      </c>
      <c r="R1763" s="7">
        <f t="shared" si="1866"/>
        <v>51.666666666666664</v>
      </c>
      <c r="S1763" t="str">
        <f t="shared" si="1867"/>
        <v>photography</v>
      </c>
      <c r="T1763" t="str">
        <f t="shared" si="1868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ref="K1764:L1764" si="1901">(J1764/60/60/24)+DATE(1970,1,1)</f>
        <v>42410.982002314813</v>
      </c>
      <c r="L1764" s="11">
        <f t="shared" si="1864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865"/>
        <v>885</v>
      </c>
      <c r="R1764" s="7">
        <f t="shared" si="1866"/>
        <v>35.4</v>
      </c>
      <c r="S1764" t="str">
        <f t="shared" si="1867"/>
        <v>photography</v>
      </c>
      <c r="T1764" t="str">
        <f t="shared" si="1868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ref="K1765:L1765" si="1902">(J1765/60/60/24)+DATE(1970,1,1)</f>
        <v>42636.868518518517</v>
      </c>
      <c r="L1765" s="11">
        <f t="shared" si="1864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865"/>
        <v>101.90833333333333</v>
      </c>
      <c r="R1765" s="7">
        <f t="shared" si="1866"/>
        <v>103.63559322033899</v>
      </c>
      <c r="S1765" t="str">
        <f t="shared" si="1867"/>
        <v>photography</v>
      </c>
      <c r="T1765" t="str">
        <f t="shared" si="1868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ref="K1766:L1766" si="1903">(J1766/60/60/24)+DATE(1970,1,1)</f>
        <v>41825.485868055555</v>
      </c>
      <c r="L1766" s="11">
        <f t="shared" si="1864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865"/>
        <v>19.600000000000001</v>
      </c>
      <c r="R1766" s="7">
        <f t="shared" si="1866"/>
        <v>55.282051282051285</v>
      </c>
      <c r="S1766" t="str">
        <f t="shared" si="1867"/>
        <v>photography</v>
      </c>
      <c r="T1766" t="str">
        <f t="shared" si="1868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ref="K1767:L1767" si="1904">(J1767/60/60/24)+DATE(1970,1,1)</f>
        <v>41834.980462962965</v>
      </c>
      <c r="L1767" s="11">
        <f t="shared" si="1864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865"/>
        <v>59.467839999999995</v>
      </c>
      <c r="R1767" s="7">
        <f t="shared" si="1866"/>
        <v>72.16970873786407</v>
      </c>
      <c r="S1767" t="str">
        <f t="shared" si="1867"/>
        <v>photography</v>
      </c>
      <c r="T1767" t="str">
        <f t="shared" si="1868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ref="K1768:L1768" si="1905">(J1768/60/60/24)+DATE(1970,1,1)</f>
        <v>41855.859814814816</v>
      </c>
      <c r="L1768" s="11">
        <f t="shared" si="1864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865"/>
        <v>0</v>
      </c>
      <c r="R1768" s="7">
        <f t="shared" si="1866"/>
        <v>0</v>
      </c>
      <c r="S1768" t="str">
        <f t="shared" si="1867"/>
        <v>photography</v>
      </c>
      <c r="T1768" t="str">
        <f t="shared" si="1868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ref="K1769:L1769" si="1906">(J1769/60/60/24)+DATE(1970,1,1)</f>
        <v>41824.658379629633</v>
      </c>
      <c r="L1769" s="11">
        <f t="shared" si="1864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865"/>
        <v>45.72</v>
      </c>
      <c r="R1769" s="7">
        <f t="shared" si="1866"/>
        <v>58.615384615384613</v>
      </c>
      <c r="S1769" t="str">
        <f t="shared" si="1867"/>
        <v>photography</v>
      </c>
      <c r="T1769" t="str">
        <f t="shared" si="1868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ref="K1770:L1770" si="1907">(J1770/60/60/24)+DATE(1970,1,1)</f>
        <v>41849.560694444444</v>
      </c>
      <c r="L1770" s="11">
        <f t="shared" si="1864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865"/>
        <v>3.74</v>
      </c>
      <c r="R1770" s="7">
        <f t="shared" si="1866"/>
        <v>12.466666666666667</v>
      </c>
      <c r="S1770" t="str">
        <f t="shared" si="1867"/>
        <v>photography</v>
      </c>
      <c r="T1770" t="str">
        <f t="shared" si="1868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ref="K1771:L1771" si="1908">(J1771/60/60/24)+DATE(1970,1,1)</f>
        <v>41987.818969907406</v>
      </c>
      <c r="L1771" s="11">
        <f t="shared" si="1864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865"/>
        <v>2.7025000000000001</v>
      </c>
      <c r="R1771" s="7">
        <f t="shared" si="1866"/>
        <v>49.136363636363633</v>
      </c>
      <c r="S1771" t="str">
        <f t="shared" si="1867"/>
        <v>photography</v>
      </c>
      <c r="T1771" t="str">
        <f t="shared" si="1868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ref="K1772:L1772" si="1909">(J1772/60/60/24)+DATE(1970,1,1)</f>
        <v>41891.780023148152</v>
      </c>
      <c r="L1772" s="11">
        <f t="shared" si="1864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865"/>
        <v>56.51428571428572</v>
      </c>
      <c r="R1772" s="7">
        <f t="shared" si="1866"/>
        <v>150.5</v>
      </c>
      <c r="S1772" t="str">
        <f t="shared" si="1867"/>
        <v>photography</v>
      </c>
      <c r="T1772" t="str">
        <f t="shared" si="1868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ref="K1773:L1773" si="1910">(J1773/60/60/24)+DATE(1970,1,1)</f>
        <v>41905.979629629634</v>
      </c>
      <c r="L1773" s="11">
        <f t="shared" si="1864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865"/>
        <v>21.30952380952381</v>
      </c>
      <c r="R1773" s="7">
        <f t="shared" si="1866"/>
        <v>35.799999999999997</v>
      </c>
      <c r="S1773" t="str">
        <f t="shared" si="1867"/>
        <v>photography</v>
      </c>
      <c r="T1773" t="str">
        <f t="shared" si="1868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ref="K1774:L1774" si="1911">(J1774/60/60/24)+DATE(1970,1,1)</f>
        <v>41766.718009259261</v>
      </c>
      <c r="L1774" s="11">
        <f t="shared" si="1864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865"/>
        <v>15.6</v>
      </c>
      <c r="R1774" s="7">
        <f t="shared" si="1866"/>
        <v>45.157894736842103</v>
      </c>
      <c r="S1774" t="str">
        <f t="shared" si="1867"/>
        <v>photography</v>
      </c>
      <c r="T1774" t="str">
        <f t="shared" si="1868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ref="K1775:L1775" si="1912">(J1775/60/60/24)+DATE(1970,1,1)</f>
        <v>41978.760393518518</v>
      </c>
      <c r="L1775" s="11">
        <f t="shared" si="1864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865"/>
        <v>6.2566666666666677</v>
      </c>
      <c r="R1775" s="7">
        <f t="shared" si="1866"/>
        <v>98.78947368421052</v>
      </c>
      <c r="S1775" t="str">
        <f t="shared" si="1867"/>
        <v>photography</v>
      </c>
      <c r="T1775" t="str">
        <f t="shared" si="1868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ref="K1776:L1776" si="1913">(J1776/60/60/24)+DATE(1970,1,1)</f>
        <v>41930.218657407408</v>
      </c>
      <c r="L1776" s="11">
        <f t="shared" si="1864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865"/>
        <v>45.92</v>
      </c>
      <c r="R1776" s="7">
        <f t="shared" si="1866"/>
        <v>88.307692307692307</v>
      </c>
      <c r="S1776" t="str">
        <f t="shared" si="1867"/>
        <v>photography</v>
      </c>
      <c r="T1776" t="str">
        <f t="shared" si="1868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ref="K1777:L1777" si="1914">(J1777/60/60/24)+DATE(1970,1,1)</f>
        <v>41891.976388888892</v>
      </c>
      <c r="L1777" s="11">
        <f t="shared" si="1864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865"/>
        <v>65.101538461538468</v>
      </c>
      <c r="R1777" s="7">
        <f t="shared" si="1866"/>
        <v>170.62903225806451</v>
      </c>
      <c r="S1777" t="str">
        <f t="shared" si="1867"/>
        <v>photography</v>
      </c>
      <c r="T1777" t="str">
        <f t="shared" si="1868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ref="K1778:L1778" si="1915">(J1778/60/60/24)+DATE(1970,1,1)</f>
        <v>41905.95684027778</v>
      </c>
      <c r="L1778" s="11">
        <f t="shared" si="1864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865"/>
        <v>6.7</v>
      </c>
      <c r="R1778" s="7">
        <f t="shared" si="1866"/>
        <v>83.75</v>
      </c>
      <c r="S1778" t="str">
        <f t="shared" si="1867"/>
        <v>photography</v>
      </c>
      <c r="T1778" t="str">
        <f t="shared" si="1868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ref="K1779:L1779" si="1916">(J1779/60/60/24)+DATE(1970,1,1)</f>
        <v>42025.357094907406</v>
      </c>
      <c r="L1779" s="11">
        <f t="shared" si="1864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865"/>
        <v>13.5625</v>
      </c>
      <c r="R1779" s="7">
        <f t="shared" si="1866"/>
        <v>65.099999999999994</v>
      </c>
      <c r="S1779" t="str">
        <f t="shared" si="1867"/>
        <v>photography</v>
      </c>
      <c r="T1779" t="str">
        <f t="shared" si="1868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ref="K1780:L1780" si="1917">(J1780/60/60/24)+DATE(1970,1,1)</f>
        <v>42045.86336805555</v>
      </c>
      <c r="L1780" s="11">
        <f t="shared" si="1864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865"/>
        <v>1.9900000000000002</v>
      </c>
      <c r="R1780" s="7">
        <f t="shared" si="1866"/>
        <v>66.333333333333329</v>
      </c>
      <c r="S1780" t="str">
        <f t="shared" si="1867"/>
        <v>photography</v>
      </c>
      <c r="T1780" t="str">
        <f t="shared" si="1868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ref="K1781:L1781" si="1918">(J1781/60/60/24)+DATE(1970,1,1)</f>
        <v>42585.691898148143</v>
      </c>
      <c r="L1781" s="11">
        <f t="shared" si="1864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865"/>
        <v>36.236363636363642</v>
      </c>
      <c r="R1781" s="7">
        <f t="shared" si="1866"/>
        <v>104.89473684210526</v>
      </c>
      <c r="S1781" t="str">
        <f t="shared" si="1867"/>
        <v>photography</v>
      </c>
      <c r="T1781" t="str">
        <f t="shared" si="1868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ref="K1782:L1782" si="1919">(J1782/60/60/24)+DATE(1970,1,1)</f>
        <v>42493.600810185191</v>
      </c>
      <c r="L1782" s="11">
        <f t="shared" si="1864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865"/>
        <v>39.743333333333339</v>
      </c>
      <c r="R1782" s="7">
        <f t="shared" si="1866"/>
        <v>78.440789473684205</v>
      </c>
      <c r="S1782" t="str">
        <f t="shared" si="1867"/>
        <v>photography</v>
      </c>
      <c r="T1782" t="str">
        <f t="shared" si="1868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ref="K1783:L1783" si="1920">(J1783/60/60/24)+DATE(1970,1,1)</f>
        <v>42597.617418981477</v>
      </c>
      <c r="L1783" s="11">
        <f t="shared" si="1864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865"/>
        <v>25.763636363636365</v>
      </c>
      <c r="R1783" s="7">
        <f t="shared" si="1866"/>
        <v>59.041666666666664</v>
      </c>
      <c r="S1783" t="str">
        <f t="shared" si="1867"/>
        <v>photography</v>
      </c>
      <c r="T1783" t="str">
        <f t="shared" si="1868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ref="K1784:L1784" si="1921">(J1784/60/60/24)+DATE(1970,1,1)</f>
        <v>42388.575104166666</v>
      </c>
      <c r="L1784" s="11">
        <f t="shared" si="1864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865"/>
        <v>15.491428571428573</v>
      </c>
      <c r="R1784" s="7">
        <f t="shared" si="1866"/>
        <v>71.34210526315789</v>
      </c>
      <c r="S1784" t="str">
        <f t="shared" si="1867"/>
        <v>photography</v>
      </c>
      <c r="T1784" t="str">
        <f t="shared" si="1868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ref="K1785:L1785" si="1922">(J1785/60/60/24)+DATE(1970,1,1)</f>
        <v>42115.949976851851</v>
      </c>
      <c r="L1785" s="11">
        <f t="shared" si="1864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865"/>
        <v>23.692499999999999</v>
      </c>
      <c r="R1785" s="7">
        <f t="shared" si="1866"/>
        <v>51.227027027027027</v>
      </c>
      <c r="S1785" t="str">
        <f t="shared" si="1867"/>
        <v>photography</v>
      </c>
      <c r="T1785" t="str">
        <f t="shared" si="1868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ref="K1786:L1786" si="1923">(J1786/60/60/24)+DATE(1970,1,1)</f>
        <v>42003.655555555553</v>
      </c>
      <c r="L1786" s="11">
        <f t="shared" si="1864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865"/>
        <v>39.76</v>
      </c>
      <c r="R1786" s="7">
        <f t="shared" si="1866"/>
        <v>60.242424242424242</v>
      </c>
      <c r="S1786" t="str">
        <f t="shared" si="1867"/>
        <v>photography</v>
      </c>
      <c r="T1786" t="str">
        <f t="shared" si="1868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ref="K1787:L1787" si="1924">(J1787/60/60/24)+DATE(1970,1,1)</f>
        <v>41897.134895833333</v>
      </c>
      <c r="L1787" s="11">
        <f t="shared" si="1864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865"/>
        <v>20.220833333333331</v>
      </c>
      <c r="R1787" s="7">
        <f t="shared" si="1866"/>
        <v>44.935185185185183</v>
      </c>
      <c r="S1787" t="str">
        <f t="shared" si="1867"/>
        <v>photography</v>
      </c>
      <c r="T1787" t="str">
        <f t="shared" si="1868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ref="K1788:L1788" si="1925">(J1788/60/60/24)+DATE(1970,1,1)</f>
        <v>41958.550659722227</v>
      </c>
      <c r="L1788" s="11">
        <f t="shared" si="1864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865"/>
        <v>47.631578947368418</v>
      </c>
      <c r="R1788" s="7">
        <f t="shared" si="1866"/>
        <v>31.206896551724139</v>
      </c>
      <c r="S1788" t="str">
        <f t="shared" si="1867"/>
        <v>photography</v>
      </c>
      <c r="T1788" t="str">
        <f t="shared" si="1868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ref="K1789:L1789" si="1926">(J1789/60/60/24)+DATE(1970,1,1)</f>
        <v>42068.65552083333</v>
      </c>
      <c r="L1789" s="11">
        <f t="shared" si="1864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865"/>
        <v>15.329999999999998</v>
      </c>
      <c r="R1789" s="7">
        <f t="shared" si="1866"/>
        <v>63.875</v>
      </c>
      <c r="S1789" t="str">
        <f t="shared" si="1867"/>
        <v>photography</v>
      </c>
      <c r="T1789" t="str">
        <f t="shared" si="1868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ref="K1790:L1790" si="1927">(J1790/60/60/24)+DATE(1970,1,1)</f>
        <v>41913.94840277778</v>
      </c>
      <c r="L1790" s="11">
        <f t="shared" si="1864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865"/>
        <v>1.3818181818181818</v>
      </c>
      <c r="R1790" s="7">
        <f t="shared" si="1866"/>
        <v>19</v>
      </c>
      <c r="S1790" t="str">
        <f t="shared" si="1867"/>
        <v>photography</v>
      </c>
      <c r="T1790" t="str">
        <f t="shared" si="1868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ref="K1791:L1791" si="1928">(J1791/60/60/24)+DATE(1970,1,1)</f>
        <v>41956.250034722223</v>
      </c>
      <c r="L1791" s="11">
        <f t="shared" si="1864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865"/>
        <v>0.5</v>
      </c>
      <c r="R1791" s="7">
        <f t="shared" si="1866"/>
        <v>10</v>
      </c>
      <c r="S1791" t="str">
        <f t="shared" si="1867"/>
        <v>photography</v>
      </c>
      <c r="T1791" t="str">
        <f t="shared" si="1868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ref="K1792:L1792" si="1929">(J1792/60/60/24)+DATE(1970,1,1)</f>
        <v>42010.674513888895</v>
      </c>
      <c r="L1792" s="11">
        <f t="shared" si="1864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865"/>
        <v>4.957575757575758</v>
      </c>
      <c r="R1792" s="7">
        <f t="shared" si="1866"/>
        <v>109.06666666666666</v>
      </c>
      <c r="S1792" t="str">
        <f t="shared" si="1867"/>
        <v>photography</v>
      </c>
      <c r="T1792" t="str">
        <f t="shared" si="1868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ref="K1793:L1793" si="1930">(J1793/60/60/24)+DATE(1970,1,1)</f>
        <v>41973.740335648152</v>
      </c>
      <c r="L1793" s="11">
        <f t="shared" si="1864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865"/>
        <v>3.5666666666666664</v>
      </c>
      <c r="R1793" s="7">
        <f t="shared" si="1866"/>
        <v>26.75</v>
      </c>
      <c r="S1793" t="str">
        <f t="shared" si="1867"/>
        <v>photography</v>
      </c>
      <c r="T1793" t="str">
        <f t="shared" si="1868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ref="K1794:L1794" si="1931">(J1794/60/60/24)+DATE(1970,1,1)</f>
        <v>42189.031041666662</v>
      </c>
      <c r="L1794" s="11">
        <f t="shared" si="1864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865"/>
        <v>61.124000000000002</v>
      </c>
      <c r="R1794" s="7">
        <f t="shared" si="1866"/>
        <v>109.93525179856115</v>
      </c>
      <c r="S1794" t="str">
        <f t="shared" si="1867"/>
        <v>photography</v>
      </c>
      <c r="T1794" t="str">
        <f t="shared" si="1868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ref="K1795:L1795" si="1932">(J1795/60/60/24)+DATE(1970,1,1)</f>
        <v>41940.89166666667</v>
      </c>
      <c r="L1795" s="11">
        <f t="shared" ref="L1795:L1858" si="1933">(I1795/60/60/24)+DATE(1970,1,1)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934">(E1795/D1795)*100</f>
        <v>1.3333333333333335</v>
      </c>
      <c r="R1795" s="7">
        <f t="shared" ref="R1795:R1858" si="1935">IFERROR(E1795/N1795, 0)</f>
        <v>20</v>
      </c>
      <c r="S1795" t="str">
        <f t="shared" ref="S1795:S1858" si="1936">LEFT(P1795, SEARCH("/", P1795,1)-1)</f>
        <v>photography</v>
      </c>
      <c r="T1795" t="str">
        <f t="shared" ref="T1795:T1858" si="1937">RIGHT(P1795,LEN(P1795)-SEARCH("/",P1795,SEARCH("/",P1795)))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ref="K1796:L1796" si="1938">(J1796/60/60/24)+DATE(1970,1,1)</f>
        <v>42011.551180555558</v>
      </c>
      <c r="L1796" s="11">
        <f t="shared" si="193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934"/>
        <v>11.077777777777778</v>
      </c>
      <c r="R1796" s="7">
        <f t="shared" si="1935"/>
        <v>55.388888888888886</v>
      </c>
      <c r="S1796" t="str">
        <f t="shared" si="1936"/>
        <v>photography</v>
      </c>
      <c r="T1796" t="str">
        <f t="shared" si="1937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ref="K1797:L1797" si="1939">(J1797/60/60/24)+DATE(1970,1,1)</f>
        <v>42628.288668981477</v>
      </c>
      <c r="L1797" s="11">
        <f t="shared" si="193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934"/>
        <v>38.735714285714288</v>
      </c>
      <c r="R1797" s="7">
        <f t="shared" si="1935"/>
        <v>133.90123456790124</v>
      </c>
      <c r="S1797" t="str">
        <f t="shared" si="1936"/>
        <v>photography</v>
      </c>
      <c r="T1797" t="str">
        <f t="shared" si="1937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ref="K1798:L1798" si="1940">(J1798/60/60/24)+DATE(1970,1,1)</f>
        <v>42515.439421296294</v>
      </c>
      <c r="L1798" s="11">
        <f t="shared" si="193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934"/>
        <v>22.05263157894737</v>
      </c>
      <c r="R1798" s="7">
        <f t="shared" si="1935"/>
        <v>48.720930232558139</v>
      </c>
      <c r="S1798" t="str">
        <f t="shared" si="1936"/>
        <v>photography</v>
      </c>
      <c r="T1798" t="str">
        <f t="shared" si="1937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ref="K1799:L1799" si="1941">(J1799/60/60/24)+DATE(1970,1,1)</f>
        <v>42689.56931712963</v>
      </c>
      <c r="L1799" s="11">
        <f t="shared" si="193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934"/>
        <v>67.55</v>
      </c>
      <c r="R1799" s="7">
        <f t="shared" si="1935"/>
        <v>48.25</v>
      </c>
      <c r="S1799" t="str">
        <f t="shared" si="1936"/>
        <v>photography</v>
      </c>
      <c r="T1799" t="str">
        <f t="shared" si="1937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ref="K1800:L1800" si="1942">(J1800/60/60/24)+DATE(1970,1,1)</f>
        <v>42344.32677083333</v>
      </c>
      <c r="L1800" s="11">
        <f t="shared" si="193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934"/>
        <v>13.637499999999999</v>
      </c>
      <c r="R1800" s="7">
        <f t="shared" si="1935"/>
        <v>58.972972972972975</v>
      </c>
      <c r="S1800" t="str">
        <f t="shared" si="1936"/>
        <v>photography</v>
      </c>
      <c r="T1800" t="str">
        <f t="shared" si="1937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ref="K1801:L1801" si="1943">(J1801/60/60/24)+DATE(1970,1,1)</f>
        <v>41934.842685185184</v>
      </c>
      <c r="L1801" s="11">
        <f t="shared" si="193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934"/>
        <v>1.7457500000000001</v>
      </c>
      <c r="R1801" s="7">
        <f t="shared" si="1935"/>
        <v>11.638333333333334</v>
      </c>
      <c r="S1801" t="str">
        <f t="shared" si="1936"/>
        <v>photography</v>
      </c>
      <c r="T1801" t="str">
        <f t="shared" si="1937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ref="K1802:L1802" si="1944">(J1802/60/60/24)+DATE(1970,1,1)</f>
        <v>42623.606134259258</v>
      </c>
      <c r="L1802" s="11">
        <f t="shared" si="193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934"/>
        <v>20.44963251188932</v>
      </c>
      <c r="R1802" s="7">
        <f t="shared" si="1935"/>
        <v>83.716814159292042</v>
      </c>
      <c r="S1802" t="str">
        <f t="shared" si="1936"/>
        <v>photography</v>
      </c>
      <c r="T1802" t="str">
        <f t="shared" si="1937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ref="K1803:L1803" si="1945">(J1803/60/60/24)+DATE(1970,1,1)</f>
        <v>42321.660509259258</v>
      </c>
      <c r="L1803" s="11">
        <f t="shared" si="193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934"/>
        <v>13.852941176470587</v>
      </c>
      <c r="R1803" s="7">
        <f t="shared" si="1935"/>
        <v>63.648648648648646</v>
      </c>
      <c r="S1803" t="str">
        <f t="shared" si="1936"/>
        <v>photography</v>
      </c>
      <c r="T1803" t="str">
        <f t="shared" si="1937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ref="K1804:L1804" si="1946">(J1804/60/60/24)+DATE(1970,1,1)</f>
        <v>42159.47256944445</v>
      </c>
      <c r="L1804" s="11">
        <f t="shared" si="193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934"/>
        <v>48.485714285714288</v>
      </c>
      <c r="R1804" s="7">
        <f t="shared" si="1935"/>
        <v>94.277777777777771</v>
      </c>
      <c r="S1804" t="str">
        <f t="shared" si="1936"/>
        <v>photography</v>
      </c>
      <c r="T1804" t="str">
        <f t="shared" si="1937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ref="K1805:L1805" si="1947">(J1805/60/60/24)+DATE(1970,1,1)</f>
        <v>42018.071550925932</v>
      </c>
      <c r="L1805" s="11">
        <f t="shared" si="193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934"/>
        <v>30.8</v>
      </c>
      <c r="R1805" s="7">
        <f t="shared" si="1935"/>
        <v>71.86666666666666</v>
      </c>
      <c r="S1805" t="str">
        <f t="shared" si="1936"/>
        <v>photography</v>
      </c>
      <c r="T1805" t="str">
        <f t="shared" si="1937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ref="K1806:L1806" si="1948">(J1806/60/60/24)+DATE(1970,1,1)</f>
        <v>42282.678287037037</v>
      </c>
      <c r="L1806" s="11">
        <f t="shared" si="193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934"/>
        <v>35.174193548387095</v>
      </c>
      <c r="R1806" s="7">
        <f t="shared" si="1935"/>
        <v>104.84615384615384</v>
      </c>
      <c r="S1806" t="str">
        <f t="shared" si="1936"/>
        <v>photography</v>
      </c>
      <c r="T1806" t="str">
        <f t="shared" si="1937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ref="K1807:L1807" si="1949">(J1807/60/60/24)+DATE(1970,1,1)</f>
        <v>42247.803912037038</v>
      </c>
      <c r="L1807" s="11">
        <f t="shared" si="1933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934"/>
        <v>36.404444444444444</v>
      </c>
      <c r="R1807" s="7">
        <f t="shared" si="1935"/>
        <v>67.139344262295083</v>
      </c>
      <c r="S1807" t="str">
        <f t="shared" si="1936"/>
        <v>photography</v>
      </c>
      <c r="T1807" t="str">
        <f t="shared" si="1937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ref="K1808:L1808" si="1950">(J1808/60/60/24)+DATE(1970,1,1)</f>
        <v>41877.638298611113</v>
      </c>
      <c r="L1808" s="11">
        <f t="shared" si="193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934"/>
        <v>2.9550000000000001</v>
      </c>
      <c r="R1808" s="7">
        <f t="shared" si="1935"/>
        <v>73.875</v>
      </c>
      <c r="S1808" t="str">
        <f t="shared" si="1936"/>
        <v>photography</v>
      </c>
      <c r="T1808" t="str">
        <f t="shared" si="1937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ref="K1809:L1809" si="1951">(J1809/60/60/24)+DATE(1970,1,1)</f>
        <v>41880.068437499998</v>
      </c>
      <c r="L1809" s="11">
        <f t="shared" si="193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934"/>
        <v>11.06</v>
      </c>
      <c r="R1809" s="7">
        <f t="shared" si="1935"/>
        <v>69.125</v>
      </c>
      <c r="S1809" t="str">
        <f t="shared" si="1936"/>
        <v>photography</v>
      </c>
      <c r="T1809" t="str">
        <f t="shared" si="1937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ref="K1810:L1810" si="1952">(J1810/60/60/24)+DATE(1970,1,1)</f>
        <v>42742.680902777778</v>
      </c>
      <c r="L1810" s="11">
        <f t="shared" si="193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934"/>
        <v>41.407142857142858</v>
      </c>
      <c r="R1810" s="7">
        <f t="shared" si="1935"/>
        <v>120.77083333333333</v>
      </c>
      <c r="S1810" t="str">
        <f t="shared" si="1936"/>
        <v>photography</v>
      </c>
      <c r="T1810" t="str">
        <f t="shared" si="1937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ref="K1811:L1811" si="1953">(J1811/60/60/24)+DATE(1970,1,1)</f>
        <v>42029.907858796301</v>
      </c>
      <c r="L1811" s="11">
        <f t="shared" si="193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934"/>
        <v>10.857142857142858</v>
      </c>
      <c r="R1811" s="7">
        <f t="shared" si="1935"/>
        <v>42.222222222222221</v>
      </c>
      <c r="S1811" t="str">
        <f t="shared" si="1936"/>
        <v>photography</v>
      </c>
      <c r="T1811" t="str">
        <f t="shared" si="1937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ref="K1812:L1812" si="1954">(J1812/60/60/24)+DATE(1970,1,1)</f>
        <v>41860.91002314815</v>
      </c>
      <c r="L1812" s="11">
        <f t="shared" si="193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934"/>
        <v>3.3333333333333335</v>
      </c>
      <c r="R1812" s="7">
        <f t="shared" si="1935"/>
        <v>7.5</v>
      </c>
      <c r="S1812" t="str">
        <f t="shared" si="1936"/>
        <v>photography</v>
      </c>
      <c r="T1812" t="str">
        <f t="shared" si="1937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ref="K1813:L1813" si="1955">(J1813/60/60/24)+DATE(1970,1,1)</f>
        <v>41876.433680555558</v>
      </c>
      <c r="L1813" s="11">
        <f t="shared" si="193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934"/>
        <v>7.407407407407407E-2</v>
      </c>
      <c r="R1813" s="7">
        <f t="shared" si="1935"/>
        <v>1.5384615384615385</v>
      </c>
      <c r="S1813" t="str">
        <f t="shared" si="1936"/>
        <v>photography</v>
      </c>
      <c r="T1813" t="str">
        <f t="shared" si="1937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ref="K1814:L1814" si="1956">(J1814/60/60/24)+DATE(1970,1,1)</f>
        <v>42524.318703703699</v>
      </c>
      <c r="L1814" s="11">
        <f t="shared" si="193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934"/>
        <v>13.307692307692307</v>
      </c>
      <c r="R1814" s="7">
        <f t="shared" si="1935"/>
        <v>37.608695652173914</v>
      </c>
      <c r="S1814" t="str">
        <f t="shared" si="1936"/>
        <v>photography</v>
      </c>
      <c r="T1814" t="str">
        <f t="shared" si="1937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ref="K1815:L1815" si="1957">(J1815/60/60/24)+DATE(1970,1,1)</f>
        <v>41829.889027777775</v>
      </c>
      <c r="L1815" s="11">
        <f t="shared" si="193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934"/>
        <v>0</v>
      </c>
      <c r="R1815" s="7">
        <f t="shared" si="1935"/>
        <v>0</v>
      </c>
      <c r="S1815" t="str">
        <f t="shared" si="1936"/>
        <v>photography</v>
      </c>
      <c r="T1815" t="str">
        <f t="shared" si="1937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ref="K1816:L1816" si="1958">(J1816/60/60/24)+DATE(1970,1,1)</f>
        <v>42033.314074074078</v>
      </c>
      <c r="L1816" s="11">
        <f t="shared" si="193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934"/>
        <v>49.183333333333337</v>
      </c>
      <c r="R1816" s="7">
        <f t="shared" si="1935"/>
        <v>42.157142857142858</v>
      </c>
      <c r="S1816" t="str">
        <f t="shared" si="1936"/>
        <v>photography</v>
      </c>
      <c r="T1816" t="str">
        <f t="shared" si="1937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ref="K1817:L1817" si="1959">(J1817/60/60/24)+DATE(1970,1,1)</f>
        <v>42172.906678240746</v>
      </c>
      <c r="L1817" s="11">
        <f t="shared" si="193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934"/>
        <v>0</v>
      </c>
      <c r="R1817" s="7">
        <f t="shared" si="1935"/>
        <v>0</v>
      </c>
      <c r="S1817" t="str">
        <f t="shared" si="1936"/>
        <v>photography</v>
      </c>
      <c r="T1817" t="str">
        <f t="shared" si="1937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ref="K1818:L1818" si="1960">(J1818/60/60/24)+DATE(1970,1,1)</f>
        <v>42548.876192129625</v>
      </c>
      <c r="L1818" s="11">
        <f t="shared" si="193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934"/>
        <v>2.036</v>
      </c>
      <c r="R1818" s="7">
        <f t="shared" si="1935"/>
        <v>84.833333333333329</v>
      </c>
      <c r="S1818" t="str">
        <f t="shared" si="1936"/>
        <v>photography</v>
      </c>
      <c r="T1818" t="str">
        <f t="shared" si="1937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ref="K1819:L1819" si="1961">(J1819/60/60/24)+DATE(1970,1,1)</f>
        <v>42705.662118055552</v>
      </c>
      <c r="L1819" s="11">
        <f t="shared" si="193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934"/>
        <v>52.327777777777776</v>
      </c>
      <c r="R1819" s="7">
        <f t="shared" si="1935"/>
        <v>94.19</v>
      </c>
      <c r="S1819" t="str">
        <f t="shared" si="1936"/>
        <v>photography</v>
      </c>
      <c r="T1819" t="str">
        <f t="shared" si="1937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ref="K1820:L1820" si="1962">(J1820/60/60/24)+DATE(1970,1,1)</f>
        <v>42067.234375</v>
      </c>
      <c r="L1820" s="11">
        <f t="shared" si="193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934"/>
        <v>0</v>
      </c>
      <c r="R1820" s="7">
        <f t="shared" si="1935"/>
        <v>0</v>
      </c>
      <c r="S1820" t="str">
        <f t="shared" si="1936"/>
        <v>photography</v>
      </c>
      <c r="T1820" t="str">
        <f t="shared" si="1937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ref="K1821:L1821" si="1963">(J1821/60/60/24)+DATE(1970,1,1)</f>
        <v>41820.752268518518</v>
      </c>
      <c r="L1821" s="11">
        <f t="shared" si="193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934"/>
        <v>2.083333333333333</v>
      </c>
      <c r="R1821" s="7">
        <f t="shared" si="1935"/>
        <v>6.25</v>
      </c>
      <c r="S1821" t="str">
        <f t="shared" si="1936"/>
        <v>photography</v>
      </c>
      <c r="T1821" t="str">
        <f t="shared" si="1937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ref="K1822:L1822" si="1964">(J1822/60/60/24)+DATE(1970,1,1)</f>
        <v>42065.084375000006</v>
      </c>
      <c r="L1822" s="11">
        <f t="shared" si="193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934"/>
        <v>6.565384615384616</v>
      </c>
      <c r="R1822" s="7">
        <f t="shared" si="1935"/>
        <v>213.375</v>
      </c>
      <c r="S1822" t="str">
        <f t="shared" si="1936"/>
        <v>photography</v>
      </c>
      <c r="T1822" t="str">
        <f t="shared" si="1937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ref="K1823:L1823" si="1965">(J1823/60/60/24)+DATE(1970,1,1)</f>
        <v>40926.319062499999</v>
      </c>
      <c r="L1823" s="11">
        <f t="shared" si="193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934"/>
        <v>134.88999999999999</v>
      </c>
      <c r="R1823" s="7">
        <f t="shared" si="1935"/>
        <v>59.162280701754383</v>
      </c>
      <c r="S1823" t="str">
        <f t="shared" si="1936"/>
        <v>music</v>
      </c>
      <c r="T1823" t="str">
        <f t="shared" si="1937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ref="K1824:L1824" si="1966">(J1824/60/60/24)+DATE(1970,1,1)</f>
        <v>41634.797013888885</v>
      </c>
      <c r="L1824" s="11">
        <f t="shared" si="193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934"/>
        <v>100</v>
      </c>
      <c r="R1824" s="7">
        <f t="shared" si="1935"/>
        <v>27.272727272727273</v>
      </c>
      <c r="S1824" t="str">
        <f t="shared" si="1936"/>
        <v>music</v>
      </c>
      <c r="T1824" t="str">
        <f t="shared" si="1937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ref="K1825:L1825" si="1967">(J1825/60/60/24)+DATE(1970,1,1)</f>
        <v>41176.684907407405</v>
      </c>
      <c r="L1825" s="11">
        <f t="shared" si="193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934"/>
        <v>115.85714285714286</v>
      </c>
      <c r="R1825" s="7">
        <f t="shared" si="1935"/>
        <v>24.575757575757574</v>
      </c>
      <c r="S1825" t="str">
        <f t="shared" si="1936"/>
        <v>music</v>
      </c>
      <c r="T1825" t="str">
        <f t="shared" si="1937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ref="K1826:L1826" si="1968">(J1826/60/60/24)+DATE(1970,1,1)</f>
        <v>41626.916284722225</v>
      </c>
      <c r="L1826" s="11">
        <f t="shared" si="193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934"/>
        <v>100.06666666666666</v>
      </c>
      <c r="R1826" s="7">
        <f t="shared" si="1935"/>
        <v>75.05</v>
      </c>
      <c r="S1826" t="str">
        <f t="shared" si="1936"/>
        <v>music</v>
      </c>
      <c r="T1826" t="str">
        <f t="shared" si="1937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ref="K1827:L1827" si="1969">(J1827/60/60/24)+DATE(1970,1,1)</f>
        <v>41443.83452546296</v>
      </c>
      <c r="L1827" s="11">
        <f t="shared" si="193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934"/>
        <v>105.05</v>
      </c>
      <c r="R1827" s="7">
        <f t="shared" si="1935"/>
        <v>42.02</v>
      </c>
      <c r="S1827" t="str">
        <f t="shared" si="1936"/>
        <v>music</v>
      </c>
      <c r="T1827" t="str">
        <f t="shared" si="1937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ref="K1828:L1828" si="1970">(J1828/60/60/24)+DATE(1970,1,1)</f>
        <v>41657.923807870371</v>
      </c>
      <c r="L1828" s="11">
        <f t="shared" si="193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934"/>
        <v>101</v>
      </c>
      <c r="R1828" s="7">
        <f t="shared" si="1935"/>
        <v>53.157894736842103</v>
      </c>
      <c r="S1828" t="str">
        <f t="shared" si="1936"/>
        <v>music</v>
      </c>
      <c r="T1828" t="str">
        <f t="shared" si="1937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ref="K1829:L1829" si="1971">(J1829/60/60/24)+DATE(1970,1,1)</f>
        <v>40555.325937499998</v>
      </c>
      <c r="L1829" s="11">
        <f t="shared" si="193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934"/>
        <v>100.66250000000001</v>
      </c>
      <c r="R1829" s="7">
        <f t="shared" si="1935"/>
        <v>83.885416666666671</v>
      </c>
      <c r="S1829" t="str">
        <f t="shared" si="1936"/>
        <v>music</v>
      </c>
      <c r="T1829" t="str">
        <f t="shared" si="1937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ref="K1830:L1830" si="1972">(J1830/60/60/24)+DATE(1970,1,1)</f>
        <v>41736.899652777778</v>
      </c>
      <c r="L1830" s="11">
        <f t="shared" si="193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934"/>
        <v>100.16000000000001</v>
      </c>
      <c r="R1830" s="7">
        <f t="shared" si="1935"/>
        <v>417.33333333333331</v>
      </c>
      <c r="S1830" t="str">
        <f t="shared" si="1936"/>
        <v>music</v>
      </c>
      <c r="T1830" t="str">
        <f t="shared" si="1937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ref="K1831:L1831" si="1973">(J1831/60/60/24)+DATE(1970,1,1)</f>
        <v>40516.087627314817</v>
      </c>
      <c r="L1831" s="11">
        <f t="shared" si="193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934"/>
        <v>166.68333333333334</v>
      </c>
      <c r="R1831" s="7">
        <f t="shared" si="1935"/>
        <v>75.765151515151516</v>
      </c>
      <c r="S1831" t="str">
        <f t="shared" si="1936"/>
        <v>music</v>
      </c>
      <c r="T1831" t="str">
        <f t="shared" si="1937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ref="K1832:L1832" si="1974">(J1832/60/60/24)+DATE(1970,1,1)</f>
        <v>41664.684108796297</v>
      </c>
      <c r="L1832" s="11">
        <f t="shared" si="193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934"/>
        <v>101.53333333333335</v>
      </c>
      <c r="R1832" s="7">
        <f t="shared" si="1935"/>
        <v>67.389380530973455</v>
      </c>
      <c r="S1832" t="str">
        <f t="shared" si="1936"/>
        <v>music</v>
      </c>
      <c r="T1832" t="str">
        <f t="shared" si="1937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ref="K1833:L1833" si="1975">(J1833/60/60/24)+DATE(1970,1,1)</f>
        <v>41026.996099537035</v>
      </c>
      <c r="L1833" s="11">
        <f t="shared" si="193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934"/>
        <v>103</v>
      </c>
      <c r="R1833" s="7">
        <f t="shared" si="1935"/>
        <v>73.571428571428569</v>
      </c>
      <c r="S1833" t="str">
        <f t="shared" si="1936"/>
        <v>music</v>
      </c>
      <c r="T1833" t="str">
        <f t="shared" si="1937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ref="K1834:L1834" si="1976">(J1834/60/60/24)+DATE(1970,1,1)</f>
        <v>40576.539664351854</v>
      </c>
      <c r="L1834" s="11">
        <f t="shared" si="193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934"/>
        <v>142.85714285714286</v>
      </c>
      <c r="R1834" s="7">
        <f t="shared" si="1935"/>
        <v>25</v>
      </c>
      <c r="S1834" t="str">
        <f t="shared" si="1936"/>
        <v>music</v>
      </c>
      <c r="T1834" t="str">
        <f t="shared" si="1937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ref="K1835:L1835" si="1977">(J1835/60/60/24)+DATE(1970,1,1)</f>
        <v>41303.044016203705</v>
      </c>
      <c r="L1835" s="11">
        <f t="shared" si="193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934"/>
        <v>262.5</v>
      </c>
      <c r="R1835" s="7">
        <f t="shared" si="1935"/>
        <v>42</v>
      </c>
      <c r="S1835" t="str">
        <f t="shared" si="1936"/>
        <v>music</v>
      </c>
      <c r="T1835" t="str">
        <f t="shared" si="1937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ref="K1836:L1836" si="1978">(J1836/60/60/24)+DATE(1970,1,1)</f>
        <v>41988.964062500003</v>
      </c>
      <c r="L1836" s="11">
        <f t="shared" si="193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934"/>
        <v>118.05000000000001</v>
      </c>
      <c r="R1836" s="7">
        <f t="shared" si="1935"/>
        <v>131.16666666666666</v>
      </c>
      <c r="S1836" t="str">
        <f t="shared" si="1936"/>
        <v>music</v>
      </c>
      <c r="T1836" t="str">
        <f t="shared" si="1937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ref="K1837:L1837" si="1979">(J1837/60/60/24)+DATE(1970,1,1)</f>
        <v>42430.702210648145</v>
      </c>
      <c r="L1837" s="11">
        <f t="shared" si="193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934"/>
        <v>104</v>
      </c>
      <c r="R1837" s="7">
        <f t="shared" si="1935"/>
        <v>47.272727272727273</v>
      </c>
      <c r="S1837" t="str">
        <f t="shared" si="1936"/>
        <v>music</v>
      </c>
      <c r="T1837" t="str">
        <f t="shared" si="1937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ref="K1838:L1838" si="1980">(J1838/60/60/24)+DATE(1970,1,1)</f>
        <v>41305.809363425928</v>
      </c>
      <c r="L1838" s="11">
        <f t="shared" si="193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934"/>
        <v>200.34</v>
      </c>
      <c r="R1838" s="7">
        <f t="shared" si="1935"/>
        <v>182.12727272727273</v>
      </c>
      <c r="S1838" t="str">
        <f t="shared" si="1936"/>
        <v>music</v>
      </c>
      <c r="T1838" t="str">
        <f t="shared" si="1937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ref="K1839:L1839" si="1981">(J1839/60/60/24)+DATE(1970,1,1)</f>
        <v>40926.047858796301</v>
      </c>
      <c r="L1839" s="11">
        <f t="shared" si="193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934"/>
        <v>306.83333333333331</v>
      </c>
      <c r="R1839" s="7">
        <f t="shared" si="1935"/>
        <v>61.366666666666667</v>
      </c>
      <c r="S1839" t="str">
        <f t="shared" si="1936"/>
        <v>music</v>
      </c>
      <c r="T1839" t="str">
        <f t="shared" si="1937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ref="K1840:L1840" si="1982">(J1840/60/60/24)+DATE(1970,1,1)</f>
        <v>40788.786539351851</v>
      </c>
      <c r="L1840" s="11">
        <f t="shared" si="1933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934"/>
        <v>100.149</v>
      </c>
      <c r="R1840" s="7">
        <f t="shared" si="1935"/>
        <v>35.767499999999998</v>
      </c>
      <c r="S1840" t="str">
        <f t="shared" si="1936"/>
        <v>music</v>
      </c>
      <c r="T1840" t="str">
        <f t="shared" si="1937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ref="K1841:L1841" si="1983">(J1841/60/60/24)+DATE(1970,1,1)</f>
        <v>42614.722013888888</v>
      </c>
      <c r="L1841" s="11">
        <f t="shared" si="193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934"/>
        <v>205.29999999999998</v>
      </c>
      <c r="R1841" s="7">
        <f t="shared" si="1935"/>
        <v>45.62222222222222</v>
      </c>
      <c r="S1841" t="str">
        <f t="shared" si="1936"/>
        <v>music</v>
      </c>
      <c r="T1841" t="str">
        <f t="shared" si="1937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ref="K1842:L1842" si="1984">(J1842/60/60/24)+DATE(1970,1,1)</f>
        <v>41382.096180555556</v>
      </c>
      <c r="L1842" s="11">
        <f t="shared" si="193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934"/>
        <v>108.88888888888889</v>
      </c>
      <c r="R1842" s="7">
        <f t="shared" si="1935"/>
        <v>75.384615384615387</v>
      </c>
      <c r="S1842" t="str">
        <f t="shared" si="1936"/>
        <v>music</v>
      </c>
      <c r="T1842" t="str">
        <f t="shared" si="1937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ref="K1843:L1843" si="1985">(J1843/60/60/24)+DATE(1970,1,1)</f>
        <v>41745.84542824074</v>
      </c>
      <c r="L1843" s="11">
        <f t="shared" si="193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934"/>
        <v>101.75</v>
      </c>
      <c r="R1843" s="7">
        <f t="shared" si="1935"/>
        <v>50.875</v>
      </c>
      <c r="S1843" t="str">
        <f t="shared" si="1936"/>
        <v>music</v>
      </c>
      <c r="T1843" t="str">
        <f t="shared" si="1937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ref="K1844:L1844" si="1986">(J1844/60/60/24)+DATE(1970,1,1)</f>
        <v>42031.631724537037</v>
      </c>
      <c r="L1844" s="11">
        <f t="shared" si="193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934"/>
        <v>125.25</v>
      </c>
      <c r="R1844" s="7">
        <f t="shared" si="1935"/>
        <v>119.28571428571429</v>
      </c>
      <c r="S1844" t="str">
        <f t="shared" si="1936"/>
        <v>music</v>
      </c>
      <c r="T1844" t="str">
        <f t="shared" si="1937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ref="K1845:L1845" si="1987">(J1845/60/60/24)+DATE(1970,1,1)</f>
        <v>40564.994837962964</v>
      </c>
      <c r="L1845" s="11">
        <f t="shared" si="193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934"/>
        <v>124.0061</v>
      </c>
      <c r="R1845" s="7">
        <f t="shared" si="1935"/>
        <v>92.541865671641801</v>
      </c>
      <c r="S1845" t="str">
        <f t="shared" si="1936"/>
        <v>music</v>
      </c>
      <c r="T1845" t="str">
        <f t="shared" si="1937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ref="K1846:L1846" si="1988">(J1846/60/60/24)+DATE(1970,1,1)</f>
        <v>40666.973541666666</v>
      </c>
      <c r="L1846" s="11">
        <f t="shared" si="1933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934"/>
        <v>101.4</v>
      </c>
      <c r="R1846" s="7">
        <f t="shared" si="1935"/>
        <v>76.05</v>
      </c>
      <c r="S1846" t="str">
        <f t="shared" si="1936"/>
        <v>music</v>
      </c>
      <c r="T1846" t="str">
        <f t="shared" si="1937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ref="K1847:L1847" si="1989">(J1847/60/60/24)+DATE(1970,1,1)</f>
        <v>42523.333310185189</v>
      </c>
      <c r="L1847" s="11">
        <f t="shared" si="193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934"/>
        <v>100</v>
      </c>
      <c r="R1847" s="7">
        <f t="shared" si="1935"/>
        <v>52.631578947368418</v>
      </c>
      <c r="S1847" t="str">
        <f t="shared" si="1936"/>
        <v>music</v>
      </c>
      <c r="T1847" t="str">
        <f t="shared" si="1937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ref="K1848:L1848" si="1990">(J1848/60/60/24)+DATE(1970,1,1)</f>
        <v>41228.650196759263</v>
      </c>
      <c r="L1848" s="11">
        <f t="shared" si="193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934"/>
        <v>137.92666666666668</v>
      </c>
      <c r="R1848" s="7">
        <f t="shared" si="1935"/>
        <v>98.990430622009569</v>
      </c>
      <c r="S1848" t="str">
        <f t="shared" si="1936"/>
        <v>music</v>
      </c>
      <c r="T1848" t="str">
        <f t="shared" si="1937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ref="K1849:L1849" si="1991">(J1849/60/60/24)+DATE(1970,1,1)</f>
        <v>42094.236481481479</v>
      </c>
      <c r="L1849" s="11">
        <f t="shared" si="193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934"/>
        <v>120.88000000000001</v>
      </c>
      <c r="R1849" s="7">
        <f t="shared" si="1935"/>
        <v>79.526315789473685</v>
      </c>
      <c r="S1849" t="str">
        <f t="shared" si="1936"/>
        <v>music</v>
      </c>
      <c r="T1849" t="str">
        <f t="shared" si="1937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ref="K1850:L1850" si="1992">(J1850/60/60/24)+DATE(1970,1,1)</f>
        <v>40691.788055555553</v>
      </c>
      <c r="L1850" s="11">
        <f t="shared" si="193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934"/>
        <v>107.36666666666667</v>
      </c>
      <c r="R1850" s="7">
        <f t="shared" si="1935"/>
        <v>134.20833333333334</v>
      </c>
      <c r="S1850" t="str">
        <f t="shared" si="1936"/>
        <v>music</v>
      </c>
      <c r="T1850" t="str">
        <f t="shared" si="1937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ref="K1851:L1851" si="1993">(J1851/60/60/24)+DATE(1970,1,1)</f>
        <v>41169.845590277779</v>
      </c>
      <c r="L1851" s="11">
        <f t="shared" si="193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934"/>
        <v>100.33333333333334</v>
      </c>
      <c r="R1851" s="7">
        <f t="shared" si="1935"/>
        <v>37.625</v>
      </c>
      <c r="S1851" t="str">
        <f t="shared" si="1936"/>
        <v>music</v>
      </c>
      <c r="T1851" t="str">
        <f t="shared" si="1937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ref="K1852:L1852" si="1994">(J1852/60/60/24)+DATE(1970,1,1)</f>
        <v>41800.959490740745</v>
      </c>
      <c r="L1852" s="11">
        <f t="shared" si="193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934"/>
        <v>101.52222222222223</v>
      </c>
      <c r="R1852" s="7">
        <f t="shared" si="1935"/>
        <v>51.044692737430168</v>
      </c>
      <c r="S1852" t="str">
        <f t="shared" si="1936"/>
        <v>music</v>
      </c>
      <c r="T1852" t="str">
        <f t="shared" si="1937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ref="K1853:L1853" si="1995">(J1853/60/60/24)+DATE(1970,1,1)</f>
        <v>41827.906689814816</v>
      </c>
      <c r="L1853" s="11">
        <f t="shared" si="193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934"/>
        <v>100.07692307692308</v>
      </c>
      <c r="R1853" s="7">
        <f t="shared" si="1935"/>
        <v>50.03846153846154</v>
      </c>
      <c r="S1853" t="str">
        <f t="shared" si="1936"/>
        <v>music</v>
      </c>
      <c r="T1853" t="str">
        <f t="shared" si="1937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ref="K1854:L1854" si="1996">(J1854/60/60/24)+DATE(1970,1,1)</f>
        <v>42081.77143518519</v>
      </c>
      <c r="L1854" s="11">
        <f t="shared" si="1933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934"/>
        <v>116.96666666666667</v>
      </c>
      <c r="R1854" s="7">
        <f t="shared" si="1935"/>
        <v>133.93129770992365</v>
      </c>
      <c r="S1854" t="str">
        <f t="shared" si="1936"/>
        <v>music</v>
      </c>
      <c r="T1854" t="str">
        <f t="shared" si="1937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ref="K1855:L1855" si="1997">(J1855/60/60/24)+DATE(1970,1,1)</f>
        <v>41177.060381944444</v>
      </c>
      <c r="L1855" s="11">
        <f t="shared" si="193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934"/>
        <v>101.875</v>
      </c>
      <c r="R1855" s="7">
        <f t="shared" si="1935"/>
        <v>58.214285714285715</v>
      </c>
      <c r="S1855" t="str">
        <f t="shared" si="1936"/>
        <v>music</v>
      </c>
      <c r="T1855" t="str">
        <f t="shared" si="1937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ref="K1856:L1856" si="1998">(J1856/60/60/24)+DATE(1970,1,1)</f>
        <v>41388.021261574075</v>
      </c>
      <c r="L1856" s="11">
        <f t="shared" si="193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934"/>
        <v>102.12366666666665</v>
      </c>
      <c r="R1856" s="7">
        <f t="shared" si="1935"/>
        <v>88.037643678160919</v>
      </c>
      <c r="S1856" t="str">
        <f t="shared" si="1936"/>
        <v>music</v>
      </c>
      <c r="T1856" t="str">
        <f t="shared" si="1937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ref="K1857:L1857" si="1999">(J1857/60/60/24)+DATE(1970,1,1)</f>
        <v>41600.538657407407</v>
      </c>
      <c r="L1857" s="11">
        <f t="shared" si="193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934"/>
        <v>154.05897142857143</v>
      </c>
      <c r="R1857" s="7">
        <f t="shared" si="1935"/>
        <v>70.576753926701571</v>
      </c>
      <c r="S1857" t="str">
        <f t="shared" si="1936"/>
        <v>music</v>
      </c>
      <c r="T1857" t="str">
        <f t="shared" si="1937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ref="K1858:L1858" si="2000">(J1858/60/60/24)+DATE(1970,1,1)</f>
        <v>41817.854999999996</v>
      </c>
      <c r="L1858" s="11">
        <f t="shared" si="193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934"/>
        <v>101.25</v>
      </c>
      <c r="R1858" s="7">
        <f t="shared" si="1935"/>
        <v>53.289473684210527</v>
      </c>
      <c r="S1858" t="str">
        <f t="shared" si="1936"/>
        <v>music</v>
      </c>
      <c r="T1858" t="str">
        <f t="shared" si="1937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ref="K1859:L1859" si="2001">(J1859/60/60/24)+DATE(1970,1,1)</f>
        <v>41864.76866898148</v>
      </c>
      <c r="L1859" s="11">
        <f t="shared" ref="L1859:L1922" si="2002">(I1859/60/60/24)+DATE(1970,1,1)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2003">(E1859/D1859)*100</f>
        <v>100</v>
      </c>
      <c r="R1859" s="7">
        <f t="shared" ref="R1859:R1922" si="2004">IFERROR(E1859/N1859, 0)</f>
        <v>136.36363636363637</v>
      </c>
      <c r="S1859" t="str">
        <f t="shared" ref="S1859:S1922" si="2005">LEFT(P1859, SEARCH("/", P1859,1)-1)</f>
        <v>music</v>
      </c>
      <c r="T1859" t="str">
        <f t="shared" ref="T1859:T1922" si="2006">RIGHT(P1859,LEN(P1859)-SEARCH("/",P1859,SEARCH("/",P1859)))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ref="K1860:L1860" si="2007">(J1860/60/60/24)+DATE(1970,1,1)</f>
        <v>40833.200474537036</v>
      </c>
      <c r="L1860" s="11">
        <f t="shared" si="2002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2003"/>
        <v>108.74800874800874</v>
      </c>
      <c r="R1860" s="7">
        <f t="shared" si="2004"/>
        <v>40.547315436241611</v>
      </c>
      <c r="S1860" t="str">
        <f t="shared" si="2005"/>
        <v>music</v>
      </c>
      <c r="T1860" t="str">
        <f t="shared" si="2006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ref="K1861:L1861" si="2008">(J1861/60/60/24)+DATE(1970,1,1)</f>
        <v>40778.770011574074</v>
      </c>
      <c r="L1861" s="11">
        <f t="shared" si="2002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2003"/>
        <v>131.83333333333334</v>
      </c>
      <c r="R1861" s="7">
        <f t="shared" si="2004"/>
        <v>70.625</v>
      </c>
      <c r="S1861" t="str">
        <f t="shared" si="2005"/>
        <v>music</v>
      </c>
      <c r="T1861" t="str">
        <f t="shared" si="2006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ref="K1862:L1862" si="2009">(J1862/60/60/24)+DATE(1970,1,1)</f>
        <v>41655.709305555552</v>
      </c>
      <c r="L1862" s="11">
        <f t="shared" si="2002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2003"/>
        <v>133.46666666666667</v>
      </c>
      <c r="R1862" s="7">
        <f t="shared" si="2004"/>
        <v>52.684210526315788</v>
      </c>
      <c r="S1862" t="str">
        <f t="shared" si="2005"/>
        <v>music</v>
      </c>
      <c r="T1862" t="str">
        <f t="shared" si="2006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ref="K1863:L1863" si="2010">(J1863/60/60/24)+DATE(1970,1,1)</f>
        <v>42000.300243055557</v>
      </c>
      <c r="L1863" s="11">
        <f t="shared" si="2002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2003"/>
        <v>0</v>
      </c>
      <c r="R1863" s="7">
        <f t="shared" si="2004"/>
        <v>0</v>
      </c>
      <c r="S1863" t="str">
        <f t="shared" si="2005"/>
        <v>games</v>
      </c>
      <c r="T1863" t="str">
        <f t="shared" si="2006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ref="K1864:L1864" si="2011">(J1864/60/60/24)+DATE(1970,1,1)</f>
        <v>42755.492754629624</v>
      </c>
      <c r="L1864" s="11">
        <f t="shared" si="2002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2003"/>
        <v>8.0833333333333321</v>
      </c>
      <c r="R1864" s="7">
        <f t="shared" si="2004"/>
        <v>90.9375</v>
      </c>
      <c r="S1864" t="str">
        <f t="shared" si="2005"/>
        <v>games</v>
      </c>
      <c r="T1864" t="str">
        <f t="shared" si="2006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ref="K1865:L1865" si="2012">(J1865/60/60/24)+DATE(1970,1,1)</f>
        <v>41772.797280092593</v>
      </c>
      <c r="L1865" s="11">
        <f t="shared" si="2002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2003"/>
        <v>0.4</v>
      </c>
      <c r="R1865" s="7">
        <f t="shared" si="2004"/>
        <v>5</v>
      </c>
      <c r="S1865" t="str">
        <f t="shared" si="2005"/>
        <v>games</v>
      </c>
      <c r="T1865" t="str">
        <f t="shared" si="2006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ref="K1866:L1866" si="2013">(J1866/60/60/24)+DATE(1970,1,1)</f>
        <v>41733.716435185182</v>
      </c>
      <c r="L1866" s="11">
        <f t="shared" si="2002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2003"/>
        <v>42.892307692307689</v>
      </c>
      <c r="R1866" s="7">
        <f t="shared" si="2004"/>
        <v>58.083333333333336</v>
      </c>
      <c r="S1866" t="str">
        <f t="shared" si="2005"/>
        <v>games</v>
      </c>
      <c r="T1866" t="str">
        <f t="shared" si="2006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ref="K1867:L1867" si="2014">(J1867/60/60/24)+DATE(1970,1,1)</f>
        <v>42645.367442129631</v>
      </c>
      <c r="L1867" s="11">
        <f t="shared" si="2002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2003"/>
        <v>3.6363636363636364E-3</v>
      </c>
      <c r="R1867" s="7">
        <f t="shared" si="2004"/>
        <v>2</v>
      </c>
      <c r="S1867" t="str">
        <f t="shared" si="2005"/>
        <v>games</v>
      </c>
      <c r="T1867" t="str">
        <f t="shared" si="2006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ref="K1868:L1868" si="2015">(J1868/60/60/24)+DATE(1970,1,1)</f>
        <v>42742.246493055558</v>
      </c>
      <c r="L1868" s="11">
        <f t="shared" si="2002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2003"/>
        <v>0.5</v>
      </c>
      <c r="R1868" s="7">
        <f t="shared" si="2004"/>
        <v>62.5</v>
      </c>
      <c r="S1868" t="str">
        <f t="shared" si="2005"/>
        <v>games</v>
      </c>
      <c r="T1868" t="str">
        <f t="shared" si="2006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ref="K1869:L1869" si="2016">(J1869/60/60/24)+DATE(1970,1,1)</f>
        <v>42649.924907407403</v>
      </c>
      <c r="L1869" s="11">
        <f t="shared" si="2002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2003"/>
        <v>0.05</v>
      </c>
      <c r="R1869" s="7">
        <f t="shared" si="2004"/>
        <v>10</v>
      </c>
      <c r="S1869" t="str">
        <f t="shared" si="2005"/>
        <v>games</v>
      </c>
      <c r="T1869" t="str">
        <f t="shared" si="2006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ref="K1870:L1870" si="2017">(J1870/60/60/24)+DATE(1970,1,1)</f>
        <v>42328.779224537036</v>
      </c>
      <c r="L1870" s="11">
        <f t="shared" si="2002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2003"/>
        <v>4.8680000000000003</v>
      </c>
      <c r="R1870" s="7">
        <f t="shared" si="2004"/>
        <v>71.588235294117652</v>
      </c>
      <c r="S1870" t="str">
        <f t="shared" si="2005"/>
        <v>games</v>
      </c>
      <c r="T1870" t="str">
        <f t="shared" si="2006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ref="K1871:L1871" si="2018">(J1871/60/60/24)+DATE(1970,1,1)</f>
        <v>42709.002881944441</v>
      </c>
      <c r="L1871" s="11">
        <f t="shared" si="2002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2003"/>
        <v>0</v>
      </c>
      <c r="R1871" s="7">
        <f t="shared" si="2004"/>
        <v>0</v>
      </c>
      <c r="S1871" t="str">
        <f t="shared" si="2005"/>
        <v>games</v>
      </c>
      <c r="T1871" t="str">
        <f t="shared" si="2006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ref="K1872:L1872" si="2019">(J1872/60/60/24)+DATE(1970,1,1)</f>
        <v>42371.355729166666</v>
      </c>
      <c r="L1872" s="11">
        <f t="shared" si="2002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2003"/>
        <v>10.314285714285715</v>
      </c>
      <c r="R1872" s="7">
        <f t="shared" si="2004"/>
        <v>32.81818181818182</v>
      </c>
      <c r="S1872" t="str">
        <f t="shared" si="2005"/>
        <v>games</v>
      </c>
      <c r="T1872" t="str">
        <f t="shared" si="2006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ref="K1873:L1873" si="2020">(J1873/60/60/24)+DATE(1970,1,1)</f>
        <v>41923.783576388887</v>
      </c>
      <c r="L1873" s="11">
        <f t="shared" si="2002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2003"/>
        <v>71.784615384615378</v>
      </c>
      <c r="R1873" s="7">
        <f t="shared" si="2004"/>
        <v>49.11578947368421</v>
      </c>
      <c r="S1873" t="str">
        <f t="shared" si="2005"/>
        <v>games</v>
      </c>
      <c r="T1873" t="str">
        <f t="shared" si="2006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ref="K1874:L1874" si="2021">(J1874/60/60/24)+DATE(1970,1,1)</f>
        <v>42155.129652777774</v>
      </c>
      <c r="L1874" s="11">
        <f t="shared" si="2002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2003"/>
        <v>1.06</v>
      </c>
      <c r="R1874" s="7">
        <f t="shared" si="2004"/>
        <v>16.307692307692307</v>
      </c>
      <c r="S1874" t="str">
        <f t="shared" si="2005"/>
        <v>games</v>
      </c>
      <c r="T1874" t="str">
        <f t="shared" si="2006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ref="K1875:L1875" si="2022">(J1875/60/60/24)+DATE(1970,1,1)</f>
        <v>42164.615856481483</v>
      </c>
      <c r="L1875" s="11">
        <f t="shared" si="2002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2003"/>
        <v>0.44999999999999996</v>
      </c>
      <c r="R1875" s="7">
        <f t="shared" si="2004"/>
        <v>18</v>
      </c>
      <c r="S1875" t="str">
        <f t="shared" si="2005"/>
        <v>games</v>
      </c>
      <c r="T1875" t="str">
        <f t="shared" si="2006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ref="K1876:L1876" si="2023">(J1876/60/60/24)+DATE(1970,1,1)</f>
        <v>42529.969131944439</v>
      </c>
      <c r="L1876" s="11">
        <f t="shared" si="2002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2003"/>
        <v>1.6250000000000001E-2</v>
      </c>
      <c r="R1876" s="7">
        <f t="shared" si="2004"/>
        <v>13</v>
      </c>
      <c r="S1876" t="str">
        <f t="shared" si="2005"/>
        <v>games</v>
      </c>
      <c r="T1876" t="str">
        <f t="shared" si="2006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ref="K1877:L1877" si="2024">(J1877/60/60/24)+DATE(1970,1,1)</f>
        <v>42528.899398148147</v>
      </c>
      <c r="L1877" s="11">
        <f t="shared" si="2002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2003"/>
        <v>0.51</v>
      </c>
      <c r="R1877" s="7">
        <f t="shared" si="2004"/>
        <v>17</v>
      </c>
      <c r="S1877" t="str">
        <f t="shared" si="2005"/>
        <v>games</v>
      </c>
      <c r="T1877" t="str">
        <f t="shared" si="2006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ref="K1878:L1878" si="2025">(J1878/60/60/24)+DATE(1970,1,1)</f>
        <v>41776.284780092588</v>
      </c>
      <c r="L1878" s="11">
        <f t="shared" si="2002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2003"/>
        <v>0</v>
      </c>
      <c r="R1878" s="7">
        <f t="shared" si="2004"/>
        <v>0</v>
      </c>
      <c r="S1878" t="str">
        <f t="shared" si="2005"/>
        <v>games</v>
      </c>
      <c r="T1878" t="str">
        <f t="shared" si="2006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ref="K1879:L1879" si="2026">(J1879/60/60/24)+DATE(1970,1,1)</f>
        <v>42035.029224537036</v>
      </c>
      <c r="L1879" s="11">
        <f t="shared" si="2002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2003"/>
        <v>0</v>
      </c>
      <c r="R1879" s="7">
        <f t="shared" si="2004"/>
        <v>0</v>
      </c>
      <c r="S1879" t="str">
        <f t="shared" si="2005"/>
        <v>games</v>
      </c>
      <c r="T1879" t="str">
        <f t="shared" si="2006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ref="K1880:L1880" si="2027">(J1880/60/60/24)+DATE(1970,1,1)</f>
        <v>41773.008738425924</v>
      </c>
      <c r="L1880" s="11">
        <f t="shared" si="2002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2003"/>
        <v>0</v>
      </c>
      <c r="R1880" s="7">
        <f t="shared" si="2004"/>
        <v>0</v>
      </c>
      <c r="S1880" t="str">
        <f t="shared" si="2005"/>
        <v>games</v>
      </c>
      <c r="T1880" t="str">
        <f t="shared" si="2006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ref="K1881:L1881" si="2028">(J1881/60/60/24)+DATE(1970,1,1)</f>
        <v>42413.649641203709</v>
      </c>
      <c r="L1881" s="11">
        <f t="shared" si="2002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2003"/>
        <v>0.12</v>
      </c>
      <c r="R1881" s="7">
        <f t="shared" si="2004"/>
        <v>3</v>
      </c>
      <c r="S1881" t="str">
        <f t="shared" si="2005"/>
        <v>games</v>
      </c>
      <c r="T1881" t="str">
        <f t="shared" si="2006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ref="K1882:L1882" si="2029">(J1882/60/60/24)+DATE(1970,1,1)</f>
        <v>42430.566898148143</v>
      </c>
      <c r="L1882" s="11">
        <f t="shared" si="2002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2003"/>
        <v>20.080000000000002</v>
      </c>
      <c r="R1882" s="7">
        <f t="shared" si="2004"/>
        <v>41.833333333333336</v>
      </c>
      <c r="S1882" t="str">
        <f t="shared" si="2005"/>
        <v>games</v>
      </c>
      <c r="T1882" t="str">
        <f t="shared" si="2006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ref="K1883:L1883" si="2030">(J1883/60/60/24)+DATE(1970,1,1)</f>
        <v>42043.152650462958</v>
      </c>
      <c r="L1883" s="11">
        <f t="shared" si="2002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2003"/>
        <v>172.68449999999999</v>
      </c>
      <c r="R1883" s="7">
        <f t="shared" si="2004"/>
        <v>49.338428571428572</v>
      </c>
      <c r="S1883" t="str">
        <f t="shared" si="2005"/>
        <v>music</v>
      </c>
      <c r="T1883" t="str">
        <f t="shared" si="2006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ref="K1884:L1884" si="2031">(J1884/60/60/24)+DATE(1970,1,1)</f>
        <v>41067.949212962965</v>
      </c>
      <c r="L1884" s="11">
        <f t="shared" si="2002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2003"/>
        <v>100.8955223880597</v>
      </c>
      <c r="R1884" s="7">
        <f t="shared" si="2004"/>
        <v>41.728395061728392</v>
      </c>
      <c r="S1884" t="str">
        <f t="shared" si="2005"/>
        <v>music</v>
      </c>
      <c r="T1884" t="str">
        <f t="shared" si="2006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ref="K1885:L1885" si="2032">(J1885/60/60/24)+DATE(1970,1,1)</f>
        <v>40977.948009259257</v>
      </c>
      <c r="L1885" s="11">
        <f t="shared" si="2002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2003"/>
        <v>104.8048048048048</v>
      </c>
      <c r="R1885" s="7">
        <f t="shared" si="2004"/>
        <v>32.71875</v>
      </c>
      <c r="S1885" t="str">
        <f t="shared" si="2005"/>
        <v>music</v>
      </c>
      <c r="T1885" t="str">
        <f t="shared" si="2006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ref="K1886:L1886" si="2033">(J1886/60/60/24)+DATE(1970,1,1)</f>
        <v>41205.198321759257</v>
      </c>
      <c r="L1886" s="11">
        <f t="shared" si="2002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2003"/>
        <v>135.1</v>
      </c>
      <c r="R1886" s="7">
        <f t="shared" si="2004"/>
        <v>51.96153846153846</v>
      </c>
      <c r="S1886" t="str">
        <f t="shared" si="2005"/>
        <v>music</v>
      </c>
      <c r="T1886" t="str">
        <f t="shared" si="2006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ref="K1887:L1887" si="2034">(J1887/60/60/24)+DATE(1970,1,1)</f>
        <v>41099.093865740739</v>
      </c>
      <c r="L1887" s="11">
        <f t="shared" si="2002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2003"/>
        <v>116.32786885245903</v>
      </c>
      <c r="R1887" s="7">
        <f t="shared" si="2004"/>
        <v>50.685714285714283</v>
      </c>
      <c r="S1887" t="str">
        <f t="shared" si="2005"/>
        <v>music</v>
      </c>
      <c r="T1887" t="str">
        <f t="shared" si="2006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ref="K1888:L1888" si="2035">(J1888/60/60/24)+DATE(1970,1,1)</f>
        <v>41925.906689814816</v>
      </c>
      <c r="L1888" s="11">
        <f t="shared" si="2002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2003"/>
        <v>102.08333333333333</v>
      </c>
      <c r="R1888" s="7">
        <f t="shared" si="2004"/>
        <v>42.241379310344826</v>
      </c>
      <c r="S1888" t="str">
        <f t="shared" si="2005"/>
        <v>music</v>
      </c>
      <c r="T1888" t="str">
        <f t="shared" si="2006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ref="K1889:L1889" si="2036">(J1889/60/60/24)+DATE(1970,1,1)</f>
        <v>42323.800138888888</v>
      </c>
      <c r="L1889" s="11">
        <f t="shared" si="2002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2003"/>
        <v>111.16666666666666</v>
      </c>
      <c r="R1889" s="7">
        <f t="shared" si="2004"/>
        <v>416.875</v>
      </c>
      <c r="S1889" t="str">
        <f t="shared" si="2005"/>
        <v>music</v>
      </c>
      <c r="T1889" t="str">
        <f t="shared" si="2006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ref="K1890:L1890" si="2037">(J1890/60/60/24)+DATE(1970,1,1)</f>
        <v>40299.239953703705</v>
      </c>
      <c r="L1890" s="11">
        <f t="shared" si="2002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2003"/>
        <v>166.08</v>
      </c>
      <c r="R1890" s="7">
        <f t="shared" si="2004"/>
        <v>46.651685393258425</v>
      </c>
      <c r="S1890" t="str">
        <f t="shared" si="2005"/>
        <v>music</v>
      </c>
      <c r="T1890" t="str">
        <f t="shared" si="2006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ref="K1891:L1891" si="2038">(J1891/60/60/24)+DATE(1970,1,1)</f>
        <v>41299.793356481481</v>
      </c>
      <c r="L1891" s="11">
        <f t="shared" si="2002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2003"/>
        <v>106.60000000000001</v>
      </c>
      <c r="R1891" s="7">
        <f t="shared" si="2004"/>
        <v>48.454545454545453</v>
      </c>
      <c r="S1891" t="str">
        <f t="shared" si="2005"/>
        <v>music</v>
      </c>
      <c r="T1891" t="str">
        <f t="shared" si="2006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ref="K1892:L1892" si="2039">(J1892/60/60/24)+DATE(1970,1,1)</f>
        <v>41228.786203703705</v>
      </c>
      <c r="L1892" s="11">
        <f t="shared" si="2002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2003"/>
        <v>144.58441666666667</v>
      </c>
      <c r="R1892" s="7">
        <f t="shared" si="2004"/>
        <v>70.5289837398374</v>
      </c>
      <c r="S1892" t="str">
        <f t="shared" si="2005"/>
        <v>music</v>
      </c>
      <c r="T1892" t="str">
        <f t="shared" si="2006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ref="K1893:L1893" si="2040">(J1893/60/60/24)+DATE(1970,1,1)</f>
        <v>40335.798078703701</v>
      </c>
      <c r="L1893" s="11">
        <f t="shared" si="2002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2003"/>
        <v>105.55000000000001</v>
      </c>
      <c r="R1893" s="7">
        <f t="shared" si="2004"/>
        <v>87.958333333333329</v>
      </c>
      <c r="S1893" t="str">
        <f t="shared" si="2005"/>
        <v>music</v>
      </c>
      <c r="T1893" t="str">
        <f t="shared" si="2006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ref="K1894:L1894" si="2041">(J1894/60/60/24)+DATE(1970,1,1)</f>
        <v>40671.637511574074</v>
      </c>
      <c r="L1894" s="11">
        <f t="shared" si="2002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2003"/>
        <v>136.60000000000002</v>
      </c>
      <c r="R1894" s="7">
        <f t="shared" si="2004"/>
        <v>26.26923076923077</v>
      </c>
      <c r="S1894" t="str">
        <f t="shared" si="2005"/>
        <v>music</v>
      </c>
      <c r="T1894" t="str">
        <f t="shared" si="2006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ref="K1895:L1895" si="2042">(J1895/60/60/24)+DATE(1970,1,1)</f>
        <v>40632.94195601852</v>
      </c>
      <c r="L1895" s="11">
        <f t="shared" si="2002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2003"/>
        <v>104</v>
      </c>
      <c r="R1895" s="7">
        <f t="shared" si="2004"/>
        <v>57.777777777777779</v>
      </c>
      <c r="S1895" t="str">
        <f t="shared" si="2005"/>
        <v>music</v>
      </c>
      <c r="T1895" t="str">
        <f t="shared" si="2006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ref="K1896:L1896" si="2043">(J1896/60/60/24)+DATE(1970,1,1)</f>
        <v>40920.904895833337</v>
      </c>
      <c r="L1896" s="11">
        <f t="shared" si="2002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2003"/>
        <v>114.5</v>
      </c>
      <c r="R1896" s="7">
        <f t="shared" si="2004"/>
        <v>57.25</v>
      </c>
      <c r="S1896" t="str">
        <f t="shared" si="2005"/>
        <v>music</v>
      </c>
      <c r="T1896" t="str">
        <f t="shared" si="2006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ref="K1897:L1897" si="2044">(J1897/60/60/24)+DATE(1970,1,1)</f>
        <v>42267.746782407412</v>
      </c>
      <c r="L1897" s="11">
        <f t="shared" si="2002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2003"/>
        <v>101.71957671957672</v>
      </c>
      <c r="R1897" s="7">
        <f t="shared" si="2004"/>
        <v>196.34042553191489</v>
      </c>
      <c r="S1897" t="str">
        <f t="shared" si="2005"/>
        <v>music</v>
      </c>
      <c r="T1897" t="str">
        <f t="shared" si="2006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ref="K1898:L1898" si="2045">(J1898/60/60/24)+DATE(1970,1,1)</f>
        <v>40981.710243055553</v>
      </c>
      <c r="L1898" s="11">
        <f t="shared" si="2002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2003"/>
        <v>123.94678492239468</v>
      </c>
      <c r="R1898" s="7">
        <f t="shared" si="2004"/>
        <v>43</v>
      </c>
      <c r="S1898" t="str">
        <f t="shared" si="2005"/>
        <v>music</v>
      </c>
      <c r="T1898" t="str">
        <f t="shared" si="2006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ref="K1899:L1899" si="2046">(J1899/60/60/24)+DATE(1970,1,1)</f>
        <v>41680.583402777782</v>
      </c>
      <c r="L1899" s="11">
        <f t="shared" si="2002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2003"/>
        <v>102.45669291338582</v>
      </c>
      <c r="R1899" s="7">
        <f t="shared" si="2004"/>
        <v>35.551912568306008</v>
      </c>
      <c r="S1899" t="str">
        <f t="shared" si="2005"/>
        <v>music</v>
      </c>
      <c r="T1899" t="str">
        <f t="shared" si="2006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ref="K1900:L1900" si="2047">(J1900/60/60/24)+DATE(1970,1,1)</f>
        <v>42366.192974537036</v>
      </c>
      <c r="L1900" s="11">
        <f t="shared" si="2002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2003"/>
        <v>144.5</v>
      </c>
      <c r="R1900" s="7">
        <f t="shared" si="2004"/>
        <v>68.80952380952381</v>
      </c>
      <c r="S1900" t="str">
        <f t="shared" si="2005"/>
        <v>music</v>
      </c>
      <c r="T1900" t="str">
        <f t="shared" si="2006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ref="K1901:L1901" si="2048">(J1901/60/60/24)+DATE(1970,1,1)</f>
        <v>42058.941736111112</v>
      </c>
      <c r="L1901" s="11">
        <f t="shared" si="2002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2003"/>
        <v>133.33333333333331</v>
      </c>
      <c r="R1901" s="7">
        <f t="shared" si="2004"/>
        <v>28.571428571428573</v>
      </c>
      <c r="S1901" t="str">
        <f t="shared" si="2005"/>
        <v>music</v>
      </c>
      <c r="T1901" t="str">
        <f t="shared" si="2006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ref="K1902:L1902" si="2049">(J1902/60/60/24)+DATE(1970,1,1)</f>
        <v>41160.871886574074</v>
      </c>
      <c r="L1902" s="11">
        <f t="shared" si="2002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2003"/>
        <v>109.3644</v>
      </c>
      <c r="R1902" s="7">
        <f t="shared" si="2004"/>
        <v>50.631666666666668</v>
      </c>
      <c r="S1902" t="str">
        <f t="shared" si="2005"/>
        <v>music</v>
      </c>
      <c r="T1902" t="str">
        <f t="shared" si="2006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ref="K1903:L1903" si="2050">(J1903/60/60/24)+DATE(1970,1,1)</f>
        <v>42116.54315972222</v>
      </c>
      <c r="L1903" s="11">
        <f t="shared" si="2002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2003"/>
        <v>2.6969696969696968</v>
      </c>
      <c r="R1903" s="7">
        <f t="shared" si="2004"/>
        <v>106.8</v>
      </c>
      <c r="S1903" t="str">
        <f t="shared" si="2005"/>
        <v>technology</v>
      </c>
      <c r="T1903" t="str">
        <f t="shared" si="2006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ref="K1904:L1904" si="2051">(J1904/60/60/24)+DATE(1970,1,1)</f>
        <v>42037.789895833332</v>
      </c>
      <c r="L1904" s="11">
        <f t="shared" si="2002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2003"/>
        <v>1.2</v>
      </c>
      <c r="R1904" s="7">
        <f t="shared" si="2004"/>
        <v>4</v>
      </c>
      <c r="S1904" t="str">
        <f t="shared" si="2005"/>
        <v>technology</v>
      </c>
      <c r="T1904" t="str">
        <f t="shared" si="2006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ref="K1905:L1905" si="2052">(J1905/60/60/24)+DATE(1970,1,1)</f>
        <v>42702.770729166667</v>
      </c>
      <c r="L1905" s="11">
        <f t="shared" si="2002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2003"/>
        <v>46.6</v>
      </c>
      <c r="R1905" s="7">
        <f t="shared" si="2004"/>
        <v>34.097560975609753</v>
      </c>
      <c r="S1905" t="str">
        <f t="shared" si="2005"/>
        <v>technology</v>
      </c>
      <c r="T1905" t="str">
        <f t="shared" si="2006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ref="K1906:L1906" si="2053">(J1906/60/60/24)+DATE(1970,1,1)</f>
        <v>42326.685428240744</v>
      </c>
      <c r="L1906" s="11">
        <f t="shared" si="2002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2003"/>
        <v>0.1</v>
      </c>
      <c r="R1906" s="7">
        <f t="shared" si="2004"/>
        <v>25</v>
      </c>
      <c r="S1906" t="str">
        <f t="shared" si="2005"/>
        <v>technology</v>
      </c>
      <c r="T1906" t="str">
        <f t="shared" si="2006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ref="K1907:L1907" si="2054">(J1907/60/60/24)+DATE(1970,1,1)</f>
        <v>41859.925856481481</v>
      </c>
      <c r="L1907" s="11">
        <f t="shared" si="2002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2003"/>
        <v>0.16800000000000001</v>
      </c>
      <c r="R1907" s="7">
        <f t="shared" si="2004"/>
        <v>10.5</v>
      </c>
      <c r="S1907" t="str">
        <f t="shared" si="2005"/>
        <v>technology</v>
      </c>
      <c r="T1907" t="str">
        <f t="shared" si="2006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ref="K1908:L1908" si="2055">(J1908/60/60/24)+DATE(1970,1,1)</f>
        <v>42514.671099537038</v>
      </c>
      <c r="L1908" s="11">
        <f t="shared" si="2002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2003"/>
        <v>42.76</v>
      </c>
      <c r="R1908" s="7">
        <f t="shared" si="2004"/>
        <v>215.95959595959596</v>
      </c>
      <c r="S1908" t="str">
        <f t="shared" si="2005"/>
        <v>technology</v>
      </c>
      <c r="T1908" t="str">
        <f t="shared" si="2006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ref="K1909:L1909" si="2056">(J1909/60/60/24)+DATE(1970,1,1)</f>
        <v>41767.587094907409</v>
      </c>
      <c r="L1909" s="11">
        <f t="shared" si="2002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2003"/>
        <v>0.28333333333333333</v>
      </c>
      <c r="R1909" s="7">
        <f t="shared" si="2004"/>
        <v>21.25</v>
      </c>
      <c r="S1909" t="str">
        <f t="shared" si="2005"/>
        <v>technology</v>
      </c>
      <c r="T1909" t="str">
        <f t="shared" si="2006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ref="K1910:L1910" si="2057">(J1910/60/60/24)+DATE(1970,1,1)</f>
        <v>42703.917824074073</v>
      </c>
      <c r="L1910" s="11">
        <f t="shared" si="2002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2003"/>
        <v>1.7319999999999998</v>
      </c>
      <c r="R1910" s="7">
        <f t="shared" si="2004"/>
        <v>108.25</v>
      </c>
      <c r="S1910" t="str">
        <f t="shared" si="2005"/>
        <v>technology</v>
      </c>
      <c r="T1910" t="str">
        <f t="shared" si="2006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ref="K1911:L1911" si="2058">(J1911/60/60/24)+DATE(1970,1,1)</f>
        <v>41905.429155092592</v>
      </c>
      <c r="L1911" s="11">
        <f t="shared" si="2002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2003"/>
        <v>14.111428571428572</v>
      </c>
      <c r="R1911" s="7">
        <f t="shared" si="2004"/>
        <v>129.97368421052633</v>
      </c>
      <c r="S1911" t="str">
        <f t="shared" si="2005"/>
        <v>technology</v>
      </c>
      <c r="T1911" t="str">
        <f t="shared" si="2006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ref="K1912:L1912" si="2059">(J1912/60/60/24)+DATE(1970,1,1)</f>
        <v>42264.963159722218</v>
      </c>
      <c r="L1912" s="11">
        <f t="shared" si="2002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2003"/>
        <v>39.395294117647055</v>
      </c>
      <c r="R1912" s="7">
        <f t="shared" si="2004"/>
        <v>117.49473684210527</v>
      </c>
      <c r="S1912" t="str">
        <f t="shared" si="2005"/>
        <v>technology</v>
      </c>
      <c r="T1912" t="str">
        <f t="shared" si="2006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ref="K1913:L1913" si="2060">(J1913/60/60/24)+DATE(1970,1,1)</f>
        <v>41830.033958333333</v>
      </c>
      <c r="L1913" s="11">
        <f t="shared" si="2002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2003"/>
        <v>2.3529411764705882E-2</v>
      </c>
      <c r="R1913" s="7">
        <f t="shared" si="2004"/>
        <v>10</v>
      </c>
      <c r="S1913" t="str">
        <f t="shared" si="2005"/>
        <v>technology</v>
      </c>
      <c r="T1913" t="str">
        <f t="shared" si="2006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ref="K1914:L1914" si="2061">(J1914/60/60/24)+DATE(1970,1,1)</f>
        <v>42129.226388888885</v>
      </c>
      <c r="L1914" s="11">
        <f t="shared" si="2002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2003"/>
        <v>59.3</v>
      </c>
      <c r="R1914" s="7">
        <f t="shared" si="2004"/>
        <v>70.595238095238102</v>
      </c>
      <c r="S1914" t="str">
        <f t="shared" si="2005"/>
        <v>technology</v>
      </c>
      <c r="T1914" t="str">
        <f t="shared" si="2006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ref="K1915:L1915" si="2062">(J1915/60/60/24)+DATE(1970,1,1)</f>
        <v>41890.511319444442</v>
      </c>
      <c r="L1915" s="11">
        <f t="shared" si="2002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2003"/>
        <v>1.3270833333333334</v>
      </c>
      <c r="R1915" s="7">
        <f t="shared" si="2004"/>
        <v>24.5</v>
      </c>
      <c r="S1915" t="str">
        <f t="shared" si="2005"/>
        <v>technology</v>
      </c>
      <c r="T1915" t="str">
        <f t="shared" si="2006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ref="K1916:L1916" si="2063">(J1916/60/60/24)+DATE(1970,1,1)</f>
        <v>41929.174456018518</v>
      </c>
      <c r="L1916" s="11">
        <f t="shared" si="2002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2003"/>
        <v>9.0090090090090094</v>
      </c>
      <c r="R1916" s="7">
        <f t="shared" si="2004"/>
        <v>30</v>
      </c>
      <c r="S1916" t="str">
        <f t="shared" si="2005"/>
        <v>technology</v>
      </c>
      <c r="T1916" t="str">
        <f t="shared" si="2006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ref="K1917:L1917" si="2064">(J1917/60/60/24)+DATE(1970,1,1)</f>
        <v>41864.04886574074</v>
      </c>
      <c r="L1917" s="11">
        <f t="shared" si="2002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2003"/>
        <v>1.6</v>
      </c>
      <c r="R1917" s="7">
        <f t="shared" si="2004"/>
        <v>2</v>
      </c>
      <c r="S1917" t="str">
        <f t="shared" si="2005"/>
        <v>technology</v>
      </c>
      <c r="T1917" t="str">
        <f t="shared" si="2006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ref="K1918:L1918" si="2065">(J1918/60/60/24)+DATE(1970,1,1)</f>
        <v>42656.717303240745</v>
      </c>
      <c r="L1918" s="11">
        <f t="shared" si="2002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2003"/>
        <v>0.51</v>
      </c>
      <c r="R1918" s="7">
        <f t="shared" si="2004"/>
        <v>17</v>
      </c>
      <c r="S1918" t="str">
        <f t="shared" si="2005"/>
        <v>technology</v>
      </c>
      <c r="T1918" t="str">
        <f t="shared" si="2006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ref="K1919:L1919" si="2066">(J1919/60/60/24)+DATE(1970,1,1)</f>
        <v>42746.270057870366</v>
      </c>
      <c r="L1919" s="11">
        <f t="shared" si="2002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2003"/>
        <v>52.570512820512818</v>
      </c>
      <c r="R1919" s="7">
        <f t="shared" si="2004"/>
        <v>2928.9285714285716</v>
      </c>
      <c r="S1919" t="str">
        <f t="shared" si="2005"/>
        <v>technology</v>
      </c>
      <c r="T1919" t="str">
        <f t="shared" si="2006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ref="K1920:L1920" si="2067">(J1920/60/60/24)+DATE(1970,1,1)</f>
        <v>41828.789942129632</v>
      </c>
      <c r="L1920" s="11">
        <f t="shared" si="2002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2003"/>
        <v>1.04</v>
      </c>
      <c r="R1920" s="7">
        <f t="shared" si="2004"/>
        <v>28.888888888888889</v>
      </c>
      <c r="S1920" t="str">
        <f t="shared" si="2005"/>
        <v>technology</v>
      </c>
      <c r="T1920" t="str">
        <f t="shared" si="2006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ref="K1921:L1921" si="2068">(J1921/60/60/24)+DATE(1970,1,1)</f>
        <v>42113.875567129624</v>
      </c>
      <c r="L1921" s="11">
        <f t="shared" si="2002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2003"/>
        <v>47.4</v>
      </c>
      <c r="R1921" s="7">
        <f t="shared" si="2004"/>
        <v>29.625</v>
      </c>
      <c r="S1921" t="str">
        <f t="shared" si="2005"/>
        <v>technology</v>
      </c>
      <c r="T1921" t="str">
        <f t="shared" si="2006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ref="K1922:L1922" si="2069">(J1922/60/60/24)+DATE(1970,1,1)</f>
        <v>42270.875706018516</v>
      </c>
      <c r="L1922" s="11">
        <f t="shared" si="2002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2003"/>
        <v>43.03</v>
      </c>
      <c r="R1922" s="7">
        <f t="shared" si="2004"/>
        <v>40.980952380952381</v>
      </c>
      <c r="S1922" t="str">
        <f t="shared" si="2005"/>
        <v>technology</v>
      </c>
      <c r="T1922" t="str">
        <f t="shared" si="2006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ref="K1923:L1923" si="2070">(J1923/60/60/24)+DATE(1970,1,1)</f>
        <v>41074.221562500003</v>
      </c>
      <c r="L1923" s="11">
        <f t="shared" ref="L1923:L1986" si="2071">(I1923/60/60/24)+DATE(1970,1,1)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2072">(E1923/D1923)*100</f>
        <v>136.80000000000001</v>
      </c>
      <c r="R1923" s="7">
        <f t="shared" ref="R1923:R1986" si="2073">IFERROR(E1923/N1923, 0)</f>
        <v>54</v>
      </c>
      <c r="S1923" t="str">
        <f t="shared" ref="S1923:S1986" si="2074">LEFT(P1923, SEARCH("/", P1923,1)-1)</f>
        <v>music</v>
      </c>
      <c r="T1923" t="str">
        <f t="shared" ref="T1923:T1986" si="2075">RIGHT(P1923,LEN(P1923)-SEARCH("/",P1923,SEARCH("/",P1923)))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ref="K1924:L1924" si="2076">(J1924/60/60/24)+DATE(1970,1,1)</f>
        <v>41590.255868055552</v>
      </c>
      <c r="L1924" s="11">
        <f t="shared" si="207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2072"/>
        <v>115.55</v>
      </c>
      <c r="R1924" s="7">
        <f t="shared" si="2073"/>
        <v>36.109375</v>
      </c>
      <c r="S1924" t="str">
        <f t="shared" si="2074"/>
        <v>music</v>
      </c>
      <c r="T1924" t="str">
        <f t="shared" si="207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ref="K1925:L1925" si="2077">(J1925/60/60/24)+DATE(1970,1,1)</f>
        <v>40772.848749999997</v>
      </c>
      <c r="L1925" s="11">
        <f t="shared" si="207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2072"/>
        <v>240.79999999999998</v>
      </c>
      <c r="R1925" s="7">
        <f t="shared" si="2073"/>
        <v>23.153846153846153</v>
      </c>
      <c r="S1925" t="str">
        <f t="shared" si="2074"/>
        <v>music</v>
      </c>
      <c r="T1925" t="str">
        <f t="shared" si="207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ref="K1926:L1926" si="2078">(J1926/60/60/24)+DATE(1970,1,1)</f>
        <v>41626.761053240742</v>
      </c>
      <c r="L1926" s="11">
        <f t="shared" si="207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2072"/>
        <v>114.39999999999999</v>
      </c>
      <c r="R1926" s="7">
        <f t="shared" si="2073"/>
        <v>104</v>
      </c>
      <c r="S1926" t="str">
        <f t="shared" si="2074"/>
        <v>music</v>
      </c>
      <c r="T1926" t="str">
        <f t="shared" si="207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ref="K1927:L1927" si="2079">(J1927/60/60/24)+DATE(1970,1,1)</f>
        <v>41535.90148148148</v>
      </c>
      <c r="L1927" s="11">
        <f t="shared" si="2071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2072"/>
        <v>110.33333333333333</v>
      </c>
      <c r="R1927" s="7">
        <f t="shared" si="2073"/>
        <v>31.826923076923077</v>
      </c>
      <c r="S1927" t="str">
        <f t="shared" si="2074"/>
        <v>music</v>
      </c>
      <c r="T1927" t="str">
        <f t="shared" si="207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ref="K1928:L1928" si="2080">(J1928/60/60/24)+DATE(1970,1,1)</f>
        <v>40456.954351851848</v>
      </c>
      <c r="L1928" s="11">
        <f t="shared" si="207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2072"/>
        <v>195.37933333333334</v>
      </c>
      <c r="R1928" s="7">
        <f t="shared" si="2073"/>
        <v>27.3896261682243</v>
      </c>
      <c r="S1928" t="str">
        <f t="shared" si="2074"/>
        <v>music</v>
      </c>
      <c r="T1928" t="str">
        <f t="shared" si="207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ref="K1929:L1929" si="2081">(J1929/60/60/24)+DATE(1970,1,1)</f>
        <v>40960.861562500002</v>
      </c>
      <c r="L1929" s="11">
        <f t="shared" si="207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2072"/>
        <v>103.33333333333334</v>
      </c>
      <c r="R1929" s="7">
        <f t="shared" si="2073"/>
        <v>56.363636363636367</v>
      </c>
      <c r="S1929" t="str">
        <f t="shared" si="2074"/>
        <v>music</v>
      </c>
      <c r="T1929" t="str">
        <f t="shared" si="207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ref="K1930:L1930" si="2082">(J1930/60/60/24)+DATE(1970,1,1)</f>
        <v>41371.648078703707</v>
      </c>
      <c r="L1930" s="11">
        <f t="shared" si="207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2072"/>
        <v>103.1372549019608</v>
      </c>
      <c r="R1930" s="7">
        <f t="shared" si="2073"/>
        <v>77.352941176470594</v>
      </c>
      <c r="S1930" t="str">
        <f t="shared" si="2074"/>
        <v>music</v>
      </c>
      <c r="T1930" t="str">
        <f t="shared" si="207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ref="K1931:L1931" si="2083">(J1931/60/60/24)+DATE(1970,1,1)</f>
        <v>40687.021597222221</v>
      </c>
      <c r="L1931" s="11">
        <f t="shared" si="207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2072"/>
        <v>100.3125</v>
      </c>
      <c r="R1931" s="7">
        <f t="shared" si="2073"/>
        <v>42.8</v>
      </c>
      <c r="S1931" t="str">
        <f t="shared" si="2074"/>
        <v>music</v>
      </c>
      <c r="T1931" t="str">
        <f t="shared" si="207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ref="K1932:L1932" si="2084">(J1932/60/60/24)+DATE(1970,1,1)</f>
        <v>41402.558819444443</v>
      </c>
      <c r="L1932" s="11">
        <f t="shared" si="207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2072"/>
        <v>127</v>
      </c>
      <c r="R1932" s="7">
        <f t="shared" si="2073"/>
        <v>48.846153846153847</v>
      </c>
      <c r="S1932" t="str">
        <f t="shared" si="2074"/>
        <v>music</v>
      </c>
      <c r="T1932" t="str">
        <f t="shared" si="207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ref="K1933:L1933" si="2085">(J1933/60/60/24)+DATE(1970,1,1)</f>
        <v>41037.892465277779</v>
      </c>
      <c r="L1933" s="11">
        <f t="shared" si="207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2072"/>
        <v>120.601</v>
      </c>
      <c r="R1933" s="7">
        <f t="shared" si="2073"/>
        <v>48.240400000000001</v>
      </c>
      <c r="S1933" t="str">
        <f t="shared" si="2074"/>
        <v>music</v>
      </c>
      <c r="T1933" t="str">
        <f t="shared" si="207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ref="K1934:L1934" si="2086">(J1934/60/60/24)+DATE(1970,1,1)</f>
        <v>40911.809872685182</v>
      </c>
      <c r="L1934" s="11">
        <f t="shared" si="207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2072"/>
        <v>106.99047619047619</v>
      </c>
      <c r="R1934" s="7">
        <f t="shared" si="2073"/>
        <v>70.212500000000006</v>
      </c>
      <c r="S1934" t="str">
        <f t="shared" si="2074"/>
        <v>music</v>
      </c>
      <c r="T1934" t="str">
        <f t="shared" si="207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ref="K1935:L1935" si="2087">(J1935/60/60/24)+DATE(1970,1,1)</f>
        <v>41879.130868055552</v>
      </c>
      <c r="L1935" s="11">
        <f t="shared" si="207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2072"/>
        <v>172.43333333333334</v>
      </c>
      <c r="R1935" s="7">
        <f t="shared" si="2073"/>
        <v>94.054545454545448</v>
      </c>
      <c r="S1935" t="str">
        <f t="shared" si="2074"/>
        <v>music</v>
      </c>
      <c r="T1935" t="str">
        <f t="shared" si="207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ref="K1936:L1936" si="2088">(J1936/60/60/24)+DATE(1970,1,1)</f>
        <v>40865.867141203707</v>
      </c>
      <c r="L1936" s="11">
        <f t="shared" si="207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2072"/>
        <v>123.61999999999999</v>
      </c>
      <c r="R1936" s="7">
        <f t="shared" si="2073"/>
        <v>80.272727272727266</v>
      </c>
      <c r="S1936" t="str">
        <f t="shared" si="2074"/>
        <v>music</v>
      </c>
      <c r="T1936" t="str">
        <f t="shared" si="207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ref="K1937:L1937" si="2089">(J1937/60/60/24)+DATE(1970,1,1)</f>
        <v>41773.932534722226</v>
      </c>
      <c r="L1937" s="11">
        <f t="shared" si="207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2072"/>
        <v>108.4</v>
      </c>
      <c r="R1937" s="7">
        <f t="shared" si="2073"/>
        <v>54.2</v>
      </c>
      <c r="S1937" t="str">
        <f t="shared" si="2074"/>
        <v>music</v>
      </c>
      <c r="T1937" t="str">
        <f t="shared" si="207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ref="K1938:L1938" si="2090">(J1938/60/60/24)+DATE(1970,1,1)</f>
        <v>40852.889699074076</v>
      </c>
      <c r="L1938" s="11">
        <f t="shared" si="207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2072"/>
        <v>116.52013333333333</v>
      </c>
      <c r="R1938" s="7">
        <f t="shared" si="2073"/>
        <v>60.26903448275862</v>
      </c>
      <c r="S1938" t="str">
        <f t="shared" si="2074"/>
        <v>music</v>
      </c>
      <c r="T1938" t="str">
        <f t="shared" si="207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ref="K1939:L1939" si="2091">(J1939/60/60/24)+DATE(1970,1,1)</f>
        <v>41059.118993055556</v>
      </c>
      <c r="L1939" s="11">
        <f t="shared" si="207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2072"/>
        <v>187.245</v>
      </c>
      <c r="R1939" s="7">
        <f t="shared" si="2073"/>
        <v>38.740344827586206</v>
      </c>
      <c r="S1939" t="str">
        <f t="shared" si="2074"/>
        <v>music</v>
      </c>
      <c r="T1939" t="str">
        <f t="shared" si="207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ref="K1940:L1940" si="2092">(J1940/60/60/24)+DATE(1970,1,1)</f>
        <v>41426.259618055556</v>
      </c>
      <c r="L1940" s="11">
        <f t="shared" si="207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2072"/>
        <v>115.93333333333334</v>
      </c>
      <c r="R1940" s="7">
        <f t="shared" si="2073"/>
        <v>152.54385964912279</v>
      </c>
      <c r="S1940" t="str">
        <f t="shared" si="2074"/>
        <v>music</v>
      </c>
      <c r="T1940" t="str">
        <f t="shared" si="207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ref="K1941:L1941" si="2093">(J1941/60/60/24)+DATE(1970,1,1)</f>
        <v>41313.985046296293</v>
      </c>
      <c r="L1941" s="11">
        <f t="shared" si="207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2072"/>
        <v>110.7</v>
      </c>
      <c r="R1941" s="7">
        <f t="shared" si="2073"/>
        <v>115.3125</v>
      </c>
      <c r="S1941" t="str">
        <f t="shared" si="2074"/>
        <v>music</v>
      </c>
      <c r="T1941" t="str">
        <f t="shared" si="207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ref="K1942:L1942" si="2094">(J1942/60/60/24)+DATE(1970,1,1)</f>
        <v>40670.507326388892</v>
      </c>
      <c r="L1942" s="11">
        <f t="shared" si="207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2072"/>
        <v>170.92307692307693</v>
      </c>
      <c r="R1942" s="7">
        <f t="shared" si="2073"/>
        <v>35.838709677419352</v>
      </c>
      <c r="S1942" t="str">
        <f t="shared" si="2074"/>
        <v>music</v>
      </c>
      <c r="T1942" t="str">
        <f t="shared" si="207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ref="K1943:L1943" si="2095">(J1943/60/60/24)+DATE(1970,1,1)</f>
        <v>41744.290868055556</v>
      </c>
      <c r="L1943" s="11">
        <f t="shared" si="207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2072"/>
        <v>126.11835600000001</v>
      </c>
      <c r="R1943" s="7">
        <f t="shared" si="2073"/>
        <v>64.570118779438872</v>
      </c>
      <c r="S1943" t="str">
        <f t="shared" si="2074"/>
        <v>technology</v>
      </c>
      <c r="T1943" t="str">
        <f t="shared" si="207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ref="K1944:L1944" si="2096">(J1944/60/60/24)+DATE(1970,1,1)</f>
        <v>40638.828009259261</v>
      </c>
      <c r="L1944" s="11">
        <f t="shared" si="207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2072"/>
        <v>138.44033333333334</v>
      </c>
      <c r="R1944" s="7">
        <f t="shared" si="2073"/>
        <v>87.436000000000007</v>
      </c>
      <c r="S1944" t="str">
        <f t="shared" si="2074"/>
        <v>technology</v>
      </c>
      <c r="T1944" t="str">
        <f t="shared" si="207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ref="K1945:L1945" si="2097">(J1945/60/60/24)+DATE(1970,1,1)</f>
        <v>42548.269861111112</v>
      </c>
      <c r="L1945" s="11">
        <f t="shared" si="207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2072"/>
        <v>1705.2499999999998</v>
      </c>
      <c r="R1945" s="7">
        <f t="shared" si="2073"/>
        <v>68.815577078288939</v>
      </c>
      <c r="S1945" t="str">
        <f t="shared" si="2074"/>
        <v>technology</v>
      </c>
      <c r="T1945" t="str">
        <f t="shared" si="207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ref="K1946:L1946" si="2098">(J1946/60/60/24)+DATE(1970,1,1)</f>
        <v>41730.584374999999</v>
      </c>
      <c r="L1946" s="11">
        <f t="shared" si="207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2072"/>
        <v>788.05550000000005</v>
      </c>
      <c r="R1946" s="7">
        <f t="shared" si="2073"/>
        <v>176.200223588597</v>
      </c>
      <c r="S1946" t="str">
        <f t="shared" si="2074"/>
        <v>technology</v>
      </c>
      <c r="T1946" t="str">
        <f t="shared" si="207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ref="K1947:L1947" si="2099">(J1947/60/60/24)+DATE(1970,1,1)</f>
        <v>42157.251828703709</v>
      </c>
      <c r="L1947" s="11">
        <f t="shared" si="207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2072"/>
        <v>348.01799999999997</v>
      </c>
      <c r="R1947" s="7">
        <f t="shared" si="2073"/>
        <v>511.79117647058825</v>
      </c>
      <c r="S1947" t="str">
        <f t="shared" si="2074"/>
        <v>technology</v>
      </c>
      <c r="T1947" t="str">
        <f t="shared" si="207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ref="K1948:L1948" si="2100">(J1948/60/60/24)+DATE(1970,1,1)</f>
        <v>41689.150011574071</v>
      </c>
      <c r="L1948" s="11">
        <f t="shared" si="207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2072"/>
        <v>149.74666666666667</v>
      </c>
      <c r="R1948" s="7">
        <f t="shared" si="2073"/>
        <v>160.44285714285715</v>
      </c>
      <c r="S1948" t="str">
        <f t="shared" si="2074"/>
        <v>technology</v>
      </c>
      <c r="T1948" t="str">
        <f t="shared" si="207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ref="K1949:L1949" si="2101">(J1949/60/60/24)+DATE(1970,1,1)</f>
        <v>40102.918055555558</v>
      </c>
      <c r="L1949" s="11">
        <f t="shared" si="207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2072"/>
        <v>100.63375000000001</v>
      </c>
      <c r="R1949" s="7">
        <f t="shared" si="2073"/>
        <v>35.003043478260871</v>
      </c>
      <c r="S1949" t="str">
        <f t="shared" si="2074"/>
        <v>technology</v>
      </c>
      <c r="T1949" t="str">
        <f t="shared" si="207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ref="K1950:L1950" si="2102">(J1950/60/60/24)+DATE(1970,1,1)</f>
        <v>42473.604270833333</v>
      </c>
      <c r="L1950" s="11">
        <f t="shared" si="207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2072"/>
        <v>800.21100000000001</v>
      </c>
      <c r="R1950" s="7">
        <f t="shared" si="2073"/>
        <v>188.50671378091872</v>
      </c>
      <c r="S1950" t="str">
        <f t="shared" si="2074"/>
        <v>technology</v>
      </c>
      <c r="T1950" t="str">
        <f t="shared" si="207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ref="K1951:L1951" si="2103">(J1951/60/60/24)+DATE(1970,1,1)</f>
        <v>41800.423043981478</v>
      </c>
      <c r="L1951" s="11">
        <f t="shared" si="207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2072"/>
        <v>106.00260000000002</v>
      </c>
      <c r="R1951" s="7">
        <f t="shared" si="2073"/>
        <v>56.204984093319197</v>
      </c>
      <c r="S1951" t="str">
        <f t="shared" si="2074"/>
        <v>technology</v>
      </c>
      <c r="T1951" t="str">
        <f t="shared" si="207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ref="K1952:L1952" si="2104">(J1952/60/60/24)+DATE(1970,1,1)</f>
        <v>40624.181400462963</v>
      </c>
      <c r="L1952" s="11">
        <f t="shared" si="207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2072"/>
        <v>200.51866666666669</v>
      </c>
      <c r="R1952" s="7">
        <f t="shared" si="2073"/>
        <v>51.3054157782516</v>
      </c>
      <c r="S1952" t="str">
        <f t="shared" si="2074"/>
        <v>technology</v>
      </c>
      <c r="T1952" t="str">
        <f t="shared" si="207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ref="K1953:L1953" si="2105">(J1953/60/60/24)+DATE(1970,1,1)</f>
        <v>42651.420567129629</v>
      </c>
      <c r="L1953" s="11">
        <f t="shared" si="207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2072"/>
        <v>212.44399999999999</v>
      </c>
      <c r="R1953" s="7">
        <f t="shared" si="2073"/>
        <v>127.36450839328538</v>
      </c>
      <c r="S1953" t="str">
        <f t="shared" si="2074"/>
        <v>technology</v>
      </c>
      <c r="T1953" t="str">
        <f t="shared" si="207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ref="K1954:L1954" si="2106">(J1954/60/60/24)+DATE(1970,1,1)</f>
        <v>41526.60665509259</v>
      </c>
      <c r="L1954" s="11">
        <f t="shared" si="207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2072"/>
        <v>198.47237142857145</v>
      </c>
      <c r="R1954" s="7">
        <f t="shared" si="2073"/>
        <v>101.85532258064516</v>
      </c>
      <c r="S1954" t="str">
        <f t="shared" si="2074"/>
        <v>technology</v>
      </c>
      <c r="T1954" t="str">
        <f t="shared" si="207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ref="K1955:L1955" si="2107">(J1955/60/60/24)+DATE(1970,1,1)</f>
        <v>40941.199826388889</v>
      </c>
      <c r="L1955" s="11">
        <f t="shared" si="2071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2072"/>
        <v>225.94666666666666</v>
      </c>
      <c r="R1955" s="7">
        <f t="shared" si="2073"/>
        <v>230.55782312925169</v>
      </c>
      <c r="S1955" t="str">
        <f t="shared" si="2074"/>
        <v>technology</v>
      </c>
      <c r="T1955" t="str">
        <f t="shared" si="207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ref="K1956:L1956" si="2108">(J1956/60/60/24)+DATE(1970,1,1)</f>
        <v>42394.580740740741</v>
      </c>
      <c r="L1956" s="11">
        <f t="shared" si="207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2072"/>
        <v>698.94800000000009</v>
      </c>
      <c r="R1956" s="7">
        <f t="shared" si="2073"/>
        <v>842.10602409638557</v>
      </c>
      <c r="S1956" t="str">
        <f t="shared" si="2074"/>
        <v>technology</v>
      </c>
      <c r="T1956" t="str">
        <f t="shared" si="207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ref="K1957:L1957" si="2109">(J1957/60/60/24)+DATE(1970,1,1)</f>
        <v>41020.271770833337</v>
      </c>
      <c r="L1957" s="11">
        <f t="shared" si="207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2072"/>
        <v>398.59528571428569</v>
      </c>
      <c r="R1957" s="7">
        <f t="shared" si="2073"/>
        <v>577.27593103448271</v>
      </c>
      <c r="S1957" t="str">
        <f t="shared" si="2074"/>
        <v>technology</v>
      </c>
      <c r="T1957" t="str">
        <f t="shared" si="207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ref="K1958:L1958" si="2110">(J1958/60/60/24)+DATE(1970,1,1)</f>
        <v>42067.923668981486</v>
      </c>
      <c r="L1958" s="11">
        <f t="shared" si="207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2072"/>
        <v>294.0333333333333</v>
      </c>
      <c r="R1958" s="7">
        <f t="shared" si="2073"/>
        <v>483.34246575342468</v>
      </c>
      <c r="S1958" t="str">
        <f t="shared" si="2074"/>
        <v>technology</v>
      </c>
      <c r="T1958" t="str">
        <f t="shared" si="207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ref="K1959:L1959" si="2111">(J1959/60/60/24)+DATE(1970,1,1)</f>
        <v>41179.098530092589</v>
      </c>
      <c r="L1959" s="11">
        <f t="shared" si="207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2072"/>
        <v>167.50470000000001</v>
      </c>
      <c r="R1959" s="7">
        <f t="shared" si="2073"/>
        <v>76.138500000000008</v>
      </c>
      <c r="S1959" t="str">
        <f t="shared" si="2074"/>
        <v>technology</v>
      </c>
      <c r="T1959" t="str">
        <f t="shared" si="207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ref="K1960:L1960" si="2112">(J1960/60/60/24)+DATE(1970,1,1)</f>
        <v>41326.987974537034</v>
      </c>
      <c r="L1960" s="11">
        <f t="shared" si="207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2072"/>
        <v>1435.5717142857143</v>
      </c>
      <c r="R1960" s="7">
        <f t="shared" si="2073"/>
        <v>74.107684365781708</v>
      </c>
      <c r="S1960" t="str">
        <f t="shared" si="2074"/>
        <v>technology</v>
      </c>
      <c r="T1960" t="str">
        <f t="shared" si="207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ref="K1961:L1961" si="2113">(J1961/60/60/24)+DATE(1970,1,1)</f>
        <v>41871.845601851855</v>
      </c>
      <c r="L1961" s="11">
        <f t="shared" si="2071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2072"/>
        <v>156.73439999999999</v>
      </c>
      <c r="R1961" s="7">
        <f t="shared" si="2073"/>
        <v>36.965660377358489</v>
      </c>
      <c r="S1961" t="str">
        <f t="shared" si="2074"/>
        <v>technology</v>
      </c>
      <c r="T1961" t="str">
        <f t="shared" si="207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ref="K1962:L1962" si="2114">(J1962/60/60/24)+DATE(1970,1,1)</f>
        <v>41964.362743055557</v>
      </c>
      <c r="L1962" s="11">
        <f t="shared" si="207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2072"/>
        <v>117.90285714285716</v>
      </c>
      <c r="R1962" s="7">
        <f t="shared" si="2073"/>
        <v>2500.969696969697</v>
      </c>
      <c r="S1962" t="str">
        <f t="shared" si="2074"/>
        <v>technology</v>
      </c>
      <c r="T1962" t="str">
        <f t="shared" si="207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ref="K1963:L1963" si="2115">(J1963/60/60/24)+DATE(1970,1,1)</f>
        <v>41148.194641203707</v>
      </c>
      <c r="L1963" s="11">
        <f t="shared" si="207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2072"/>
        <v>1105.3811999999998</v>
      </c>
      <c r="R1963" s="7">
        <f t="shared" si="2073"/>
        <v>67.690214329454989</v>
      </c>
      <c r="S1963" t="str">
        <f t="shared" si="2074"/>
        <v>technology</v>
      </c>
      <c r="T1963" t="str">
        <f t="shared" si="207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ref="K1964:L1964" si="2116">(J1964/60/60/24)+DATE(1970,1,1)</f>
        <v>41742.780509259261</v>
      </c>
      <c r="L1964" s="11">
        <f t="shared" si="207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2072"/>
        <v>192.92499999999998</v>
      </c>
      <c r="R1964" s="7">
        <f t="shared" si="2073"/>
        <v>63.04738562091503</v>
      </c>
      <c r="S1964" t="str">
        <f t="shared" si="2074"/>
        <v>technology</v>
      </c>
      <c r="T1964" t="str">
        <f t="shared" si="207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ref="K1965:L1965" si="2117">(J1965/60/60/24)+DATE(1970,1,1)</f>
        <v>41863.429791666669</v>
      </c>
      <c r="L1965" s="11">
        <f t="shared" si="207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2072"/>
        <v>126.8842105263158</v>
      </c>
      <c r="R1965" s="7">
        <f t="shared" si="2073"/>
        <v>117.6</v>
      </c>
      <c r="S1965" t="str">
        <f t="shared" si="2074"/>
        <v>technology</v>
      </c>
      <c r="T1965" t="str">
        <f t="shared" si="207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ref="K1966:L1966" si="2118">(J1966/60/60/24)+DATE(1970,1,1)</f>
        <v>42452.272824074069</v>
      </c>
      <c r="L1966" s="11">
        <f t="shared" si="207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2072"/>
        <v>259.57748878923763</v>
      </c>
      <c r="R1966" s="7">
        <f t="shared" si="2073"/>
        <v>180.75185011709601</v>
      </c>
      <c r="S1966" t="str">
        <f t="shared" si="2074"/>
        <v>technology</v>
      </c>
      <c r="T1966" t="str">
        <f t="shared" si="207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ref="K1967:L1967" si="2119">(J1967/60/60/24)+DATE(1970,1,1)</f>
        <v>40898.089236111111</v>
      </c>
      <c r="L1967" s="11">
        <f t="shared" si="207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2072"/>
        <v>262.27999999999997</v>
      </c>
      <c r="R1967" s="7">
        <f t="shared" si="2073"/>
        <v>127.32038834951456</v>
      </c>
      <c r="S1967" t="str">
        <f t="shared" si="2074"/>
        <v>technology</v>
      </c>
      <c r="T1967" t="str">
        <f t="shared" si="207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ref="K1968:L1968" si="2120">(J1968/60/60/24)+DATE(1970,1,1)</f>
        <v>41835.540486111109</v>
      </c>
      <c r="L1968" s="11">
        <f t="shared" si="207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2072"/>
        <v>206.74309000000002</v>
      </c>
      <c r="R1968" s="7">
        <f t="shared" si="2073"/>
        <v>136.6444745538665</v>
      </c>
      <c r="S1968" t="str">
        <f t="shared" si="2074"/>
        <v>technology</v>
      </c>
      <c r="T1968" t="str">
        <f t="shared" si="207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ref="K1969:L1969" si="2121">(J1969/60/60/24)+DATE(1970,1,1)</f>
        <v>41730.663530092592</v>
      </c>
      <c r="L1969" s="11">
        <f t="shared" si="207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2072"/>
        <v>370.13</v>
      </c>
      <c r="R1969" s="7">
        <f t="shared" si="2073"/>
        <v>182.78024691358024</v>
      </c>
      <c r="S1969" t="str">
        <f t="shared" si="2074"/>
        <v>technology</v>
      </c>
      <c r="T1969" t="str">
        <f t="shared" si="207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ref="K1970:L1970" si="2122">(J1970/60/60/24)+DATE(1970,1,1)</f>
        <v>42676.586979166663</v>
      </c>
      <c r="L1970" s="11">
        <f t="shared" si="207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2072"/>
        <v>284.96600000000001</v>
      </c>
      <c r="R1970" s="7">
        <f t="shared" si="2073"/>
        <v>279.37843137254902</v>
      </c>
      <c r="S1970" t="str">
        <f t="shared" si="2074"/>
        <v>technology</v>
      </c>
      <c r="T1970" t="str">
        <f t="shared" si="207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ref="K1971:L1971" si="2123">(J1971/60/60/24)+DATE(1970,1,1)</f>
        <v>42557.792453703703</v>
      </c>
      <c r="L1971" s="11">
        <f t="shared" si="207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2072"/>
        <v>579.08000000000004</v>
      </c>
      <c r="R1971" s="7">
        <f t="shared" si="2073"/>
        <v>61.375728669846318</v>
      </c>
      <c r="S1971" t="str">
        <f t="shared" si="2074"/>
        <v>technology</v>
      </c>
      <c r="T1971" t="str">
        <f t="shared" si="207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ref="K1972:L1972" si="2124">(J1972/60/60/24)+DATE(1970,1,1)</f>
        <v>41324.193298611113</v>
      </c>
      <c r="L1972" s="11">
        <f t="shared" si="207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2072"/>
        <v>1131.8</v>
      </c>
      <c r="R1972" s="7">
        <f t="shared" si="2073"/>
        <v>80.727532097004286</v>
      </c>
      <c r="S1972" t="str">
        <f t="shared" si="2074"/>
        <v>technology</v>
      </c>
      <c r="T1972" t="str">
        <f t="shared" si="207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ref="K1973:L1973" si="2125">(J1973/60/60/24)+DATE(1970,1,1)</f>
        <v>41561.500706018516</v>
      </c>
      <c r="L1973" s="11">
        <f t="shared" si="207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2072"/>
        <v>263.02771750000005</v>
      </c>
      <c r="R1973" s="7">
        <f t="shared" si="2073"/>
        <v>272.35590732591254</v>
      </c>
      <c r="S1973" t="str">
        <f t="shared" si="2074"/>
        <v>technology</v>
      </c>
      <c r="T1973" t="str">
        <f t="shared" si="207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ref="K1974:L1974" si="2126">(J1974/60/60/24)+DATE(1970,1,1)</f>
        <v>41201.012083333335</v>
      </c>
      <c r="L1974" s="11">
        <f t="shared" si="207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2072"/>
        <v>674.48</v>
      </c>
      <c r="R1974" s="7">
        <f t="shared" si="2073"/>
        <v>70.848739495798313</v>
      </c>
      <c r="S1974" t="str">
        <f t="shared" si="2074"/>
        <v>technology</v>
      </c>
      <c r="T1974" t="str">
        <f t="shared" si="207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ref="K1975:L1975" si="2127">(J1975/60/60/24)+DATE(1970,1,1)</f>
        <v>42549.722962962958</v>
      </c>
      <c r="L1975" s="11">
        <f t="shared" si="207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2072"/>
        <v>256.83081313131316</v>
      </c>
      <c r="R1975" s="7">
        <f t="shared" si="2073"/>
        <v>247.94003412969283</v>
      </c>
      <c r="S1975" t="str">
        <f t="shared" si="2074"/>
        <v>technology</v>
      </c>
      <c r="T1975" t="str">
        <f t="shared" si="207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ref="K1976:L1976" si="2128">(J1976/60/60/24)+DATE(1970,1,1)</f>
        <v>41445.334131944444</v>
      </c>
      <c r="L1976" s="11">
        <f t="shared" si="207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2072"/>
        <v>375.49599999999998</v>
      </c>
      <c r="R1976" s="7">
        <f t="shared" si="2073"/>
        <v>186.81393034825871</v>
      </c>
      <c r="S1976" t="str">
        <f t="shared" si="2074"/>
        <v>technology</v>
      </c>
      <c r="T1976" t="str">
        <f t="shared" si="207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ref="K1977:L1977" si="2129">(J1977/60/60/24)+DATE(1970,1,1)</f>
        <v>41313.755219907405</v>
      </c>
      <c r="L1977" s="11">
        <f t="shared" si="207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2072"/>
        <v>208.70837499999996</v>
      </c>
      <c r="R1977" s="7">
        <f t="shared" si="2073"/>
        <v>131.98948616600788</v>
      </c>
      <c r="S1977" t="str">
        <f t="shared" si="2074"/>
        <v>technology</v>
      </c>
      <c r="T1977" t="str">
        <f t="shared" si="207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ref="K1978:L1978" si="2130">(J1978/60/60/24)+DATE(1970,1,1)</f>
        <v>41438.899594907409</v>
      </c>
      <c r="L1978" s="11">
        <f t="shared" si="207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2072"/>
        <v>346.6</v>
      </c>
      <c r="R1978" s="7">
        <f t="shared" si="2073"/>
        <v>29.310782241014799</v>
      </c>
      <c r="S1978" t="str">
        <f t="shared" si="2074"/>
        <v>technology</v>
      </c>
      <c r="T1978" t="str">
        <f t="shared" si="207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ref="K1979:L1979" si="2131">(J1979/60/60/24)+DATE(1970,1,1)</f>
        <v>42311.216898148152</v>
      </c>
      <c r="L1979" s="11">
        <f t="shared" si="207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2072"/>
        <v>402.33</v>
      </c>
      <c r="R1979" s="7">
        <f t="shared" si="2073"/>
        <v>245.02436053593178</v>
      </c>
      <c r="S1979" t="str">
        <f t="shared" si="2074"/>
        <v>technology</v>
      </c>
      <c r="T1979" t="str">
        <f t="shared" si="207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ref="K1980:L1980" si="2132">(J1980/60/60/24)+DATE(1970,1,1)</f>
        <v>41039.225601851853</v>
      </c>
      <c r="L1980" s="11">
        <f t="shared" si="207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2072"/>
        <v>1026.8451399999999</v>
      </c>
      <c r="R1980" s="7">
        <f t="shared" si="2073"/>
        <v>1323.2540463917526</v>
      </c>
      <c r="S1980" t="str">
        <f t="shared" si="2074"/>
        <v>technology</v>
      </c>
      <c r="T1980" t="str">
        <f t="shared" si="207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ref="K1981:L1981" si="2133">(J1981/60/60/24)+DATE(1970,1,1)</f>
        <v>42290.460023148145</v>
      </c>
      <c r="L1981" s="11">
        <f t="shared" si="207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2072"/>
        <v>114.901155</v>
      </c>
      <c r="R1981" s="7">
        <f t="shared" si="2073"/>
        <v>282.65966789667897</v>
      </c>
      <c r="S1981" t="str">
        <f t="shared" si="2074"/>
        <v>technology</v>
      </c>
      <c r="T1981" t="str">
        <f t="shared" si="207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ref="K1982:L1982" si="2134">(J1982/60/60/24)+DATE(1970,1,1)</f>
        <v>42423.542384259257</v>
      </c>
      <c r="L1982" s="11">
        <f t="shared" si="207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2072"/>
        <v>354.82402000000002</v>
      </c>
      <c r="R1982" s="7">
        <f t="shared" si="2073"/>
        <v>91.214401028277635</v>
      </c>
      <c r="S1982" t="str">
        <f t="shared" si="2074"/>
        <v>technology</v>
      </c>
      <c r="T1982" t="str">
        <f t="shared" si="207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ref="K1983:L1983" si="2135">(J1983/60/60/24)+DATE(1970,1,1)</f>
        <v>41799.725289351853</v>
      </c>
      <c r="L1983" s="11">
        <f t="shared" si="207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2072"/>
        <v>5.08</v>
      </c>
      <c r="R1983" s="7">
        <f t="shared" si="2073"/>
        <v>31.75</v>
      </c>
      <c r="S1983" t="str">
        <f t="shared" si="2074"/>
        <v>photography</v>
      </c>
      <c r="T1983" t="str">
        <f t="shared" si="207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ref="K1984:L1984" si="2136">(J1984/60/60/24)+DATE(1970,1,1)</f>
        <v>42678.586655092593</v>
      </c>
      <c r="L1984" s="11">
        <f t="shared" si="207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2072"/>
        <v>0</v>
      </c>
      <c r="R1984" s="7">
        <f t="shared" si="2073"/>
        <v>0</v>
      </c>
      <c r="S1984" t="str">
        <f t="shared" si="2074"/>
        <v>photography</v>
      </c>
      <c r="T1984" t="str">
        <f t="shared" si="207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ref="K1985:L1985" si="2137">(J1985/60/60/24)+DATE(1970,1,1)</f>
        <v>42593.011782407411</v>
      </c>
      <c r="L1985" s="11">
        <f t="shared" si="207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2072"/>
        <v>4.3</v>
      </c>
      <c r="R1985" s="7">
        <f t="shared" si="2073"/>
        <v>88.6875</v>
      </c>
      <c r="S1985" t="str">
        <f t="shared" si="2074"/>
        <v>photography</v>
      </c>
      <c r="T1985" t="str">
        <f t="shared" si="207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ref="K1986:L1986" si="2138">(J1986/60/60/24)+DATE(1970,1,1)</f>
        <v>41913.790289351848</v>
      </c>
      <c r="L1986" s="11">
        <f t="shared" si="207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2072"/>
        <v>21.146666666666665</v>
      </c>
      <c r="R1986" s="7">
        <f t="shared" si="2073"/>
        <v>453.14285714285717</v>
      </c>
      <c r="S1986" t="str">
        <f t="shared" si="2074"/>
        <v>photography</v>
      </c>
      <c r="T1986" t="str">
        <f t="shared" si="207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ref="K1987:L1987" si="2139">(J1987/60/60/24)+DATE(1970,1,1)</f>
        <v>42555.698738425926</v>
      </c>
      <c r="L1987" s="11">
        <f t="shared" ref="L1987:L2050" si="2140">(I1987/60/60/24)+DATE(1970,1,1)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2141">(E1987/D1987)*100</f>
        <v>3.1875</v>
      </c>
      <c r="R1987" s="7">
        <f t="shared" ref="R1987:R2050" si="2142">IFERROR(E1987/N1987, 0)</f>
        <v>12.75</v>
      </c>
      <c r="S1987" t="str">
        <f t="shared" ref="S1987:S2050" si="2143">LEFT(P1987, SEARCH("/", P1987,1)-1)</f>
        <v>photography</v>
      </c>
      <c r="T1987" t="str">
        <f t="shared" ref="T1987:T2050" si="2144">RIGHT(P1987,LEN(P1987)-SEARCH("/",P1987,SEARCH("/",P1987)))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ref="K1988:L1988" si="2145">(J1988/60/60/24)+DATE(1970,1,1)</f>
        <v>42413.433831018512</v>
      </c>
      <c r="L1988" s="11">
        <f t="shared" si="2140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2141"/>
        <v>0.05</v>
      </c>
      <c r="R1988" s="7">
        <f t="shared" si="2142"/>
        <v>1</v>
      </c>
      <c r="S1988" t="str">
        <f t="shared" si="2143"/>
        <v>photography</v>
      </c>
      <c r="T1988" t="str">
        <f t="shared" si="2144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ref="K1989:L1989" si="2146">(J1989/60/60/24)+DATE(1970,1,1)</f>
        <v>42034.639768518522</v>
      </c>
      <c r="L1989" s="11">
        <f t="shared" si="2140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2141"/>
        <v>42.472727272727276</v>
      </c>
      <c r="R1989" s="7">
        <f t="shared" si="2142"/>
        <v>83.428571428571431</v>
      </c>
      <c r="S1989" t="str">
        <f t="shared" si="2143"/>
        <v>photography</v>
      </c>
      <c r="T1989" t="str">
        <f t="shared" si="2144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ref="K1990:L1990" si="2147">(J1990/60/60/24)+DATE(1970,1,1)</f>
        <v>42206.763217592597</v>
      </c>
      <c r="L1990" s="11">
        <f t="shared" si="2140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2141"/>
        <v>0.41666666666666669</v>
      </c>
      <c r="R1990" s="7">
        <f t="shared" si="2142"/>
        <v>25</v>
      </c>
      <c r="S1990" t="str">
        <f t="shared" si="2143"/>
        <v>photography</v>
      </c>
      <c r="T1990" t="str">
        <f t="shared" si="2144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ref="K1991:L1991" si="2148">(J1991/60/60/24)+DATE(1970,1,1)</f>
        <v>42685.680648148147</v>
      </c>
      <c r="L1991" s="11">
        <f t="shared" si="2140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2141"/>
        <v>1</v>
      </c>
      <c r="R1991" s="7">
        <f t="shared" si="2142"/>
        <v>50</v>
      </c>
      <c r="S1991" t="str">
        <f t="shared" si="2143"/>
        <v>photography</v>
      </c>
      <c r="T1991" t="str">
        <f t="shared" si="2144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ref="K1992:L1992" si="2149">(J1992/60/60/24)+DATE(1970,1,1)</f>
        <v>42398.195972222224</v>
      </c>
      <c r="L1992" s="11">
        <f t="shared" si="2140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2141"/>
        <v>16.966666666666665</v>
      </c>
      <c r="R1992" s="7">
        <f t="shared" si="2142"/>
        <v>101.8</v>
      </c>
      <c r="S1992" t="str">
        <f t="shared" si="2143"/>
        <v>photography</v>
      </c>
      <c r="T1992" t="str">
        <f t="shared" si="2144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ref="K1993:L1993" si="2150">(J1993/60/60/24)+DATE(1970,1,1)</f>
        <v>42167.89335648148</v>
      </c>
      <c r="L1993" s="11">
        <f t="shared" si="2140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2141"/>
        <v>7.0000000000000009</v>
      </c>
      <c r="R1993" s="7">
        <f t="shared" si="2142"/>
        <v>46.666666666666664</v>
      </c>
      <c r="S1993" t="str">
        <f t="shared" si="2143"/>
        <v>photography</v>
      </c>
      <c r="T1993" t="str">
        <f t="shared" si="2144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ref="K1994:L1994" si="2151">(J1994/60/60/24)+DATE(1970,1,1)</f>
        <v>42023.143414351856</v>
      </c>
      <c r="L1994" s="11">
        <f t="shared" si="2140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2141"/>
        <v>0.13333333333333333</v>
      </c>
      <c r="R1994" s="7">
        <f t="shared" si="2142"/>
        <v>1</v>
      </c>
      <c r="S1994" t="str">
        <f t="shared" si="2143"/>
        <v>photography</v>
      </c>
      <c r="T1994" t="str">
        <f t="shared" si="2144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ref="K1995:L1995" si="2152">(J1995/60/60/24)+DATE(1970,1,1)</f>
        <v>42329.58839120371</v>
      </c>
      <c r="L1995" s="11">
        <f t="shared" si="2140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2141"/>
        <v>0</v>
      </c>
      <c r="R1995" s="7">
        <f t="shared" si="2142"/>
        <v>0</v>
      </c>
      <c r="S1995" t="str">
        <f t="shared" si="2143"/>
        <v>photography</v>
      </c>
      <c r="T1995" t="str">
        <f t="shared" si="2144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ref="K1996:L1996" si="2153">(J1996/60/60/24)+DATE(1970,1,1)</f>
        <v>42651.006273148145</v>
      </c>
      <c r="L1996" s="11">
        <f t="shared" si="2140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2141"/>
        <v>0</v>
      </c>
      <c r="R1996" s="7">
        <f t="shared" si="2142"/>
        <v>0</v>
      </c>
      <c r="S1996" t="str">
        <f t="shared" si="2143"/>
        <v>photography</v>
      </c>
      <c r="T1996" t="str">
        <f t="shared" si="2144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ref="K1997:L1997" si="2154">(J1997/60/60/24)+DATE(1970,1,1)</f>
        <v>42181.902037037042</v>
      </c>
      <c r="L1997" s="11">
        <f t="shared" si="2140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2141"/>
        <v>7.8</v>
      </c>
      <c r="R1997" s="7">
        <f t="shared" si="2142"/>
        <v>26</v>
      </c>
      <c r="S1997" t="str">
        <f t="shared" si="2143"/>
        <v>photography</v>
      </c>
      <c r="T1997" t="str">
        <f t="shared" si="2144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ref="K1998:L1998" si="2155">(J1998/60/60/24)+DATE(1970,1,1)</f>
        <v>41800.819571759261</v>
      </c>
      <c r="L1998" s="11">
        <f t="shared" si="2140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2141"/>
        <v>0</v>
      </c>
      <c r="R1998" s="7">
        <f t="shared" si="2142"/>
        <v>0</v>
      </c>
      <c r="S1998" t="str">
        <f t="shared" si="2143"/>
        <v>photography</v>
      </c>
      <c r="T1998" t="str">
        <f t="shared" si="2144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ref="K1999:L1999" si="2156">(J1999/60/60/24)+DATE(1970,1,1)</f>
        <v>41847.930694444447</v>
      </c>
      <c r="L1999" s="11">
        <f t="shared" si="2140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2141"/>
        <v>0</v>
      </c>
      <c r="R1999" s="7">
        <f t="shared" si="2142"/>
        <v>0</v>
      </c>
      <c r="S1999" t="str">
        <f t="shared" si="2143"/>
        <v>photography</v>
      </c>
      <c r="T1999" t="str">
        <f t="shared" si="2144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ref="K2000:L2000" si="2157">(J2000/60/60/24)+DATE(1970,1,1)</f>
        <v>41807.118495370371</v>
      </c>
      <c r="L2000" s="11">
        <f t="shared" si="2140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2141"/>
        <v>26.200000000000003</v>
      </c>
      <c r="R2000" s="7">
        <f t="shared" si="2142"/>
        <v>218.33333333333334</v>
      </c>
      <c r="S2000" t="str">
        <f t="shared" si="2143"/>
        <v>photography</v>
      </c>
      <c r="T2000" t="str">
        <f t="shared" si="2144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ref="K2001:L2001" si="2158">(J2001/60/60/24)+DATE(1970,1,1)</f>
        <v>41926.482731481483</v>
      </c>
      <c r="L2001" s="11">
        <f t="shared" si="2140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2141"/>
        <v>0.76129032258064511</v>
      </c>
      <c r="R2001" s="7">
        <f t="shared" si="2142"/>
        <v>33.714285714285715</v>
      </c>
      <c r="S2001" t="str">
        <f t="shared" si="2143"/>
        <v>photography</v>
      </c>
      <c r="T2001" t="str">
        <f t="shared" si="2144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ref="K2002:L2002" si="2159">(J2002/60/60/24)+DATE(1970,1,1)</f>
        <v>42345.951539351852</v>
      </c>
      <c r="L2002" s="11">
        <f t="shared" si="2140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2141"/>
        <v>12.5</v>
      </c>
      <c r="R2002" s="7">
        <f t="shared" si="2142"/>
        <v>25</v>
      </c>
      <c r="S2002" t="str">
        <f t="shared" si="2143"/>
        <v>photography</v>
      </c>
      <c r="T2002" t="str">
        <f t="shared" si="2144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ref="K2003:L2003" si="2160">(J2003/60/60/24)+DATE(1970,1,1)</f>
        <v>42136.209675925929</v>
      </c>
      <c r="L2003" s="11">
        <f t="shared" si="2140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2141"/>
        <v>382.12909090909091</v>
      </c>
      <c r="R2003" s="7">
        <f t="shared" si="2142"/>
        <v>128.38790470372632</v>
      </c>
      <c r="S2003" t="str">
        <f t="shared" si="2143"/>
        <v>technology</v>
      </c>
      <c r="T2003" t="str">
        <f t="shared" si="2144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ref="K2004:L2004" si="2161">(J2004/60/60/24)+DATE(1970,1,1)</f>
        <v>42728.71230324074</v>
      </c>
      <c r="L2004" s="11">
        <f t="shared" si="2140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2141"/>
        <v>216.79422000000002</v>
      </c>
      <c r="R2004" s="7">
        <f t="shared" si="2142"/>
        <v>78.834261818181815</v>
      </c>
      <c r="S2004" t="str">
        <f t="shared" si="2143"/>
        <v>technology</v>
      </c>
      <c r="T2004" t="str">
        <f t="shared" si="2144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ref="K2005:L2005" si="2162">(J2005/60/60/24)+DATE(1970,1,1)</f>
        <v>40347.125601851854</v>
      </c>
      <c r="L2005" s="11">
        <f t="shared" si="2140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2141"/>
        <v>312</v>
      </c>
      <c r="R2005" s="7">
        <f t="shared" si="2142"/>
        <v>91.764705882352942</v>
      </c>
      <c r="S2005" t="str">
        <f t="shared" si="2143"/>
        <v>technology</v>
      </c>
      <c r="T2005" t="str">
        <f t="shared" si="2144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ref="K2006:L2006" si="2163">(J2006/60/60/24)+DATE(1970,1,1)</f>
        <v>41800.604895833334</v>
      </c>
      <c r="L2006" s="11">
        <f t="shared" si="2140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2141"/>
        <v>234.42048</v>
      </c>
      <c r="R2006" s="7">
        <f t="shared" si="2142"/>
        <v>331.10237288135596</v>
      </c>
      <c r="S2006" t="str">
        <f t="shared" si="2143"/>
        <v>technology</v>
      </c>
      <c r="T2006" t="str">
        <f t="shared" si="2144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ref="K2007:L2007" si="2164">(J2007/60/60/24)+DATE(1970,1,1)</f>
        <v>41535.812708333331</v>
      </c>
      <c r="L2007" s="11">
        <f t="shared" si="2140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2141"/>
        <v>123.68010000000001</v>
      </c>
      <c r="R2007" s="7">
        <f t="shared" si="2142"/>
        <v>194.26193717277485</v>
      </c>
      <c r="S2007" t="str">
        <f t="shared" si="2143"/>
        <v>technology</v>
      </c>
      <c r="T2007" t="str">
        <f t="shared" si="2144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ref="K2008:L2008" si="2165">(J2008/60/60/24)+DATE(1970,1,1)</f>
        <v>41941.500520833331</v>
      </c>
      <c r="L2008" s="11">
        <f t="shared" si="2140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2141"/>
        <v>247.84</v>
      </c>
      <c r="R2008" s="7">
        <f t="shared" si="2142"/>
        <v>408.97689768976898</v>
      </c>
      <c r="S2008" t="str">
        <f t="shared" si="2143"/>
        <v>technology</v>
      </c>
      <c r="T2008" t="str">
        <f t="shared" si="2144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ref="K2009:L2009" si="2166">(J2009/60/60/24)+DATE(1970,1,1)</f>
        <v>40347.837800925925</v>
      </c>
      <c r="L2009" s="11">
        <f t="shared" si="2140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2141"/>
        <v>115.7092</v>
      </c>
      <c r="R2009" s="7">
        <f t="shared" si="2142"/>
        <v>84.459270072992695</v>
      </c>
      <c r="S2009" t="str">
        <f t="shared" si="2143"/>
        <v>technology</v>
      </c>
      <c r="T2009" t="str">
        <f t="shared" si="2144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ref="K2010:L2010" si="2167">(J2010/60/60/24)+DATE(1970,1,1)</f>
        <v>40761.604421296295</v>
      </c>
      <c r="L2010" s="11">
        <f t="shared" si="2140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2141"/>
        <v>117.07484768810599</v>
      </c>
      <c r="R2010" s="7">
        <f t="shared" si="2142"/>
        <v>44.853658536585364</v>
      </c>
      <c r="S2010" t="str">
        <f t="shared" si="2143"/>
        <v>technology</v>
      </c>
      <c r="T2010" t="str">
        <f t="shared" si="2144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ref="K2011:L2011" si="2168">(J2011/60/60/24)+DATE(1970,1,1)</f>
        <v>42661.323414351849</v>
      </c>
      <c r="L2011" s="11">
        <f t="shared" si="2140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2141"/>
        <v>305.15800000000002</v>
      </c>
      <c r="R2011" s="7">
        <f t="shared" si="2142"/>
        <v>383.3643216080402</v>
      </c>
      <c r="S2011" t="str">
        <f t="shared" si="2143"/>
        <v>technology</v>
      </c>
      <c r="T2011" t="str">
        <f t="shared" si="2144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ref="K2012:L2012" si="2169">(J2012/60/60/24)+DATE(1970,1,1)</f>
        <v>42570.996423611112</v>
      </c>
      <c r="L2012" s="11">
        <f t="shared" si="2140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2141"/>
        <v>320.05299999999994</v>
      </c>
      <c r="R2012" s="7">
        <f t="shared" si="2142"/>
        <v>55.276856649395505</v>
      </c>
      <c r="S2012" t="str">
        <f t="shared" si="2143"/>
        <v>technology</v>
      </c>
      <c r="T2012" t="str">
        <f t="shared" si="2144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ref="K2013:L2013" si="2170">(J2013/60/60/24)+DATE(1970,1,1)</f>
        <v>42347.358483796299</v>
      </c>
      <c r="L2013" s="11">
        <f t="shared" si="2140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2141"/>
        <v>819.56399999999996</v>
      </c>
      <c r="R2013" s="7">
        <f t="shared" si="2142"/>
        <v>422.02059732234807</v>
      </c>
      <c r="S2013" t="str">
        <f t="shared" si="2143"/>
        <v>technology</v>
      </c>
      <c r="T2013" t="str">
        <f t="shared" si="2144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ref="K2014:L2014" si="2171">(J2014/60/60/24)+DATE(1970,1,1)</f>
        <v>42010.822233796294</v>
      </c>
      <c r="L2014" s="11">
        <f t="shared" si="2140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2141"/>
        <v>234.90000000000003</v>
      </c>
      <c r="R2014" s="7">
        <f t="shared" si="2142"/>
        <v>64.180327868852459</v>
      </c>
      <c r="S2014" t="str">
        <f t="shared" si="2143"/>
        <v>technology</v>
      </c>
      <c r="T2014" t="str">
        <f t="shared" si="2144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ref="K2015:L2015" si="2172">(J2015/60/60/24)+DATE(1970,1,1)</f>
        <v>42499.960810185185</v>
      </c>
      <c r="L2015" s="11">
        <f t="shared" si="2140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2141"/>
        <v>494.91374999999999</v>
      </c>
      <c r="R2015" s="7">
        <f t="shared" si="2142"/>
        <v>173.57781674704077</v>
      </c>
      <c r="S2015" t="str">
        <f t="shared" si="2143"/>
        <v>technology</v>
      </c>
      <c r="T2015" t="str">
        <f t="shared" si="2144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ref="K2016:L2016" si="2173">(J2016/60/60/24)+DATE(1970,1,1)</f>
        <v>41324.214571759258</v>
      </c>
      <c r="L2016" s="11">
        <f t="shared" si="2140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2141"/>
        <v>7813.7822333333334</v>
      </c>
      <c r="R2016" s="7">
        <f t="shared" si="2142"/>
        <v>88.601680840609291</v>
      </c>
      <c r="S2016" t="str">
        <f t="shared" si="2143"/>
        <v>technology</v>
      </c>
      <c r="T2016" t="str">
        <f t="shared" si="2144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ref="K2017:L2017" si="2174">(J2017/60/60/24)+DATE(1970,1,1)</f>
        <v>40765.876886574071</v>
      </c>
      <c r="L2017" s="11">
        <f t="shared" si="2140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2141"/>
        <v>113.00013888888888</v>
      </c>
      <c r="R2017" s="7">
        <f t="shared" si="2142"/>
        <v>50.222283950617282</v>
      </c>
      <c r="S2017" t="str">
        <f t="shared" si="2143"/>
        <v>technology</v>
      </c>
      <c r="T2017" t="str">
        <f t="shared" si="2144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ref="K2018:L2018" si="2175">(J2018/60/60/24)+DATE(1970,1,1)</f>
        <v>41312.88077546296</v>
      </c>
      <c r="L2018" s="11">
        <f t="shared" si="2140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2141"/>
        <v>921.54219999999998</v>
      </c>
      <c r="R2018" s="7">
        <f t="shared" si="2142"/>
        <v>192.38876826722338</v>
      </c>
      <c r="S2018" t="str">
        <f t="shared" si="2143"/>
        <v>technology</v>
      </c>
      <c r="T2018" t="str">
        <f t="shared" si="2144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ref="K2019:L2019" si="2176">(J2019/60/60/24)+DATE(1970,1,1)</f>
        <v>40961.057349537034</v>
      </c>
      <c r="L2019" s="11">
        <f t="shared" si="2140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2141"/>
        <v>125.10239999999999</v>
      </c>
      <c r="R2019" s="7">
        <f t="shared" si="2142"/>
        <v>73.416901408450698</v>
      </c>
      <c r="S2019" t="str">
        <f t="shared" si="2143"/>
        <v>technology</v>
      </c>
      <c r="T2019" t="str">
        <f t="shared" si="2144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ref="K2020:L2020" si="2177">(J2020/60/60/24)+DATE(1970,1,1)</f>
        <v>42199.365844907406</v>
      </c>
      <c r="L2020" s="11">
        <f t="shared" si="2140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2141"/>
        <v>102.24343076923077</v>
      </c>
      <c r="R2020" s="7">
        <f t="shared" si="2142"/>
        <v>147.68495555555555</v>
      </c>
      <c r="S2020" t="str">
        <f t="shared" si="2143"/>
        <v>technology</v>
      </c>
      <c r="T2020" t="str">
        <f t="shared" si="2144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ref="K2021:L2021" si="2178">(J2021/60/60/24)+DATE(1970,1,1)</f>
        <v>42605.70857638889</v>
      </c>
      <c r="L2021" s="11">
        <f t="shared" si="2140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2141"/>
        <v>484.90975000000003</v>
      </c>
      <c r="R2021" s="7">
        <f t="shared" si="2142"/>
        <v>108.96848314606741</v>
      </c>
      <c r="S2021" t="str">
        <f t="shared" si="2143"/>
        <v>technology</v>
      </c>
      <c r="T2021" t="str">
        <f t="shared" si="2144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ref="K2022:L2022" si="2179">(J2022/60/60/24)+DATE(1970,1,1)</f>
        <v>41737.097499999996</v>
      </c>
      <c r="L2022" s="11">
        <f t="shared" si="2140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2141"/>
        <v>192.33333333333334</v>
      </c>
      <c r="R2022" s="7">
        <f t="shared" si="2142"/>
        <v>23.647540983606557</v>
      </c>
      <c r="S2022" t="str">
        <f t="shared" si="2143"/>
        <v>technology</v>
      </c>
      <c r="T2022" t="str">
        <f t="shared" si="2144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ref="K2023:L2023" si="2180">(J2023/60/60/24)+DATE(1970,1,1)</f>
        <v>41861.070567129631</v>
      </c>
      <c r="L2023" s="11">
        <f t="shared" si="2140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2141"/>
        <v>281.10000000000002</v>
      </c>
      <c r="R2023" s="7">
        <f t="shared" si="2142"/>
        <v>147.94736842105263</v>
      </c>
      <c r="S2023" t="str">
        <f t="shared" si="2143"/>
        <v>technology</v>
      </c>
      <c r="T2023" t="str">
        <f t="shared" si="2144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ref="K2024:L2024" si="2181">(J2024/60/60/24)+DATE(1970,1,1)</f>
        <v>42502.569120370375</v>
      </c>
      <c r="L2024" s="11">
        <f t="shared" si="2140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2141"/>
        <v>125.13700000000001</v>
      </c>
      <c r="R2024" s="7">
        <f t="shared" si="2142"/>
        <v>385.03692307692307</v>
      </c>
      <c r="S2024" t="str">
        <f t="shared" si="2143"/>
        <v>technology</v>
      </c>
      <c r="T2024" t="str">
        <f t="shared" si="2144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ref="K2025:L2025" si="2182">(J2025/60/60/24)+DATE(1970,1,1)</f>
        <v>42136.420752314814</v>
      </c>
      <c r="L2025" s="11">
        <f t="shared" si="2140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2141"/>
        <v>161.459</v>
      </c>
      <c r="R2025" s="7">
        <f t="shared" si="2142"/>
        <v>457.39093484419266</v>
      </c>
      <c r="S2025" t="str">
        <f t="shared" si="2143"/>
        <v>technology</v>
      </c>
      <c r="T2025" t="str">
        <f t="shared" si="2144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ref="K2026:L2026" si="2183">(J2026/60/60/24)+DATE(1970,1,1)</f>
        <v>41099.966944444444</v>
      </c>
      <c r="L2026" s="11">
        <f t="shared" si="2140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2141"/>
        <v>585.35</v>
      </c>
      <c r="R2026" s="7">
        <f t="shared" si="2142"/>
        <v>222.99047619047619</v>
      </c>
      <c r="S2026" t="str">
        <f t="shared" si="2143"/>
        <v>technology</v>
      </c>
      <c r="T2026" t="str">
        <f t="shared" si="2144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ref="K2027:L2027" si="2184">(J2027/60/60/24)+DATE(1970,1,1)</f>
        <v>42136.184560185182</v>
      </c>
      <c r="L2027" s="11">
        <f t="shared" si="2140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2141"/>
        <v>201.14999999999998</v>
      </c>
      <c r="R2027" s="7">
        <f t="shared" si="2142"/>
        <v>220.74074074074073</v>
      </c>
      <c r="S2027" t="str">
        <f t="shared" si="2143"/>
        <v>technology</v>
      </c>
      <c r="T2027" t="str">
        <f t="shared" si="2144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ref="K2028:L2028" si="2185">(J2028/60/60/24)+DATE(1970,1,1)</f>
        <v>41704.735937500001</v>
      </c>
      <c r="L2028" s="11">
        <f t="shared" si="2140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2141"/>
        <v>133.48307999999997</v>
      </c>
      <c r="R2028" s="7">
        <f t="shared" si="2142"/>
        <v>73.503898678414089</v>
      </c>
      <c r="S2028" t="str">
        <f t="shared" si="2143"/>
        <v>technology</v>
      </c>
      <c r="T2028" t="str">
        <f t="shared" si="2144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ref="K2029:L2029" si="2186">(J2029/60/60/24)+DATE(1970,1,1)</f>
        <v>42048.813877314817</v>
      </c>
      <c r="L2029" s="11">
        <f t="shared" si="2140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2141"/>
        <v>120.24900000000001</v>
      </c>
      <c r="R2029" s="7">
        <f t="shared" si="2142"/>
        <v>223.09647495361781</v>
      </c>
      <c r="S2029" t="str">
        <f t="shared" si="2143"/>
        <v>technology</v>
      </c>
      <c r="T2029" t="str">
        <f t="shared" si="2144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ref="K2030:L2030" si="2187">(J2030/60/60/24)+DATE(1970,1,1)</f>
        <v>40215.919050925928</v>
      </c>
      <c r="L2030" s="11">
        <f t="shared" si="2140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2141"/>
        <v>126.16666666666667</v>
      </c>
      <c r="R2030" s="7">
        <f t="shared" si="2142"/>
        <v>47.911392405063289</v>
      </c>
      <c r="S2030" t="str">
        <f t="shared" si="2143"/>
        <v>technology</v>
      </c>
      <c r="T2030" t="str">
        <f t="shared" si="2144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ref="K2031:L2031" si="2188">(J2031/60/60/24)+DATE(1970,1,1)</f>
        <v>41848.021770833337</v>
      </c>
      <c r="L2031" s="11">
        <f t="shared" si="2140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2141"/>
        <v>361.2</v>
      </c>
      <c r="R2031" s="7">
        <f t="shared" si="2142"/>
        <v>96.063829787234042</v>
      </c>
      <c r="S2031" t="str">
        <f t="shared" si="2143"/>
        <v>technology</v>
      </c>
      <c r="T2031" t="str">
        <f t="shared" si="2144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ref="K2032:L2032" si="2189">(J2032/60/60/24)+DATE(1970,1,1)</f>
        <v>41212.996481481481</v>
      </c>
      <c r="L2032" s="11">
        <f t="shared" si="2140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2141"/>
        <v>226.239013671875</v>
      </c>
      <c r="R2032" s="7">
        <f t="shared" si="2142"/>
        <v>118.6144</v>
      </c>
      <c r="S2032" t="str">
        <f t="shared" si="2143"/>
        <v>technology</v>
      </c>
      <c r="T2032" t="str">
        <f t="shared" si="2144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ref="K2033:L2033" si="2190">(J2033/60/60/24)+DATE(1970,1,1)</f>
        <v>41975.329317129625</v>
      </c>
      <c r="L2033" s="11">
        <f t="shared" si="2140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2141"/>
        <v>120.35</v>
      </c>
      <c r="R2033" s="7">
        <f t="shared" si="2142"/>
        <v>118.45472440944881</v>
      </c>
      <c r="S2033" t="str">
        <f t="shared" si="2143"/>
        <v>technology</v>
      </c>
      <c r="T2033" t="str">
        <f t="shared" si="2144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ref="K2034:L2034" si="2191">(J2034/60/60/24)+DATE(1970,1,1)</f>
        <v>42689.565671296295</v>
      </c>
      <c r="L2034" s="11">
        <f t="shared" si="2140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2141"/>
        <v>304.18799999999999</v>
      </c>
      <c r="R2034" s="7">
        <f t="shared" si="2142"/>
        <v>143.21468926553672</v>
      </c>
      <c r="S2034" t="str">
        <f t="shared" si="2143"/>
        <v>technology</v>
      </c>
      <c r="T2034" t="str">
        <f t="shared" si="2144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ref="K2035:L2035" si="2192">(J2035/60/60/24)+DATE(1970,1,1)</f>
        <v>41725.082384259258</v>
      </c>
      <c r="L2035" s="11">
        <f t="shared" si="2140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2141"/>
        <v>178.67599999999999</v>
      </c>
      <c r="R2035" s="7">
        <f t="shared" si="2142"/>
        <v>282.71518987341773</v>
      </c>
      <c r="S2035" t="str">
        <f t="shared" si="2143"/>
        <v>technology</v>
      </c>
      <c r="T2035" t="str">
        <f t="shared" si="2144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ref="K2036:L2036" si="2193">(J2036/60/60/24)+DATE(1970,1,1)</f>
        <v>42076.130011574074</v>
      </c>
      <c r="L2036" s="11">
        <f t="shared" si="2140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2141"/>
        <v>386.81998717948721</v>
      </c>
      <c r="R2036" s="7">
        <f t="shared" si="2142"/>
        <v>593.93620078740162</v>
      </c>
      <c r="S2036" t="str">
        <f t="shared" si="2143"/>
        <v>technology</v>
      </c>
      <c r="T2036" t="str">
        <f t="shared" si="2144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ref="K2037:L2037" si="2194">(J2037/60/60/24)+DATE(1970,1,1)</f>
        <v>42311.625081018516</v>
      </c>
      <c r="L2037" s="11">
        <f t="shared" si="2140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2141"/>
        <v>211.03642500000004</v>
      </c>
      <c r="R2037" s="7">
        <f t="shared" si="2142"/>
        <v>262.15704968944101</v>
      </c>
      <c r="S2037" t="str">
        <f t="shared" si="2143"/>
        <v>technology</v>
      </c>
      <c r="T2037" t="str">
        <f t="shared" si="2144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ref="K2038:L2038" si="2195">(J2038/60/60/24)+DATE(1970,1,1)</f>
        <v>41738.864803240744</v>
      </c>
      <c r="L2038" s="11">
        <f t="shared" si="2140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2141"/>
        <v>131.66833333333335</v>
      </c>
      <c r="R2038" s="7">
        <f t="shared" si="2142"/>
        <v>46.580778301886795</v>
      </c>
      <c r="S2038" t="str">
        <f t="shared" si="2143"/>
        <v>technology</v>
      </c>
      <c r="T2038" t="str">
        <f t="shared" si="2144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ref="K2039:L2039" si="2196">(J2039/60/60/24)+DATE(1970,1,1)</f>
        <v>41578.210104166668</v>
      </c>
      <c r="L2039" s="11">
        <f t="shared" si="2140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2141"/>
        <v>300.47639999999996</v>
      </c>
      <c r="R2039" s="7">
        <f t="shared" si="2142"/>
        <v>70.041118881118877</v>
      </c>
      <c r="S2039" t="str">
        <f t="shared" si="2143"/>
        <v>technology</v>
      </c>
      <c r="T2039" t="str">
        <f t="shared" si="2144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ref="K2040:L2040" si="2197">(J2040/60/60/24)+DATE(1970,1,1)</f>
        <v>41424.27107638889</v>
      </c>
      <c r="L2040" s="11">
        <f t="shared" si="2140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2141"/>
        <v>420.51249999999999</v>
      </c>
      <c r="R2040" s="7">
        <f t="shared" si="2142"/>
        <v>164.90686274509804</v>
      </c>
      <c r="S2040" t="str">
        <f t="shared" si="2143"/>
        <v>technology</v>
      </c>
      <c r="T2040" t="str">
        <f t="shared" si="2144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ref="K2041:L2041" si="2198">(J2041/60/60/24)+DATE(1970,1,1)</f>
        <v>42675.438946759255</v>
      </c>
      <c r="L2041" s="11">
        <f t="shared" si="2140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2141"/>
        <v>136.21680000000001</v>
      </c>
      <c r="R2041" s="7">
        <f t="shared" si="2142"/>
        <v>449.26385224274406</v>
      </c>
      <c r="S2041" t="str">
        <f t="shared" si="2143"/>
        <v>technology</v>
      </c>
      <c r="T2041" t="str">
        <f t="shared" si="2144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ref="K2042:L2042" si="2199">(J2042/60/60/24)+DATE(1970,1,1)</f>
        <v>41578.927118055559</v>
      </c>
      <c r="L2042" s="11">
        <f t="shared" si="2140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2141"/>
        <v>248.17133333333334</v>
      </c>
      <c r="R2042" s="7">
        <f t="shared" si="2142"/>
        <v>27.472841328413285</v>
      </c>
      <c r="S2042" t="str">
        <f t="shared" si="2143"/>
        <v>technology</v>
      </c>
      <c r="T2042" t="str">
        <f t="shared" si="2144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ref="K2043:L2043" si="2200">(J2043/60/60/24)+DATE(1970,1,1)</f>
        <v>42654.525775462964</v>
      </c>
      <c r="L2043" s="11">
        <f t="shared" si="2140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2141"/>
        <v>181.86315789473684</v>
      </c>
      <c r="R2043" s="7">
        <f t="shared" si="2142"/>
        <v>143.97499999999999</v>
      </c>
      <c r="S2043" t="str">
        <f t="shared" si="2143"/>
        <v>technology</v>
      </c>
      <c r="T2043" t="str">
        <f t="shared" si="2144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ref="K2044:L2044" si="2201">(J2044/60/60/24)+DATE(1970,1,1)</f>
        <v>42331.708032407405</v>
      </c>
      <c r="L2044" s="11">
        <f t="shared" si="2140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2141"/>
        <v>123.53</v>
      </c>
      <c r="R2044" s="7">
        <f t="shared" si="2142"/>
        <v>88.23571428571428</v>
      </c>
      <c r="S2044" t="str">
        <f t="shared" si="2143"/>
        <v>technology</v>
      </c>
      <c r="T2044" t="str">
        <f t="shared" si="2144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ref="K2045:L2045" si="2202">(J2045/60/60/24)+DATE(1970,1,1)</f>
        <v>42661.176817129628</v>
      </c>
      <c r="L2045" s="11">
        <f t="shared" si="2140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2141"/>
        <v>506.20938628158842</v>
      </c>
      <c r="R2045" s="7">
        <f t="shared" si="2142"/>
        <v>36.326424870466319</v>
      </c>
      <c r="S2045" t="str">
        <f t="shared" si="2143"/>
        <v>technology</v>
      </c>
      <c r="T2045" t="str">
        <f t="shared" si="2144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ref="K2046:L2046" si="2203">(J2046/60/60/24)+DATE(1970,1,1)</f>
        <v>42138.684189814812</v>
      </c>
      <c r="L2046" s="11">
        <f t="shared" si="2140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2141"/>
        <v>108.21333333333334</v>
      </c>
      <c r="R2046" s="7">
        <f t="shared" si="2142"/>
        <v>90.177777777777777</v>
      </c>
      <c r="S2046" t="str">
        <f t="shared" si="2143"/>
        <v>technology</v>
      </c>
      <c r="T2046" t="str">
        <f t="shared" si="2144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ref="K2047:L2047" si="2204">(J2047/60/60/24)+DATE(1970,1,1)</f>
        <v>41069.088506944441</v>
      </c>
      <c r="L2047" s="11">
        <f t="shared" si="2140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2141"/>
        <v>819.18387755102037</v>
      </c>
      <c r="R2047" s="7">
        <f t="shared" si="2142"/>
        <v>152.62361216730039</v>
      </c>
      <c r="S2047" t="str">
        <f t="shared" si="2143"/>
        <v>technology</v>
      </c>
      <c r="T2047" t="str">
        <f t="shared" si="2144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ref="K2048:L2048" si="2205">(J2048/60/60/24)+DATE(1970,1,1)</f>
        <v>41387.171805555554</v>
      </c>
      <c r="L2048" s="11">
        <f t="shared" si="2140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2141"/>
        <v>121.10000000000001</v>
      </c>
      <c r="R2048" s="7">
        <f t="shared" si="2142"/>
        <v>55.806451612903224</v>
      </c>
      <c r="S2048" t="str">
        <f t="shared" si="2143"/>
        <v>technology</v>
      </c>
      <c r="T2048" t="str">
        <f t="shared" si="2144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ref="K2049:L2049" si="2206">(J2049/60/60/24)+DATE(1970,1,1)</f>
        <v>42081.903587962966</v>
      </c>
      <c r="L2049" s="11">
        <f t="shared" si="2140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2141"/>
        <v>102.99897959183673</v>
      </c>
      <c r="R2049" s="7">
        <f t="shared" si="2142"/>
        <v>227.85327313769753</v>
      </c>
      <c r="S2049" t="str">
        <f t="shared" si="2143"/>
        <v>technology</v>
      </c>
      <c r="T2049" t="str">
        <f t="shared" si="2144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ref="K2050:L2050" si="2207">(J2050/60/60/24)+DATE(1970,1,1)</f>
        <v>41387.651516203703</v>
      </c>
      <c r="L2050" s="11">
        <f t="shared" si="2140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2141"/>
        <v>148.33229411764705</v>
      </c>
      <c r="R2050" s="7">
        <f t="shared" si="2142"/>
        <v>91.82989803350327</v>
      </c>
      <c r="S2050" t="str">
        <f t="shared" si="2143"/>
        <v>technology</v>
      </c>
      <c r="T2050" t="str">
        <f t="shared" si="2144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ref="K2051:L2051" si="2208">(J2051/60/60/24)+DATE(1970,1,1)</f>
        <v>41575.527349537035</v>
      </c>
      <c r="L2051" s="11">
        <f t="shared" ref="L2051:L2114" si="2209">(I2051/60/60/24)+DATE(1970,1,1)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2210">(E2051/D2051)*100</f>
        <v>120.19070000000001</v>
      </c>
      <c r="R2051" s="7">
        <f t="shared" ref="R2051:R2114" si="2211">IFERROR(E2051/N2051, 0)</f>
        <v>80.991037735849048</v>
      </c>
      <c r="S2051" t="str">
        <f t="shared" ref="S2051:S2114" si="2212">LEFT(P2051, SEARCH("/", P2051,1)-1)</f>
        <v>technology</v>
      </c>
      <c r="T2051" t="str">
        <f t="shared" ref="T2051:T2114" si="2213">RIGHT(P2051,LEN(P2051)-SEARCH("/",P2051,SEARCH("/",P2051)))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ref="K2052:L2052" si="2214">(J2052/60/60/24)+DATE(1970,1,1)</f>
        <v>42115.071504629625</v>
      </c>
      <c r="L2052" s="11">
        <f t="shared" si="220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2210"/>
        <v>473.27000000000004</v>
      </c>
      <c r="R2052" s="7">
        <f t="shared" si="2211"/>
        <v>278.39411764705881</v>
      </c>
      <c r="S2052" t="str">
        <f t="shared" si="2212"/>
        <v>technology</v>
      </c>
      <c r="T2052" t="str">
        <f t="shared" si="2213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ref="K2053:L2053" si="2215">(J2053/60/60/24)+DATE(1970,1,1)</f>
        <v>41604.022418981483</v>
      </c>
      <c r="L2053" s="11">
        <f t="shared" si="220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2210"/>
        <v>130.36250000000001</v>
      </c>
      <c r="R2053" s="7">
        <f t="shared" si="2211"/>
        <v>43.095041322314053</v>
      </c>
      <c r="S2053" t="str">
        <f t="shared" si="2212"/>
        <v>technology</v>
      </c>
      <c r="T2053" t="str">
        <f t="shared" si="2213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ref="K2054:L2054" si="2216">(J2054/60/60/24)+DATE(1970,1,1)</f>
        <v>42375.08394675926</v>
      </c>
      <c r="L2054" s="11">
        <f t="shared" si="220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2210"/>
        <v>353.048</v>
      </c>
      <c r="R2054" s="7">
        <f t="shared" si="2211"/>
        <v>326.29205175600737</v>
      </c>
      <c r="S2054" t="str">
        <f t="shared" si="2212"/>
        <v>technology</v>
      </c>
      <c r="T2054" t="str">
        <f t="shared" si="2213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ref="K2055:L2055" si="2217">(J2055/60/60/24)+DATE(1970,1,1)</f>
        <v>42303.617488425924</v>
      </c>
      <c r="L2055" s="11">
        <f t="shared" si="220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2210"/>
        <v>101.02</v>
      </c>
      <c r="R2055" s="7">
        <f t="shared" si="2211"/>
        <v>41.743801652892564</v>
      </c>
      <c r="S2055" t="str">
        <f t="shared" si="2212"/>
        <v>technology</v>
      </c>
      <c r="T2055" t="str">
        <f t="shared" si="2213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ref="K2056:L2056" si="2218">(J2056/60/60/24)+DATE(1970,1,1)</f>
        <v>41731.520949074074</v>
      </c>
      <c r="L2056" s="11">
        <f t="shared" si="220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2210"/>
        <v>113.59142857142857</v>
      </c>
      <c r="R2056" s="7">
        <f t="shared" si="2211"/>
        <v>64.020933977455712</v>
      </c>
      <c r="S2056" t="str">
        <f t="shared" si="2212"/>
        <v>technology</v>
      </c>
      <c r="T2056" t="str">
        <f t="shared" si="2213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ref="K2057:L2057" si="2219">(J2057/60/60/24)+DATE(1970,1,1)</f>
        <v>41946.674108796295</v>
      </c>
      <c r="L2057" s="11">
        <f t="shared" si="220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2210"/>
        <v>167.41666666666666</v>
      </c>
      <c r="R2057" s="7">
        <f t="shared" si="2211"/>
        <v>99.455445544554451</v>
      </c>
      <c r="S2057" t="str">
        <f t="shared" si="2212"/>
        <v>technology</v>
      </c>
      <c r="T2057" t="str">
        <f t="shared" si="2213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ref="K2058:L2058" si="2220">(J2058/60/60/24)+DATE(1970,1,1)</f>
        <v>41351.76090277778</v>
      </c>
      <c r="L2058" s="11">
        <f t="shared" si="220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2210"/>
        <v>153.452</v>
      </c>
      <c r="R2058" s="7">
        <f t="shared" si="2211"/>
        <v>138.49458483754512</v>
      </c>
      <c r="S2058" t="str">
        <f t="shared" si="2212"/>
        <v>technology</v>
      </c>
      <c r="T2058" t="str">
        <f t="shared" si="2213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ref="K2059:L2059" si="2221">(J2059/60/60/24)+DATE(1970,1,1)</f>
        <v>42396.494583333333</v>
      </c>
      <c r="L2059" s="11">
        <f t="shared" si="220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2210"/>
        <v>202.23220000000001</v>
      </c>
      <c r="R2059" s="7">
        <f t="shared" si="2211"/>
        <v>45.547792792792798</v>
      </c>
      <c r="S2059" t="str">
        <f t="shared" si="2212"/>
        <v>technology</v>
      </c>
      <c r="T2059" t="str">
        <f t="shared" si="2213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ref="K2060:L2060" si="2222">(J2060/60/60/24)+DATE(1970,1,1)</f>
        <v>42026.370717592596</v>
      </c>
      <c r="L2060" s="11">
        <f t="shared" si="220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2210"/>
        <v>168.28125</v>
      </c>
      <c r="R2060" s="7">
        <f t="shared" si="2211"/>
        <v>10.507317073170732</v>
      </c>
      <c r="S2060" t="str">
        <f t="shared" si="2212"/>
        <v>technology</v>
      </c>
      <c r="T2060" t="str">
        <f t="shared" si="2213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ref="K2061:L2061" si="2223">(J2061/60/60/24)+DATE(1970,1,1)</f>
        <v>42361.602476851855</v>
      </c>
      <c r="L2061" s="11">
        <f t="shared" si="220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2210"/>
        <v>143.45666666666668</v>
      </c>
      <c r="R2061" s="7">
        <f t="shared" si="2211"/>
        <v>114.76533333333333</v>
      </c>
      <c r="S2061" t="str">
        <f t="shared" si="2212"/>
        <v>technology</v>
      </c>
      <c r="T2061" t="str">
        <f t="shared" si="2213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ref="K2062:L2062" si="2224">(J2062/60/60/24)+DATE(1970,1,1)</f>
        <v>41783.642939814818</v>
      </c>
      <c r="L2062" s="11">
        <f t="shared" si="220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2210"/>
        <v>196.4</v>
      </c>
      <c r="R2062" s="7">
        <f t="shared" si="2211"/>
        <v>35.997067448680355</v>
      </c>
      <c r="S2062" t="str">
        <f t="shared" si="2212"/>
        <v>technology</v>
      </c>
      <c r="T2062" t="str">
        <f t="shared" si="2213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ref="K2063:L2063" si="2225">(J2063/60/60/24)+DATE(1970,1,1)</f>
        <v>42705.764513888891</v>
      </c>
      <c r="L2063" s="11">
        <f t="shared" si="220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2210"/>
        <v>107.91999999999999</v>
      </c>
      <c r="R2063" s="7">
        <f t="shared" si="2211"/>
        <v>154.17142857142858</v>
      </c>
      <c r="S2063" t="str">
        <f t="shared" si="2212"/>
        <v>technology</v>
      </c>
      <c r="T2063" t="str">
        <f t="shared" si="2213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ref="K2064:L2064" si="2226">(J2064/60/60/24)+DATE(1970,1,1)</f>
        <v>42423.3830787037</v>
      </c>
      <c r="L2064" s="11">
        <f t="shared" si="220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2210"/>
        <v>114.97699999999999</v>
      </c>
      <c r="R2064" s="7">
        <f t="shared" si="2211"/>
        <v>566.38916256157631</v>
      </c>
      <c r="S2064" t="str">
        <f t="shared" si="2212"/>
        <v>technology</v>
      </c>
      <c r="T2064" t="str">
        <f t="shared" si="2213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ref="K2065:L2065" si="2227">(J2065/60/60/24)+DATE(1970,1,1)</f>
        <v>42472.73265046296</v>
      </c>
      <c r="L2065" s="11">
        <f t="shared" si="220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2210"/>
        <v>148.04999999999998</v>
      </c>
      <c r="R2065" s="7">
        <f t="shared" si="2211"/>
        <v>120.85714285714286</v>
      </c>
      <c r="S2065" t="str">
        <f t="shared" si="2212"/>
        <v>technology</v>
      </c>
      <c r="T2065" t="str">
        <f t="shared" si="2213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ref="K2066:L2066" si="2228">(J2066/60/60/24)+DATE(1970,1,1)</f>
        <v>41389.364849537036</v>
      </c>
      <c r="L2066" s="11">
        <f t="shared" si="2209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2210"/>
        <v>191.16676082790633</v>
      </c>
      <c r="R2066" s="7">
        <f t="shared" si="2211"/>
        <v>86.163845492085343</v>
      </c>
      <c r="S2066" t="str">
        <f t="shared" si="2212"/>
        <v>technology</v>
      </c>
      <c r="T2066" t="str">
        <f t="shared" si="2213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ref="K2067:L2067" si="2229">(J2067/60/60/24)+DATE(1970,1,1)</f>
        <v>41603.333668981482</v>
      </c>
      <c r="L2067" s="11">
        <f t="shared" si="220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2210"/>
        <v>199.215125</v>
      </c>
      <c r="R2067" s="7">
        <f t="shared" si="2211"/>
        <v>51.212114395886893</v>
      </c>
      <c r="S2067" t="str">
        <f t="shared" si="2212"/>
        <v>technology</v>
      </c>
      <c r="T2067" t="str">
        <f t="shared" si="2213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ref="K2068:L2068" si="2230">(J2068/60/60/24)+DATE(1970,1,1)</f>
        <v>41844.771793981483</v>
      </c>
      <c r="L2068" s="11">
        <f t="shared" si="220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2210"/>
        <v>218.6</v>
      </c>
      <c r="R2068" s="7">
        <f t="shared" si="2211"/>
        <v>67.261538461538464</v>
      </c>
      <c r="S2068" t="str">
        <f t="shared" si="2212"/>
        <v>technology</v>
      </c>
      <c r="T2068" t="str">
        <f t="shared" si="2213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ref="K2069:L2069" si="2231">(J2069/60/60/24)+DATE(1970,1,1)</f>
        <v>42115.853888888887</v>
      </c>
      <c r="L2069" s="11">
        <f t="shared" si="220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2210"/>
        <v>126.86868686868686</v>
      </c>
      <c r="R2069" s="7">
        <f t="shared" si="2211"/>
        <v>62.8</v>
      </c>
      <c r="S2069" t="str">
        <f t="shared" si="2212"/>
        <v>technology</v>
      </c>
      <c r="T2069" t="str">
        <f t="shared" si="2213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ref="K2070:L2070" si="2232">(J2070/60/60/24)+DATE(1970,1,1)</f>
        <v>42633.841608796298</v>
      </c>
      <c r="L2070" s="11">
        <f t="shared" si="220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2210"/>
        <v>105.22388000000001</v>
      </c>
      <c r="R2070" s="7">
        <f t="shared" si="2211"/>
        <v>346.13118421052633</v>
      </c>
      <c r="S2070" t="str">
        <f t="shared" si="2212"/>
        <v>technology</v>
      </c>
      <c r="T2070" t="str">
        <f t="shared" si="2213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ref="K2071:L2071" si="2233">(J2071/60/60/24)+DATE(1970,1,1)</f>
        <v>42340.972118055557</v>
      </c>
      <c r="L2071" s="11">
        <f t="shared" si="220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2210"/>
        <v>128.40666000000002</v>
      </c>
      <c r="R2071" s="7">
        <f t="shared" si="2211"/>
        <v>244.11912547528519</v>
      </c>
      <c r="S2071" t="str">
        <f t="shared" si="2212"/>
        <v>technology</v>
      </c>
      <c r="T2071" t="str">
        <f t="shared" si="2213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ref="K2072:L2072" si="2234">(J2072/60/60/24)+DATE(1970,1,1)</f>
        <v>42519.6565162037</v>
      </c>
      <c r="L2072" s="11">
        <f t="shared" si="220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2210"/>
        <v>317.3272</v>
      </c>
      <c r="R2072" s="7">
        <f t="shared" si="2211"/>
        <v>259.25424836601309</v>
      </c>
      <c r="S2072" t="str">
        <f t="shared" si="2212"/>
        <v>technology</v>
      </c>
      <c r="T2072" t="str">
        <f t="shared" si="2213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ref="K2073:L2073" si="2235">(J2073/60/60/24)+DATE(1970,1,1)</f>
        <v>42600.278749999998</v>
      </c>
      <c r="L2073" s="11">
        <f t="shared" si="220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2210"/>
        <v>280.73</v>
      </c>
      <c r="R2073" s="7">
        <f t="shared" si="2211"/>
        <v>201.96402877697841</v>
      </c>
      <c r="S2073" t="str">
        <f t="shared" si="2212"/>
        <v>technology</v>
      </c>
      <c r="T2073" t="str">
        <f t="shared" si="2213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ref="K2074:L2074" si="2236">(J2074/60/60/24)+DATE(1970,1,1)</f>
        <v>42467.581388888888</v>
      </c>
      <c r="L2074" s="11">
        <f t="shared" si="220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2210"/>
        <v>110.73146853146854</v>
      </c>
      <c r="R2074" s="7">
        <f t="shared" si="2211"/>
        <v>226.20857142857142</v>
      </c>
      <c r="S2074" t="str">
        <f t="shared" si="2212"/>
        <v>technology</v>
      </c>
      <c r="T2074" t="str">
        <f t="shared" si="2213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ref="K2075:L2075" si="2237">(J2075/60/60/24)+DATE(1970,1,1)</f>
        <v>42087.668032407411</v>
      </c>
      <c r="L2075" s="11">
        <f t="shared" si="220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2210"/>
        <v>152.60429999999999</v>
      </c>
      <c r="R2075" s="7">
        <f t="shared" si="2211"/>
        <v>324.69</v>
      </c>
      <c r="S2075" t="str">
        <f t="shared" si="2212"/>
        <v>technology</v>
      </c>
      <c r="T2075" t="str">
        <f t="shared" si="2213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ref="K2076:L2076" si="2238">(J2076/60/60/24)+DATE(1970,1,1)</f>
        <v>42466.826180555552</v>
      </c>
      <c r="L2076" s="11">
        <f t="shared" si="220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2210"/>
        <v>102.49999999999999</v>
      </c>
      <c r="R2076" s="7">
        <f t="shared" si="2211"/>
        <v>205</v>
      </c>
      <c r="S2076" t="str">
        <f t="shared" si="2212"/>
        <v>technology</v>
      </c>
      <c r="T2076" t="str">
        <f t="shared" si="2213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ref="K2077:L2077" si="2239">(J2077/60/60/24)+DATE(1970,1,1)</f>
        <v>41450.681574074071</v>
      </c>
      <c r="L2077" s="11">
        <f t="shared" si="220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2210"/>
        <v>1678.3738373837384</v>
      </c>
      <c r="R2077" s="7">
        <f t="shared" si="2211"/>
        <v>20.465926829268295</v>
      </c>
      <c r="S2077" t="str">
        <f t="shared" si="2212"/>
        <v>technology</v>
      </c>
      <c r="T2077" t="str">
        <f t="shared" si="2213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ref="K2078:L2078" si="2240">(J2078/60/60/24)+DATE(1970,1,1)</f>
        <v>41803.880659722221</v>
      </c>
      <c r="L2078" s="11">
        <f t="shared" si="220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2210"/>
        <v>543.349156424581</v>
      </c>
      <c r="R2078" s="7">
        <f t="shared" si="2211"/>
        <v>116.35303146309367</v>
      </c>
      <c r="S2078" t="str">
        <f t="shared" si="2212"/>
        <v>technology</v>
      </c>
      <c r="T2078" t="str">
        <f t="shared" si="2213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ref="K2079:L2079" si="2241">(J2079/60/60/24)+DATE(1970,1,1)</f>
        <v>42103.042546296296</v>
      </c>
      <c r="L2079" s="11">
        <f t="shared" si="2209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2210"/>
        <v>115.50800000000001</v>
      </c>
      <c r="R2079" s="7">
        <f t="shared" si="2211"/>
        <v>307.20212765957444</v>
      </c>
      <c r="S2079" t="str">
        <f t="shared" si="2212"/>
        <v>technology</v>
      </c>
      <c r="T2079" t="str">
        <f t="shared" si="2213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ref="K2080:L2080" si="2242">(J2080/60/60/24)+DATE(1970,1,1)</f>
        <v>42692.771493055552</v>
      </c>
      <c r="L2080" s="11">
        <f t="shared" si="220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2210"/>
        <v>131.20499999999998</v>
      </c>
      <c r="R2080" s="7">
        <f t="shared" si="2211"/>
        <v>546.6875</v>
      </c>
      <c r="S2080" t="str">
        <f t="shared" si="2212"/>
        <v>technology</v>
      </c>
      <c r="T2080" t="str">
        <f t="shared" si="2213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ref="K2081:L2081" si="2243">(J2081/60/60/24)+DATE(1970,1,1)</f>
        <v>42150.71056712963</v>
      </c>
      <c r="L2081" s="11">
        <f t="shared" si="220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2210"/>
        <v>288.17</v>
      </c>
      <c r="R2081" s="7">
        <f t="shared" si="2211"/>
        <v>47.474464579901152</v>
      </c>
      <c r="S2081" t="str">
        <f t="shared" si="2212"/>
        <v>technology</v>
      </c>
      <c r="T2081" t="str">
        <f t="shared" si="2213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ref="K2082:L2082" si="2244">(J2082/60/60/24)+DATE(1970,1,1)</f>
        <v>42289.957175925927</v>
      </c>
      <c r="L2082" s="11">
        <f t="shared" si="220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2210"/>
        <v>507.8</v>
      </c>
      <c r="R2082" s="7">
        <f t="shared" si="2211"/>
        <v>101.56</v>
      </c>
      <c r="S2082" t="str">
        <f t="shared" si="2212"/>
        <v>technology</v>
      </c>
      <c r="T2082" t="str">
        <f t="shared" si="2213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ref="K2083:L2083" si="2245">(J2083/60/60/24)+DATE(1970,1,1)</f>
        <v>41004.156886574077</v>
      </c>
      <c r="L2083" s="11">
        <f t="shared" si="220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2210"/>
        <v>114.57142857142857</v>
      </c>
      <c r="R2083" s="7">
        <f t="shared" si="2211"/>
        <v>72.909090909090907</v>
      </c>
      <c r="S2083" t="str">
        <f t="shared" si="2212"/>
        <v>music</v>
      </c>
      <c r="T2083" t="str">
        <f t="shared" si="2213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ref="K2084:L2084" si="2246">(J2084/60/60/24)+DATE(1970,1,1)</f>
        <v>40811.120324074072</v>
      </c>
      <c r="L2084" s="11">
        <f t="shared" si="220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2210"/>
        <v>110.73333333333333</v>
      </c>
      <c r="R2084" s="7">
        <f t="shared" si="2211"/>
        <v>43.710526315789473</v>
      </c>
      <c r="S2084" t="str">
        <f t="shared" si="2212"/>
        <v>music</v>
      </c>
      <c r="T2084" t="str">
        <f t="shared" si="2213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ref="K2085:L2085" si="2247">(J2085/60/60/24)+DATE(1970,1,1)</f>
        <v>41034.72216435185</v>
      </c>
      <c r="L2085" s="11">
        <f t="shared" si="220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2210"/>
        <v>113.33333333333333</v>
      </c>
      <c r="R2085" s="7">
        <f t="shared" si="2211"/>
        <v>34</v>
      </c>
      <c r="S2085" t="str">
        <f t="shared" si="2212"/>
        <v>music</v>
      </c>
      <c r="T2085" t="str">
        <f t="shared" si="2213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ref="K2086:L2086" si="2248">(J2086/60/60/24)+DATE(1970,1,1)</f>
        <v>41731.833124999997</v>
      </c>
      <c r="L2086" s="11">
        <f t="shared" si="220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2210"/>
        <v>108.33333333333333</v>
      </c>
      <c r="R2086" s="7">
        <f t="shared" si="2211"/>
        <v>70.652173913043484</v>
      </c>
      <c r="S2086" t="str">
        <f t="shared" si="2212"/>
        <v>music</v>
      </c>
      <c r="T2086" t="str">
        <f t="shared" si="2213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ref="K2087:L2087" si="2249">(J2087/60/60/24)+DATE(1970,1,1)</f>
        <v>41075.835497685184</v>
      </c>
      <c r="L2087" s="11">
        <f t="shared" si="220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2210"/>
        <v>123.53333333333335</v>
      </c>
      <c r="R2087" s="7">
        <f t="shared" si="2211"/>
        <v>89.301204819277103</v>
      </c>
      <c r="S2087" t="str">
        <f t="shared" si="2212"/>
        <v>music</v>
      </c>
      <c r="T2087" t="str">
        <f t="shared" si="2213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ref="K2088:L2088" si="2250">(J2088/60/60/24)+DATE(1970,1,1)</f>
        <v>40860.67050925926</v>
      </c>
      <c r="L2088" s="11">
        <f t="shared" si="220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2210"/>
        <v>100.69999999999999</v>
      </c>
      <c r="R2088" s="7">
        <f t="shared" si="2211"/>
        <v>115.08571428571429</v>
      </c>
      <c r="S2088" t="str">
        <f t="shared" si="2212"/>
        <v>music</v>
      </c>
      <c r="T2088" t="str">
        <f t="shared" si="2213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ref="K2089:L2089" si="2251">(J2089/60/60/24)+DATE(1970,1,1)</f>
        <v>40764.204375000001</v>
      </c>
      <c r="L2089" s="11">
        <f t="shared" si="220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2210"/>
        <v>103.53333333333335</v>
      </c>
      <c r="R2089" s="7">
        <f t="shared" si="2211"/>
        <v>62.12</v>
      </c>
      <c r="S2089" t="str">
        <f t="shared" si="2212"/>
        <v>music</v>
      </c>
      <c r="T2089" t="str">
        <f t="shared" si="2213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ref="K2090:L2090" si="2252">(J2090/60/60/24)+DATE(1970,1,1)</f>
        <v>40395.714722222219</v>
      </c>
      <c r="L2090" s="11">
        <f t="shared" si="220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2210"/>
        <v>115.51066666666668</v>
      </c>
      <c r="R2090" s="7">
        <f t="shared" si="2211"/>
        <v>46.204266666666669</v>
      </c>
      <c r="S2090" t="str">
        <f t="shared" si="2212"/>
        <v>music</v>
      </c>
      <c r="T2090" t="str">
        <f t="shared" si="2213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ref="K2091:L2091" si="2253">(J2091/60/60/24)+DATE(1970,1,1)</f>
        <v>41453.076319444444</v>
      </c>
      <c r="L2091" s="11">
        <f t="shared" si="220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2210"/>
        <v>120.4004</v>
      </c>
      <c r="R2091" s="7">
        <f t="shared" si="2211"/>
        <v>48.54854838709678</v>
      </c>
      <c r="S2091" t="str">
        <f t="shared" si="2212"/>
        <v>music</v>
      </c>
      <c r="T2091" t="str">
        <f t="shared" si="2213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ref="K2092:L2092" si="2254">(J2092/60/60/24)+DATE(1970,1,1)</f>
        <v>41299.381423611114</v>
      </c>
      <c r="L2092" s="11">
        <f t="shared" si="220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2210"/>
        <v>115.040375</v>
      </c>
      <c r="R2092" s="7">
        <f t="shared" si="2211"/>
        <v>57.520187499999999</v>
      </c>
      <c r="S2092" t="str">
        <f t="shared" si="2212"/>
        <v>music</v>
      </c>
      <c r="T2092" t="str">
        <f t="shared" si="2213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ref="K2093:L2093" si="2255">(J2093/60/60/24)+DATE(1970,1,1)</f>
        <v>40555.322662037033</v>
      </c>
      <c r="L2093" s="11">
        <f t="shared" si="220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2210"/>
        <v>120.46777777777777</v>
      </c>
      <c r="R2093" s="7">
        <f t="shared" si="2211"/>
        <v>88.147154471544724</v>
      </c>
      <c r="S2093" t="str">
        <f t="shared" si="2212"/>
        <v>music</v>
      </c>
      <c r="T2093" t="str">
        <f t="shared" si="2213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ref="K2094:L2094" si="2256">(J2094/60/60/24)+DATE(1970,1,1)</f>
        <v>40763.707546296297</v>
      </c>
      <c r="L2094" s="11">
        <f t="shared" si="220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2210"/>
        <v>101.28333333333333</v>
      </c>
      <c r="R2094" s="7">
        <f t="shared" si="2211"/>
        <v>110.49090909090908</v>
      </c>
      <c r="S2094" t="str">
        <f t="shared" si="2212"/>
        <v>music</v>
      </c>
      <c r="T2094" t="str">
        <f t="shared" si="2213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ref="K2095:L2095" si="2257">(J2095/60/60/24)+DATE(1970,1,1)</f>
        <v>41205.854537037041</v>
      </c>
      <c r="L2095" s="11">
        <f t="shared" si="220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2210"/>
        <v>102.46666666666667</v>
      </c>
      <c r="R2095" s="7">
        <f t="shared" si="2211"/>
        <v>66.826086956521735</v>
      </c>
      <c r="S2095" t="str">
        <f t="shared" si="2212"/>
        <v>music</v>
      </c>
      <c r="T2095" t="str">
        <f t="shared" si="2213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ref="K2096:L2096" si="2258">(J2096/60/60/24)+DATE(1970,1,1)</f>
        <v>40939.02002314815</v>
      </c>
      <c r="L2096" s="11">
        <f t="shared" si="2209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2210"/>
        <v>120.54285714285714</v>
      </c>
      <c r="R2096" s="7">
        <f t="shared" si="2211"/>
        <v>58.597222222222221</v>
      </c>
      <c r="S2096" t="str">
        <f t="shared" si="2212"/>
        <v>music</v>
      </c>
      <c r="T2096" t="str">
        <f t="shared" si="2213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ref="K2097:L2097" si="2259">(J2097/60/60/24)+DATE(1970,1,1)</f>
        <v>40758.733483796292</v>
      </c>
      <c r="L2097" s="11">
        <f t="shared" si="220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2210"/>
        <v>100</v>
      </c>
      <c r="R2097" s="7">
        <f t="shared" si="2211"/>
        <v>113.63636363636364</v>
      </c>
      <c r="S2097" t="str">
        <f t="shared" si="2212"/>
        <v>music</v>
      </c>
      <c r="T2097" t="str">
        <f t="shared" si="2213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ref="K2098:L2098" si="2260">(J2098/60/60/24)+DATE(1970,1,1)</f>
        <v>41192.758506944447</v>
      </c>
      <c r="L2098" s="11">
        <f t="shared" si="220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2210"/>
        <v>101.66666666666666</v>
      </c>
      <c r="R2098" s="7">
        <f t="shared" si="2211"/>
        <v>43.571428571428569</v>
      </c>
      <c r="S2098" t="str">
        <f t="shared" si="2212"/>
        <v>music</v>
      </c>
      <c r="T2098" t="str">
        <f t="shared" si="2213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ref="K2099:L2099" si="2261">(J2099/60/60/24)+DATE(1970,1,1)</f>
        <v>40818.58489583333</v>
      </c>
      <c r="L2099" s="11">
        <f t="shared" si="220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2210"/>
        <v>100</v>
      </c>
      <c r="R2099" s="7">
        <f t="shared" si="2211"/>
        <v>78.94736842105263</v>
      </c>
      <c r="S2099" t="str">
        <f t="shared" si="2212"/>
        <v>music</v>
      </c>
      <c r="T2099" t="str">
        <f t="shared" si="2213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ref="K2100:L2100" si="2262">(J2100/60/60/24)+DATE(1970,1,1)</f>
        <v>40946.11383101852</v>
      </c>
      <c r="L2100" s="11">
        <f t="shared" si="220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2210"/>
        <v>100.33333333333334</v>
      </c>
      <c r="R2100" s="7">
        <f t="shared" si="2211"/>
        <v>188.125</v>
      </c>
      <c r="S2100" t="str">
        <f t="shared" si="2212"/>
        <v>music</v>
      </c>
      <c r="T2100" t="str">
        <f t="shared" si="2213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ref="K2101:L2101" si="2263">(J2101/60/60/24)+DATE(1970,1,1)</f>
        <v>42173.746342592596</v>
      </c>
      <c r="L2101" s="11">
        <f t="shared" si="220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2210"/>
        <v>132.36666666666667</v>
      </c>
      <c r="R2101" s="7">
        <f t="shared" si="2211"/>
        <v>63.031746031746032</v>
      </c>
      <c r="S2101" t="str">
        <f t="shared" si="2212"/>
        <v>music</v>
      </c>
      <c r="T2101" t="str">
        <f t="shared" si="2213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ref="K2102:L2102" si="2264">(J2102/60/60/24)+DATE(1970,1,1)</f>
        <v>41074.834965277776</v>
      </c>
      <c r="L2102" s="11">
        <f t="shared" si="220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2210"/>
        <v>136.66666666666666</v>
      </c>
      <c r="R2102" s="7">
        <f t="shared" si="2211"/>
        <v>30.37037037037037</v>
      </c>
      <c r="S2102" t="str">
        <f t="shared" si="2212"/>
        <v>music</v>
      </c>
      <c r="T2102" t="str">
        <f t="shared" si="2213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ref="K2103:L2103" si="2265">(J2103/60/60/24)+DATE(1970,1,1)</f>
        <v>40892.149467592593</v>
      </c>
      <c r="L2103" s="11">
        <f t="shared" si="220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2210"/>
        <v>113.25</v>
      </c>
      <c r="R2103" s="7">
        <f t="shared" si="2211"/>
        <v>51.477272727272727</v>
      </c>
      <c r="S2103" t="str">
        <f t="shared" si="2212"/>
        <v>music</v>
      </c>
      <c r="T2103" t="str">
        <f t="shared" si="2213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ref="K2104:L2104" si="2266">(J2104/60/60/24)+DATE(1970,1,1)</f>
        <v>40638.868611111109</v>
      </c>
      <c r="L2104" s="11">
        <f t="shared" si="220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2210"/>
        <v>136</v>
      </c>
      <c r="R2104" s="7">
        <f t="shared" si="2211"/>
        <v>35.789473684210527</v>
      </c>
      <c r="S2104" t="str">
        <f t="shared" si="2212"/>
        <v>music</v>
      </c>
      <c r="T2104" t="str">
        <f t="shared" si="2213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ref="K2105:L2105" si="2267">(J2105/60/60/24)+DATE(1970,1,1)</f>
        <v>41192.754942129628</v>
      </c>
      <c r="L2105" s="11">
        <f t="shared" si="220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2210"/>
        <v>146.12318374694613</v>
      </c>
      <c r="R2105" s="7">
        <f t="shared" si="2211"/>
        <v>98.817391304347822</v>
      </c>
      <c r="S2105" t="str">
        <f t="shared" si="2212"/>
        <v>music</v>
      </c>
      <c r="T2105" t="str">
        <f t="shared" si="2213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ref="K2106:L2106" si="2268">(J2106/60/60/24)+DATE(1970,1,1)</f>
        <v>41394.074467592596</v>
      </c>
      <c r="L2106" s="11">
        <f t="shared" si="2209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2210"/>
        <v>129.5</v>
      </c>
      <c r="R2106" s="7">
        <f t="shared" si="2211"/>
        <v>28</v>
      </c>
      <c r="S2106" t="str">
        <f t="shared" si="2212"/>
        <v>music</v>
      </c>
      <c r="T2106" t="str">
        <f t="shared" si="2213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ref="K2107:L2107" si="2269">(J2107/60/60/24)+DATE(1970,1,1)</f>
        <v>41951.788807870369</v>
      </c>
      <c r="L2107" s="11">
        <f t="shared" si="220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2210"/>
        <v>254</v>
      </c>
      <c r="R2107" s="7">
        <f t="shared" si="2211"/>
        <v>51.313131313131315</v>
      </c>
      <c r="S2107" t="str">
        <f t="shared" si="2212"/>
        <v>music</v>
      </c>
      <c r="T2107" t="str">
        <f t="shared" si="2213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ref="K2108:L2108" si="2270">(J2108/60/60/24)+DATE(1970,1,1)</f>
        <v>41270.21497685185</v>
      </c>
      <c r="L2108" s="11">
        <f t="shared" si="220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2210"/>
        <v>107.04545454545456</v>
      </c>
      <c r="R2108" s="7">
        <f t="shared" si="2211"/>
        <v>53.522727272727273</v>
      </c>
      <c r="S2108" t="str">
        <f t="shared" si="2212"/>
        <v>music</v>
      </c>
      <c r="T2108" t="str">
        <f t="shared" si="2213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ref="K2109:L2109" si="2271">(J2109/60/60/24)+DATE(1970,1,1)</f>
        <v>41934.71056712963</v>
      </c>
      <c r="L2109" s="11">
        <f t="shared" si="220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2210"/>
        <v>107.73299999999999</v>
      </c>
      <c r="R2109" s="7">
        <f t="shared" si="2211"/>
        <v>37.149310344827583</v>
      </c>
      <c r="S2109" t="str">
        <f t="shared" si="2212"/>
        <v>music</v>
      </c>
      <c r="T2109" t="str">
        <f t="shared" si="2213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ref="K2110:L2110" si="2272">(J2110/60/60/24)+DATE(1970,1,1)</f>
        <v>41135.175694444442</v>
      </c>
      <c r="L2110" s="11">
        <f t="shared" si="220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2210"/>
        <v>107.31250000000001</v>
      </c>
      <c r="R2110" s="7">
        <f t="shared" si="2211"/>
        <v>89.895287958115176</v>
      </c>
      <c r="S2110" t="str">
        <f t="shared" si="2212"/>
        <v>music</v>
      </c>
      <c r="T2110" t="str">
        <f t="shared" si="2213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ref="K2111:L2111" si="2273">(J2111/60/60/24)+DATE(1970,1,1)</f>
        <v>42160.708530092597</v>
      </c>
      <c r="L2111" s="11">
        <f t="shared" si="220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2210"/>
        <v>106.52500000000001</v>
      </c>
      <c r="R2111" s="7">
        <f t="shared" si="2211"/>
        <v>106.52500000000001</v>
      </c>
      <c r="S2111" t="str">
        <f t="shared" si="2212"/>
        <v>music</v>
      </c>
      <c r="T2111" t="str">
        <f t="shared" si="2213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ref="K2112:L2112" si="2274">(J2112/60/60/24)+DATE(1970,1,1)</f>
        <v>41759.670937499999</v>
      </c>
      <c r="L2112" s="11">
        <f t="shared" si="220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2210"/>
        <v>100.35000000000001</v>
      </c>
      <c r="R2112" s="7">
        <f t="shared" si="2211"/>
        <v>52.815789473684212</v>
      </c>
      <c r="S2112" t="str">
        <f t="shared" si="2212"/>
        <v>music</v>
      </c>
      <c r="T2112" t="str">
        <f t="shared" si="2213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ref="K2113:L2113" si="2275">(J2113/60/60/24)+DATE(1970,1,1)</f>
        <v>40703.197048611109</v>
      </c>
      <c r="L2113" s="11">
        <f t="shared" si="220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2210"/>
        <v>106.5</v>
      </c>
      <c r="R2113" s="7">
        <f t="shared" si="2211"/>
        <v>54.615384615384613</v>
      </c>
      <c r="S2113" t="str">
        <f t="shared" si="2212"/>
        <v>music</v>
      </c>
      <c r="T2113" t="str">
        <f t="shared" si="2213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ref="K2114:L2114" si="2276">(J2114/60/60/24)+DATE(1970,1,1)</f>
        <v>41365.928159722222</v>
      </c>
      <c r="L2114" s="11">
        <f t="shared" si="220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2210"/>
        <v>100</v>
      </c>
      <c r="R2114" s="7">
        <f t="shared" si="2211"/>
        <v>27.272727272727273</v>
      </c>
      <c r="S2114" t="str">
        <f t="shared" si="2212"/>
        <v>music</v>
      </c>
      <c r="T2114" t="str">
        <f t="shared" si="2213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ref="K2115:L2115" si="2277">(J2115/60/60/24)+DATE(1970,1,1)</f>
        <v>41870.86546296296</v>
      </c>
      <c r="L2115" s="11">
        <f t="shared" ref="L2115:L2178" si="2278">(I2115/60/60/24)+DATE(1970,1,1)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279">(E2115/D2115)*100</f>
        <v>104.85714285714285</v>
      </c>
      <c r="R2115" s="7">
        <f t="shared" ref="R2115:R2178" si="2280">IFERROR(E2115/N2115, 0)</f>
        <v>68.598130841121488</v>
      </c>
      <c r="S2115" t="str">
        <f t="shared" ref="S2115:S2178" si="2281">LEFT(P2115, SEARCH("/", P2115,1)-1)</f>
        <v>music</v>
      </c>
      <c r="T2115" t="str">
        <f t="shared" ref="T2115:T2178" si="2282">RIGHT(P2115,LEN(P2115)-SEARCH("/",P2115,SEARCH("/",P2115)))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ref="K2116:L2116" si="2283">(J2116/60/60/24)+DATE(1970,1,1)</f>
        <v>40458.815625000003</v>
      </c>
      <c r="L2116" s="11">
        <f t="shared" si="2278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279"/>
        <v>104.69999999999999</v>
      </c>
      <c r="R2116" s="7">
        <f t="shared" si="2280"/>
        <v>35.612244897959187</v>
      </c>
      <c r="S2116" t="str">
        <f t="shared" si="2281"/>
        <v>music</v>
      </c>
      <c r="T2116" t="str">
        <f t="shared" si="2282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ref="K2117:L2117" si="2284">(J2117/60/60/24)+DATE(1970,1,1)</f>
        <v>40564.081030092595</v>
      </c>
      <c r="L2117" s="11">
        <f t="shared" si="2278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279"/>
        <v>225.66666666666669</v>
      </c>
      <c r="R2117" s="7">
        <f t="shared" si="2280"/>
        <v>94.027777777777771</v>
      </c>
      <c r="S2117" t="str">
        <f t="shared" si="2281"/>
        <v>music</v>
      </c>
      <c r="T2117" t="str">
        <f t="shared" si="2282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ref="K2118:L2118" si="2285">(J2118/60/60/24)+DATE(1970,1,1)</f>
        <v>41136.777812500004</v>
      </c>
      <c r="L2118" s="11">
        <f t="shared" si="2278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279"/>
        <v>100.90416666666667</v>
      </c>
      <c r="R2118" s="7">
        <f t="shared" si="2280"/>
        <v>526.45652173913038</v>
      </c>
      <c r="S2118" t="str">
        <f t="shared" si="2281"/>
        <v>music</v>
      </c>
      <c r="T2118" t="str">
        <f t="shared" si="2282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ref="K2119:L2119" si="2286">(J2119/60/60/24)+DATE(1970,1,1)</f>
        <v>42290.059594907405</v>
      </c>
      <c r="L2119" s="11">
        <f t="shared" si="2278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279"/>
        <v>147.75</v>
      </c>
      <c r="R2119" s="7">
        <f t="shared" si="2280"/>
        <v>50.657142857142858</v>
      </c>
      <c r="S2119" t="str">
        <f t="shared" si="2281"/>
        <v>music</v>
      </c>
      <c r="T2119" t="str">
        <f t="shared" si="2282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ref="K2120:L2120" si="2287">(J2120/60/60/24)+DATE(1970,1,1)</f>
        <v>40718.839537037034</v>
      </c>
      <c r="L2120" s="11">
        <f t="shared" si="2278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279"/>
        <v>134.61099999999999</v>
      </c>
      <c r="R2120" s="7">
        <f t="shared" si="2280"/>
        <v>79.182941176470578</v>
      </c>
      <c r="S2120" t="str">
        <f t="shared" si="2281"/>
        <v>music</v>
      </c>
      <c r="T2120" t="str">
        <f t="shared" si="2282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ref="K2121:L2121" si="2288">(J2121/60/60/24)+DATE(1970,1,1)</f>
        <v>41107.130150462966</v>
      </c>
      <c r="L2121" s="11">
        <f t="shared" si="2278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279"/>
        <v>100.75</v>
      </c>
      <c r="R2121" s="7">
        <f t="shared" si="2280"/>
        <v>91.590909090909093</v>
      </c>
      <c r="S2121" t="str">
        <f t="shared" si="2281"/>
        <v>music</v>
      </c>
      <c r="T2121" t="str">
        <f t="shared" si="2282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ref="K2122:L2122" si="2289">(J2122/60/60/24)+DATE(1970,1,1)</f>
        <v>41591.964537037034</v>
      </c>
      <c r="L2122" s="11">
        <f t="shared" si="2278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279"/>
        <v>100.880375</v>
      </c>
      <c r="R2122" s="7">
        <f t="shared" si="2280"/>
        <v>116.96275362318841</v>
      </c>
      <c r="S2122" t="str">
        <f t="shared" si="2281"/>
        <v>music</v>
      </c>
      <c r="T2122" t="str">
        <f t="shared" si="2282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ref="K2123:L2123" si="2290">(J2123/60/60/24)+DATE(1970,1,1)</f>
        <v>42716.7424537037</v>
      </c>
      <c r="L2123" s="11">
        <f t="shared" si="2278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279"/>
        <v>0.56800000000000006</v>
      </c>
      <c r="R2123" s="7">
        <f t="shared" si="2280"/>
        <v>28.4</v>
      </c>
      <c r="S2123" t="str">
        <f t="shared" si="2281"/>
        <v>games</v>
      </c>
      <c r="T2123" t="str">
        <f t="shared" si="2282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ref="K2124:L2124" si="2291">(J2124/60/60/24)+DATE(1970,1,1)</f>
        <v>42712.300567129627</v>
      </c>
      <c r="L2124" s="11">
        <f t="shared" si="2278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279"/>
        <v>0.38750000000000001</v>
      </c>
      <c r="R2124" s="7">
        <f t="shared" si="2280"/>
        <v>103.33333333333333</v>
      </c>
      <c r="S2124" t="str">
        <f t="shared" si="2281"/>
        <v>games</v>
      </c>
      <c r="T2124" t="str">
        <f t="shared" si="2282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ref="K2125:L2125" si="2292">(J2125/60/60/24)+DATE(1970,1,1)</f>
        <v>40198.424849537041</v>
      </c>
      <c r="L2125" s="11">
        <f t="shared" si="2278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279"/>
        <v>10</v>
      </c>
      <c r="R2125" s="7">
        <f t="shared" si="2280"/>
        <v>10</v>
      </c>
      <c r="S2125" t="str">
        <f t="shared" si="2281"/>
        <v>games</v>
      </c>
      <c r="T2125" t="str">
        <f t="shared" si="2282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ref="K2126:L2126" si="2293">(J2126/60/60/24)+DATE(1970,1,1)</f>
        <v>40464.028182870366</v>
      </c>
      <c r="L2126" s="11">
        <f t="shared" si="2278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279"/>
        <v>10.454545454545453</v>
      </c>
      <c r="R2126" s="7">
        <f t="shared" si="2280"/>
        <v>23</v>
      </c>
      <c r="S2126" t="str">
        <f t="shared" si="2281"/>
        <v>games</v>
      </c>
      <c r="T2126" t="str">
        <f t="shared" si="2282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ref="K2127:L2127" si="2294">(J2127/60/60/24)+DATE(1970,1,1)</f>
        <v>42191.023530092592</v>
      </c>
      <c r="L2127" s="11">
        <f t="shared" si="2278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279"/>
        <v>1.4200000000000002</v>
      </c>
      <c r="R2127" s="7">
        <f t="shared" si="2280"/>
        <v>31.555555555555557</v>
      </c>
      <c r="S2127" t="str">
        <f t="shared" si="2281"/>
        <v>games</v>
      </c>
      <c r="T2127" t="str">
        <f t="shared" si="2282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ref="K2128:L2128" si="2295">(J2128/60/60/24)+DATE(1970,1,1)</f>
        <v>41951.973229166666</v>
      </c>
      <c r="L2128" s="11">
        <f t="shared" si="2278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279"/>
        <v>0.05</v>
      </c>
      <c r="R2128" s="7">
        <f t="shared" si="2280"/>
        <v>5</v>
      </c>
      <c r="S2128" t="str">
        <f t="shared" si="2281"/>
        <v>games</v>
      </c>
      <c r="T2128" t="str">
        <f t="shared" si="2282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ref="K2129:L2129" si="2296">(J2129/60/60/24)+DATE(1970,1,1)</f>
        <v>42045.50535879629</v>
      </c>
      <c r="L2129" s="11">
        <f t="shared" si="2278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279"/>
        <v>28.842857142857142</v>
      </c>
      <c r="R2129" s="7">
        <f t="shared" si="2280"/>
        <v>34.220338983050844</v>
      </c>
      <c r="S2129" t="str">
        <f t="shared" si="2281"/>
        <v>games</v>
      </c>
      <c r="T2129" t="str">
        <f t="shared" si="2282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ref="K2130:L2130" si="2297">(J2130/60/60/24)+DATE(1970,1,1)</f>
        <v>41843.772789351853</v>
      </c>
      <c r="L2130" s="11">
        <f t="shared" si="2278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279"/>
        <v>0.16666666666666669</v>
      </c>
      <c r="R2130" s="7">
        <f t="shared" si="2280"/>
        <v>25</v>
      </c>
      <c r="S2130" t="str">
        <f t="shared" si="2281"/>
        <v>games</v>
      </c>
      <c r="T2130" t="str">
        <f t="shared" si="2282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ref="K2131:L2131" si="2298">(J2131/60/60/24)+DATE(1970,1,1)</f>
        <v>42409.024305555555</v>
      </c>
      <c r="L2131" s="11">
        <f t="shared" si="2278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279"/>
        <v>11.799999999999999</v>
      </c>
      <c r="R2131" s="7">
        <f t="shared" si="2280"/>
        <v>19.666666666666668</v>
      </c>
      <c r="S2131" t="str">
        <f t="shared" si="2281"/>
        <v>games</v>
      </c>
      <c r="T2131" t="str">
        <f t="shared" si="2282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ref="K2132:L2132" si="2299">(J2132/60/60/24)+DATE(1970,1,1)</f>
        <v>41832.086377314816</v>
      </c>
      <c r="L2132" s="11">
        <f t="shared" si="2278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279"/>
        <v>0.20238095238095236</v>
      </c>
      <c r="R2132" s="7">
        <f t="shared" si="2280"/>
        <v>21.25</v>
      </c>
      <c r="S2132" t="str">
        <f t="shared" si="2281"/>
        <v>games</v>
      </c>
      <c r="T2132" t="str">
        <f t="shared" si="2282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ref="K2133:L2133" si="2300">(J2133/60/60/24)+DATE(1970,1,1)</f>
        <v>42167.207071759258</v>
      </c>
      <c r="L2133" s="11">
        <f t="shared" si="2278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279"/>
        <v>5</v>
      </c>
      <c r="R2133" s="7">
        <f t="shared" si="2280"/>
        <v>8.3333333333333339</v>
      </c>
      <c r="S2133" t="str">
        <f t="shared" si="2281"/>
        <v>games</v>
      </c>
      <c r="T2133" t="str">
        <f t="shared" si="2282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ref="K2134:L2134" si="2301">(J2134/60/60/24)+DATE(1970,1,1)</f>
        <v>41643.487175925926</v>
      </c>
      <c r="L2134" s="11">
        <f t="shared" si="2278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279"/>
        <v>2.1129899999999995</v>
      </c>
      <c r="R2134" s="7">
        <f t="shared" si="2280"/>
        <v>21.34333333333333</v>
      </c>
      <c r="S2134" t="str">
        <f t="shared" si="2281"/>
        <v>games</v>
      </c>
      <c r="T2134" t="str">
        <f t="shared" si="2282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ref="K2135:L2135" si="2302">(J2135/60/60/24)+DATE(1970,1,1)</f>
        <v>40619.097210648149</v>
      </c>
      <c r="L2135" s="11">
        <f t="shared" si="2278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279"/>
        <v>1.6</v>
      </c>
      <c r="R2135" s="7">
        <f t="shared" si="2280"/>
        <v>5.333333333333333</v>
      </c>
      <c r="S2135" t="str">
        <f t="shared" si="2281"/>
        <v>games</v>
      </c>
      <c r="T2135" t="str">
        <f t="shared" si="2282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ref="K2136:L2136" si="2303">(J2136/60/60/24)+DATE(1970,1,1)</f>
        <v>41361.886469907404</v>
      </c>
      <c r="L2136" s="11">
        <f t="shared" si="2278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279"/>
        <v>1.7333333333333332</v>
      </c>
      <c r="R2136" s="7">
        <f t="shared" si="2280"/>
        <v>34.666666666666664</v>
      </c>
      <c r="S2136" t="str">
        <f t="shared" si="2281"/>
        <v>games</v>
      </c>
      <c r="T2136" t="str">
        <f t="shared" si="2282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ref="K2137:L2137" si="2304">(J2137/60/60/24)+DATE(1970,1,1)</f>
        <v>41156.963344907403</v>
      </c>
      <c r="L2137" s="11">
        <f t="shared" si="2278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279"/>
        <v>9.56</v>
      </c>
      <c r="R2137" s="7">
        <f t="shared" si="2280"/>
        <v>21.727272727272727</v>
      </c>
      <c r="S2137" t="str">
        <f t="shared" si="2281"/>
        <v>games</v>
      </c>
      <c r="T2137" t="str">
        <f t="shared" si="2282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ref="K2138:L2138" si="2305">(J2138/60/60/24)+DATE(1970,1,1)</f>
        <v>41536.509097222224</v>
      </c>
      <c r="L2138" s="11">
        <f t="shared" si="2278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279"/>
        <v>5.9612499999999999E-2</v>
      </c>
      <c r="R2138" s="7">
        <f t="shared" si="2280"/>
        <v>11.922499999999999</v>
      </c>
      <c r="S2138" t="str">
        <f t="shared" si="2281"/>
        <v>games</v>
      </c>
      <c r="T2138" t="str">
        <f t="shared" si="2282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ref="K2139:L2139" si="2306">(J2139/60/60/24)+DATE(1970,1,1)</f>
        <v>41948.771168981482</v>
      </c>
      <c r="L2139" s="11">
        <f t="shared" si="2278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279"/>
        <v>28.405999999999999</v>
      </c>
      <c r="R2139" s="7">
        <f t="shared" si="2280"/>
        <v>26.59737827715356</v>
      </c>
      <c r="S2139" t="str">
        <f t="shared" si="2281"/>
        <v>games</v>
      </c>
      <c r="T2139" t="str">
        <f t="shared" si="2282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ref="K2140:L2140" si="2307">(J2140/60/60/24)+DATE(1970,1,1)</f>
        <v>41557.013182870374</v>
      </c>
      <c r="L2140" s="11">
        <f t="shared" si="2278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279"/>
        <v>12.8</v>
      </c>
      <c r="R2140" s="7">
        <f t="shared" si="2280"/>
        <v>10.666666666666666</v>
      </c>
      <c r="S2140" t="str">
        <f t="shared" si="2281"/>
        <v>games</v>
      </c>
      <c r="T2140" t="str">
        <f t="shared" si="2282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ref="K2141:L2141" si="2308">(J2141/60/60/24)+DATE(1970,1,1)</f>
        <v>42647.750092592592</v>
      </c>
      <c r="L2141" s="11">
        <f t="shared" si="2278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279"/>
        <v>5.42</v>
      </c>
      <c r="R2141" s="7">
        <f t="shared" si="2280"/>
        <v>29.035714285714285</v>
      </c>
      <c r="S2141" t="str">
        <f t="shared" si="2281"/>
        <v>games</v>
      </c>
      <c r="T2141" t="str">
        <f t="shared" si="2282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ref="K2142:L2142" si="2309">(J2142/60/60/24)+DATE(1970,1,1)</f>
        <v>41255.833611111113</v>
      </c>
      <c r="L2142" s="11">
        <f t="shared" si="2278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279"/>
        <v>0.11199999999999999</v>
      </c>
      <c r="R2142" s="7">
        <f t="shared" si="2280"/>
        <v>50.909090909090907</v>
      </c>
      <c r="S2142" t="str">
        <f t="shared" si="2281"/>
        <v>games</v>
      </c>
      <c r="T2142" t="str">
        <f t="shared" si="2282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ref="K2143:L2143" si="2310">(J2143/60/60/24)+DATE(1970,1,1)</f>
        <v>41927.235636574071</v>
      </c>
      <c r="L2143" s="11">
        <f t="shared" si="2278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279"/>
        <v>0</v>
      </c>
      <c r="R2143" s="7">
        <f t="shared" si="2280"/>
        <v>0</v>
      </c>
      <c r="S2143" t="str">
        <f t="shared" si="2281"/>
        <v>games</v>
      </c>
      <c r="T2143" t="str">
        <f t="shared" si="2282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ref="K2144:L2144" si="2311">(J2144/60/60/24)+DATE(1970,1,1)</f>
        <v>42340.701504629629</v>
      </c>
      <c r="L2144" s="11">
        <f t="shared" si="2278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279"/>
        <v>5.7238095238095239</v>
      </c>
      <c r="R2144" s="7">
        <f t="shared" si="2280"/>
        <v>50.083333333333336</v>
      </c>
      <c r="S2144" t="str">
        <f t="shared" si="2281"/>
        <v>games</v>
      </c>
      <c r="T2144" t="str">
        <f t="shared" si="2282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ref="K2145:L2145" si="2312">(J2145/60/60/24)+DATE(1970,1,1)</f>
        <v>40332.886712962965</v>
      </c>
      <c r="L2145" s="11">
        <f t="shared" si="2278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279"/>
        <v>11.25</v>
      </c>
      <c r="R2145" s="7">
        <f t="shared" si="2280"/>
        <v>45</v>
      </c>
      <c r="S2145" t="str">
        <f t="shared" si="2281"/>
        <v>games</v>
      </c>
      <c r="T2145" t="str">
        <f t="shared" si="2282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ref="K2146:L2146" si="2313">(J2146/60/60/24)+DATE(1970,1,1)</f>
        <v>41499.546759259261</v>
      </c>
      <c r="L2146" s="11">
        <f t="shared" si="2278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279"/>
        <v>1.7098591549295776</v>
      </c>
      <c r="R2146" s="7">
        <f t="shared" si="2280"/>
        <v>25.291666666666668</v>
      </c>
      <c r="S2146" t="str">
        <f t="shared" si="2281"/>
        <v>games</v>
      </c>
      <c r="T2146" t="str">
        <f t="shared" si="2282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ref="K2147:L2147" si="2314">(J2147/60/60/24)+DATE(1970,1,1)</f>
        <v>41575.237430555557</v>
      </c>
      <c r="L2147" s="11">
        <f t="shared" si="2278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279"/>
        <v>30.433333333333334</v>
      </c>
      <c r="R2147" s="7">
        <f t="shared" si="2280"/>
        <v>51.292134831460672</v>
      </c>
      <c r="S2147" t="str">
        <f t="shared" si="2281"/>
        <v>games</v>
      </c>
      <c r="T2147" t="str">
        <f t="shared" si="2282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ref="K2148:L2148" si="2315">(J2148/60/60/24)+DATE(1970,1,1)</f>
        <v>42397.679513888885</v>
      </c>
      <c r="L2148" s="11">
        <f t="shared" si="2278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279"/>
        <v>0.02</v>
      </c>
      <c r="R2148" s="7">
        <f t="shared" si="2280"/>
        <v>1</v>
      </c>
      <c r="S2148" t="str">
        <f t="shared" si="2281"/>
        <v>games</v>
      </c>
      <c r="T2148" t="str">
        <f t="shared" si="2282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ref="K2149:L2149" si="2316">(J2149/60/60/24)+DATE(1970,1,1)</f>
        <v>41927.295694444445</v>
      </c>
      <c r="L2149" s="11">
        <f t="shared" si="2278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279"/>
        <v>0.69641025641025645</v>
      </c>
      <c r="R2149" s="7">
        <f t="shared" si="2280"/>
        <v>49.381818181818183</v>
      </c>
      <c r="S2149" t="str">
        <f t="shared" si="2281"/>
        <v>games</v>
      </c>
      <c r="T2149" t="str">
        <f t="shared" si="2282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ref="K2150:L2150" si="2317">(J2150/60/60/24)+DATE(1970,1,1)</f>
        <v>42066.733587962968</v>
      </c>
      <c r="L2150" s="11">
        <f t="shared" si="2278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279"/>
        <v>2</v>
      </c>
      <c r="R2150" s="7">
        <f t="shared" si="2280"/>
        <v>1</v>
      </c>
      <c r="S2150" t="str">
        <f t="shared" si="2281"/>
        <v>games</v>
      </c>
      <c r="T2150" t="str">
        <f t="shared" si="2282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ref="K2151:L2151" si="2318">(J2151/60/60/24)+DATE(1970,1,1)</f>
        <v>40355.024953703702</v>
      </c>
      <c r="L2151" s="11">
        <f t="shared" si="2278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279"/>
        <v>0</v>
      </c>
      <c r="R2151" s="7">
        <f t="shared" si="2280"/>
        <v>0</v>
      </c>
      <c r="S2151" t="str">
        <f t="shared" si="2281"/>
        <v>games</v>
      </c>
      <c r="T2151" t="str">
        <f t="shared" si="2282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ref="K2152:L2152" si="2319">(J2152/60/60/24)+DATE(1970,1,1)</f>
        <v>42534.284710648149</v>
      </c>
      <c r="L2152" s="11">
        <f t="shared" si="2278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279"/>
        <v>0.80999999999999994</v>
      </c>
      <c r="R2152" s="7">
        <f t="shared" si="2280"/>
        <v>101.25</v>
      </c>
      <c r="S2152" t="str">
        <f t="shared" si="2281"/>
        <v>games</v>
      </c>
      <c r="T2152" t="str">
        <f t="shared" si="2282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ref="K2153:L2153" si="2320">(J2153/60/60/24)+DATE(1970,1,1)</f>
        <v>42520.847384259265</v>
      </c>
      <c r="L2153" s="11">
        <f t="shared" si="2278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279"/>
        <v>0.26222222222222225</v>
      </c>
      <c r="R2153" s="7">
        <f t="shared" si="2280"/>
        <v>19.666666666666668</v>
      </c>
      <c r="S2153" t="str">
        <f t="shared" si="2281"/>
        <v>games</v>
      </c>
      <c r="T2153" t="str">
        <f t="shared" si="2282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ref="K2154:L2154" si="2321">(J2154/60/60/24)+DATE(1970,1,1)</f>
        <v>41683.832280092596</v>
      </c>
      <c r="L2154" s="11">
        <f t="shared" si="2278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279"/>
        <v>0.16666666666666669</v>
      </c>
      <c r="R2154" s="7">
        <f t="shared" si="2280"/>
        <v>12.5</v>
      </c>
      <c r="S2154" t="str">
        <f t="shared" si="2281"/>
        <v>games</v>
      </c>
      <c r="T2154" t="str">
        <f t="shared" si="2282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ref="K2155:L2155" si="2322">(J2155/60/60/24)+DATE(1970,1,1)</f>
        <v>41974.911087962959</v>
      </c>
      <c r="L2155" s="11">
        <f t="shared" si="2278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279"/>
        <v>9.124454880912446E-3</v>
      </c>
      <c r="R2155" s="7">
        <f t="shared" si="2280"/>
        <v>8.5</v>
      </c>
      <c r="S2155" t="str">
        <f t="shared" si="2281"/>
        <v>games</v>
      </c>
      <c r="T2155" t="str">
        <f t="shared" si="2282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ref="K2156:L2156" si="2323">(J2156/60/60/24)+DATE(1970,1,1)</f>
        <v>41647.632256944446</v>
      </c>
      <c r="L2156" s="11">
        <f t="shared" si="2278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279"/>
        <v>0.8</v>
      </c>
      <c r="R2156" s="7">
        <f t="shared" si="2280"/>
        <v>1</v>
      </c>
      <c r="S2156" t="str">
        <f t="shared" si="2281"/>
        <v>games</v>
      </c>
      <c r="T2156" t="str">
        <f t="shared" si="2282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ref="K2157:L2157" si="2324">(J2157/60/60/24)+DATE(1970,1,1)</f>
        <v>42430.747511574074</v>
      </c>
      <c r="L2157" s="11">
        <f t="shared" si="2278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279"/>
        <v>2.2999999999999998</v>
      </c>
      <c r="R2157" s="7">
        <f t="shared" si="2280"/>
        <v>23</v>
      </c>
      <c r="S2157" t="str">
        <f t="shared" si="2281"/>
        <v>games</v>
      </c>
      <c r="T2157" t="str">
        <f t="shared" si="2282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ref="K2158:L2158" si="2325">(J2158/60/60/24)+DATE(1970,1,1)</f>
        <v>41488.85423611111</v>
      </c>
      <c r="L2158" s="11">
        <f t="shared" si="2278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279"/>
        <v>2.6660714285714282</v>
      </c>
      <c r="R2158" s="7">
        <f t="shared" si="2280"/>
        <v>17.987951807228917</v>
      </c>
      <c r="S2158" t="str">
        <f t="shared" si="2281"/>
        <v>games</v>
      </c>
      <c r="T2158" t="str">
        <f t="shared" si="2282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ref="K2159:L2159" si="2326">(J2159/60/60/24)+DATE(1970,1,1)</f>
        <v>42694.98128472222</v>
      </c>
      <c r="L2159" s="11">
        <f t="shared" si="2278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279"/>
        <v>28.192</v>
      </c>
      <c r="R2159" s="7">
        <f t="shared" si="2280"/>
        <v>370.94736842105266</v>
      </c>
      <c r="S2159" t="str">
        <f t="shared" si="2281"/>
        <v>games</v>
      </c>
      <c r="T2159" t="str">
        <f t="shared" si="2282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ref="K2160:L2160" si="2327">(J2160/60/60/24)+DATE(1970,1,1)</f>
        <v>41264.853865740741</v>
      </c>
      <c r="L2160" s="11">
        <f t="shared" si="2278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279"/>
        <v>6.5900366666666672</v>
      </c>
      <c r="R2160" s="7">
        <f t="shared" si="2280"/>
        <v>63.569485530546629</v>
      </c>
      <c r="S2160" t="str">
        <f t="shared" si="2281"/>
        <v>games</v>
      </c>
      <c r="T2160" t="str">
        <f t="shared" si="2282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ref="K2161:L2161" si="2328">(J2161/60/60/24)+DATE(1970,1,1)</f>
        <v>40710.731180555551</v>
      </c>
      <c r="L2161" s="11">
        <f t="shared" si="2278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279"/>
        <v>0.72222222222222221</v>
      </c>
      <c r="R2161" s="7">
        <f t="shared" si="2280"/>
        <v>13</v>
      </c>
      <c r="S2161" t="str">
        <f t="shared" si="2281"/>
        <v>games</v>
      </c>
      <c r="T2161" t="str">
        <f t="shared" si="2282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ref="K2162:L2162" si="2329">(J2162/60/60/24)+DATE(1970,1,1)</f>
        <v>41018.711863425924</v>
      </c>
      <c r="L2162" s="11">
        <f t="shared" si="2278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279"/>
        <v>0.85000000000000009</v>
      </c>
      <c r="R2162" s="7">
        <f t="shared" si="2280"/>
        <v>5.3125</v>
      </c>
      <c r="S2162" t="str">
        <f t="shared" si="2281"/>
        <v>games</v>
      </c>
      <c r="T2162" t="str">
        <f t="shared" si="2282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ref="K2163:L2163" si="2330">(J2163/60/60/24)+DATE(1970,1,1)</f>
        <v>42240.852534722217</v>
      </c>
      <c r="L2163" s="11">
        <f t="shared" si="2278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279"/>
        <v>115.75</v>
      </c>
      <c r="R2163" s="7">
        <f t="shared" si="2280"/>
        <v>35.615384615384613</v>
      </c>
      <c r="S2163" t="str">
        <f t="shared" si="2281"/>
        <v>music</v>
      </c>
      <c r="T2163" t="str">
        <f t="shared" si="2282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ref="K2164:L2164" si="2331">(J2164/60/60/24)+DATE(1970,1,1)</f>
        <v>41813.766099537039</v>
      </c>
      <c r="L2164" s="11">
        <f t="shared" si="2278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279"/>
        <v>112.26666666666667</v>
      </c>
      <c r="R2164" s="7">
        <f t="shared" si="2280"/>
        <v>87.103448275862064</v>
      </c>
      <c r="S2164" t="str">
        <f t="shared" si="2281"/>
        <v>music</v>
      </c>
      <c r="T2164" t="str">
        <f t="shared" si="2282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ref="K2165:L2165" si="2332">(J2165/60/60/24)+DATE(1970,1,1)</f>
        <v>42111.899537037039</v>
      </c>
      <c r="L2165" s="11">
        <f t="shared" si="2278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279"/>
        <v>132.20000000000002</v>
      </c>
      <c r="R2165" s="7">
        <f t="shared" si="2280"/>
        <v>75.11363636363636</v>
      </c>
      <c r="S2165" t="str">
        <f t="shared" si="2281"/>
        <v>music</v>
      </c>
      <c r="T2165" t="str">
        <f t="shared" si="2282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ref="K2166:L2166" si="2333">(J2166/60/60/24)+DATE(1970,1,1)</f>
        <v>42515.71775462963</v>
      </c>
      <c r="L2166" s="11">
        <f t="shared" si="2278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279"/>
        <v>102.63636363636364</v>
      </c>
      <c r="R2166" s="7">
        <f t="shared" si="2280"/>
        <v>68.01204819277109</v>
      </c>
      <c r="S2166" t="str">
        <f t="shared" si="2281"/>
        <v>music</v>
      </c>
      <c r="T2166" t="str">
        <f t="shared" si="2282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ref="K2167:L2167" si="2334">(J2167/60/60/24)+DATE(1970,1,1)</f>
        <v>42438.667071759264</v>
      </c>
      <c r="L2167" s="11">
        <f t="shared" si="2278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279"/>
        <v>138.64000000000001</v>
      </c>
      <c r="R2167" s="7">
        <f t="shared" si="2280"/>
        <v>29.623931623931625</v>
      </c>
      <c r="S2167" t="str">
        <f t="shared" si="2281"/>
        <v>music</v>
      </c>
      <c r="T2167" t="str">
        <f t="shared" si="2282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ref="K2168:L2168" si="2335">(J2168/60/60/24)+DATE(1970,1,1)</f>
        <v>41933.838171296295</v>
      </c>
      <c r="L2168" s="11">
        <f t="shared" si="2278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279"/>
        <v>146.6</v>
      </c>
      <c r="R2168" s="7">
        <f t="shared" si="2280"/>
        <v>91.625</v>
      </c>
      <c r="S2168" t="str">
        <f t="shared" si="2281"/>
        <v>music</v>
      </c>
      <c r="T2168" t="str">
        <f t="shared" si="2282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ref="K2169:L2169" si="2336">(J2169/60/60/24)+DATE(1970,1,1)</f>
        <v>41153.066400462965</v>
      </c>
      <c r="L2169" s="11">
        <f t="shared" si="2278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279"/>
        <v>120</v>
      </c>
      <c r="R2169" s="7">
        <f t="shared" si="2280"/>
        <v>22.5</v>
      </c>
      <c r="S2169" t="str">
        <f t="shared" si="2281"/>
        <v>music</v>
      </c>
      <c r="T2169" t="str">
        <f t="shared" si="2282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ref="K2170:L2170" si="2337">(J2170/60/60/24)+DATE(1970,1,1)</f>
        <v>42745.600243055553</v>
      </c>
      <c r="L2170" s="11">
        <f t="shared" si="2278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279"/>
        <v>121.5816111111111</v>
      </c>
      <c r="R2170" s="7">
        <f t="shared" si="2280"/>
        <v>64.366735294117646</v>
      </c>
      <c r="S2170" t="str">
        <f t="shared" si="2281"/>
        <v>music</v>
      </c>
      <c r="T2170" t="str">
        <f t="shared" si="2282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ref="K2171:L2171" si="2338">(J2171/60/60/24)+DATE(1970,1,1)</f>
        <v>42793.700821759259</v>
      </c>
      <c r="L2171" s="11">
        <f t="shared" si="2278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279"/>
        <v>100</v>
      </c>
      <c r="R2171" s="7">
        <f t="shared" si="2280"/>
        <v>21.857142857142858</v>
      </c>
      <c r="S2171" t="str">
        <f t="shared" si="2281"/>
        <v>music</v>
      </c>
      <c r="T2171" t="str">
        <f t="shared" si="2282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ref="K2172:L2172" si="2339">(J2172/60/60/24)+DATE(1970,1,1)</f>
        <v>42198.750254629631</v>
      </c>
      <c r="L2172" s="11">
        <f t="shared" si="2278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279"/>
        <v>180.85714285714286</v>
      </c>
      <c r="R2172" s="7">
        <f t="shared" si="2280"/>
        <v>33.315789473684212</v>
      </c>
      <c r="S2172" t="str">
        <f t="shared" si="2281"/>
        <v>music</v>
      </c>
      <c r="T2172" t="str">
        <f t="shared" si="2282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ref="K2173:L2173" si="2340">(J2173/60/60/24)+DATE(1970,1,1)</f>
        <v>42141.95711805555</v>
      </c>
      <c r="L2173" s="11">
        <f t="shared" si="2278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279"/>
        <v>106.075</v>
      </c>
      <c r="R2173" s="7">
        <f t="shared" si="2280"/>
        <v>90.276595744680847</v>
      </c>
      <c r="S2173" t="str">
        <f t="shared" si="2281"/>
        <v>music</v>
      </c>
      <c r="T2173" t="str">
        <f t="shared" si="2282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ref="K2174:L2174" si="2341">(J2174/60/60/24)+DATE(1970,1,1)</f>
        <v>42082.580092592587</v>
      </c>
      <c r="L2174" s="11">
        <f t="shared" si="2278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279"/>
        <v>100</v>
      </c>
      <c r="R2174" s="7">
        <f t="shared" si="2280"/>
        <v>76.92307692307692</v>
      </c>
      <c r="S2174" t="str">
        <f t="shared" si="2281"/>
        <v>music</v>
      </c>
      <c r="T2174" t="str">
        <f t="shared" si="2282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ref="K2175:L2175" si="2342">(J2175/60/60/24)+DATE(1970,1,1)</f>
        <v>41495.692627314813</v>
      </c>
      <c r="L2175" s="11">
        <f t="shared" si="2278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279"/>
        <v>126.92857142857143</v>
      </c>
      <c r="R2175" s="7">
        <f t="shared" si="2280"/>
        <v>59.233333333333334</v>
      </c>
      <c r="S2175" t="str">
        <f t="shared" si="2281"/>
        <v>music</v>
      </c>
      <c r="T2175" t="str">
        <f t="shared" si="2282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ref="K2176:L2176" si="2343">(J2176/60/60/24)+DATE(1970,1,1)</f>
        <v>42465.542905092589</v>
      </c>
      <c r="L2176" s="11">
        <f t="shared" si="2278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279"/>
        <v>102.97499999999999</v>
      </c>
      <c r="R2176" s="7">
        <f t="shared" si="2280"/>
        <v>65.38095238095238</v>
      </c>
      <c r="S2176" t="str">
        <f t="shared" si="2281"/>
        <v>music</v>
      </c>
      <c r="T2176" t="str">
        <f t="shared" si="2282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ref="K2177:L2177" si="2344">(J2177/60/60/24)+DATE(1970,1,1)</f>
        <v>42565.009097222224</v>
      </c>
      <c r="L2177" s="11">
        <f t="shared" si="2278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279"/>
        <v>250</v>
      </c>
      <c r="R2177" s="7">
        <f t="shared" si="2280"/>
        <v>67.307692307692307</v>
      </c>
      <c r="S2177" t="str">
        <f t="shared" si="2281"/>
        <v>music</v>
      </c>
      <c r="T2177" t="str">
        <f t="shared" si="2282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ref="K2178:L2178" si="2345">(J2178/60/60/24)+DATE(1970,1,1)</f>
        <v>42096.633206018523</v>
      </c>
      <c r="L2178" s="11">
        <f t="shared" si="2278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279"/>
        <v>126.02</v>
      </c>
      <c r="R2178" s="7">
        <f t="shared" si="2280"/>
        <v>88.74647887323944</v>
      </c>
      <c r="S2178" t="str">
        <f t="shared" si="2281"/>
        <v>music</v>
      </c>
      <c r="T2178" t="str">
        <f t="shared" si="2282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ref="K2179:L2179" si="2346">(J2179/60/60/24)+DATE(1970,1,1)</f>
        <v>42502.250775462962</v>
      </c>
      <c r="L2179" s="11">
        <f t="shared" ref="L2179:L2242" si="2347">(I2179/60/60/24)+DATE(1970,1,1)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348">(E2179/D2179)*100</f>
        <v>100.12</v>
      </c>
      <c r="R2179" s="7">
        <f t="shared" ref="R2179:R2242" si="2349">IFERROR(E2179/N2179, 0)</f>
        <v>65.868421052631575</v>
      </c>
      <c r="S2179" t="str">
        <f t="shared" ref="S2179:S2242" si="2350">LEFT(P2179, SEARCH("/", P2179,1)-1)</f>
        <v>music</v>
      </c>
      <c r="T2179" t="str">
        <f t="shared" ref="T2179:T2242" si="2351">RIGHT(P2179,LEN(P2179)-SEARCH("/",P2179,SEARCH("/",P2179)))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ref="K2180:L2180" si="2352">(J2180/60/60/24)+DATE(1970,1,1)</f>
        <v>42723.63653935185</v>
      </c>
      <c r="L2180" s="11">
        <f t="shared" si="234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348"/>
        <v>138.64000000000001</v>
      </c>
      <c r="R2180" s="7">
        <f t="shared" si="2349"/>
        <v>40.349243306169967</v>
      </c>
      <c r="S2180" t="str">
        <f t="shared" si="2350"/>
        <v>music</v>
      </c>
      <c r="T2180" t="str">
        <f t="shared" si="2351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ref="K2181:L2181" si="2353">(J2181/60/60/24)+DATE(1970,1,1)</f>
        <v>42075.171203703707</v>
      </c>
      <c r="L2181" s="11">
        <f t="shared" si="234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348"/>
        <v>161.4</v>
      </c>
      <c r="R2181" s="7">
        <f t="shared" si="2349"/>
        <v>76.857142857142861</v>
      </c>
      <c r="S2181" t="str">
        <f t="shared" si="2350"/>
        <v>music</v>
      </c>
      <c r="T2181" t="str">
        <f t="shared" si="2351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ref="K2182:L2182" si="2354">(J2182/60/60/24)+DATE(1970,1,1)</f>
        <v>42279.669768518521</v>
      </c>
      <c r="L2182" s="11">
        <f t="shared" si="234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348"/>
        <v>107.18419999999999</v>
      </c>
      <c r="R2182" s="7">
        <f t="shared" si="2349"/>
        <v>68.707820512820518</v>
      </c>
      <c r="S2182" t="str">
        <f t="shared" si="2350"/>
        <v>music</v>
      </c>
      <c r="T2182" t="str">
        <f t="shared" si="2351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ref="K2183:L2183" si="2355">(J2183/60/60/24)+DATE(1970,1,1)</f>
        <v>42773.005243055552</v>
      </c>
      <c r="L2183" s="11">
        <f t="shared" si="234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348"/>
        <v>153.1</v>
      </c>
      <c r="R2183" s="7">
        <f t="shared" si="2349"/>
        <v>57.773584905660378</v>
      </c>
      <c r="S2183" t="str">
        <f t="shared" si="2350"/>
        <v>games</v>
      </c>
      <c r="T2183" t="str">
        <f t="shared" si="2351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ref="K2184:L2184" si="2356">(J2184/60/60/24)+DATE(1970,1,1)</f>
        <v>41879.900752314818</v>
      </c>
      <c r="L2184" s="11">
        <f t="shared" si="234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348"/>
        <v>524.16666666666663</v>
      </c>
      <c r="R2184" s="7">
        <f t="shared" si="2349"/>
        <v>44.171348314606739</v>
      </c>
      <c r="S2184" t="str">
        <f t="shared" si="2350"/>
        <v>games</v>
      </c>
      <c r="T2184" t="str">
        <f t="shared" si="2351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ref="K2185:L2185" si="2357">(J2185/60/60/24)+DATE(1970,1,1)</f>
        <v>42745.365474537044</v>
      </c>
      <c r="L2185" s="11">
        <f t="shared" si="234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348"/>
        <v>489.27777777777777</v>
      </c>
      <c r="R2185" s="7">
        <f t="shared" si="2349"/>
        <v>31.566308243727597</v>
      </c>
      <c r="S2185" t="str">
        <f t="shared" si="2350"/>
        <v>games</v>
      </c>
      <c r="T2185" t="str">
        <f t="shared" si="2351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ref="K2186:L2186" si="2358">(J2186/60/60/24)+DATE(1970,1,1)</f>
        <v>42380.690289351856</v>
      </c>
      <c r="L2186" s="11">
        <f t="shared" si="234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348"/>
        <v>284.74</v>
      </c>
      <c r="R2186" s="7">
        <f t="shared" si="2349"/>
        <v>107.04511278195488</v>
      </c>
      <c r="S2186" t="str">
        <f t="shared" si="2350"/>
        <v>games</v>
      </c>
      <c r="T2186" t="str">
        <f t="shared" si="2351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ref="K2187:L2187" si="2359">(J2187/60/60/24)+DATE(1970,1,1)</f>
        <v>41319.349988425929</v>
      </c>
      <c r="L2187" s="11">
        <f t="shared" si="234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348"/>
        <v>1856.97</v>
      </c>
      <c r="R2187" s="7">
        <f t="shared" si="2349"/>
        <v>149.03451043338683</v>
      </c>
      <c r="S2187" t="str">
        <f t="shared" si="2350"/>
        <v>games</v>
      </c>
      <c r="T2187" t="str">
        <f t="shared" si="2351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ref="K2188:L2188" si="2360">(J2188/60/60/24)+DATE(1970,1,1)</f>
        <v>42583.615081018521</v>
      </c>
      <c r="L2188" s="11">
        <f t="shared" si="234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348"/>
        <v>109.67499999999998</v>
      </c>
      <c r="R2188" s="7">
        <f t="shared" si="2349"/>
        <v>55.956632653061227</v>
      </c>
      <c r="S2188" t="str">
        <f t="shared" si="2350"/>
        <v>games</v>
      </c>
      <c r="T2188" t="str">
        <f t="shared" si="2351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ref="K2189:L2189" si="2361">(J2189/60/60/24)+DATE(1970,1,1)</f>
        <v>42068.209097222221</v>
      </c>
      <c r="L2189" s="11">
        <f t="shared" si="234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348"/>
        <v>1014.6425</v>
      </c>
      <c r="R2189" s="7">
        <f t="shared" si="2349"/>
        <v>56.970381807973048</v>
      </c>
      <c r="S2189" t="str">
        <f t="shared" si="2350"/>
        <v>games</v>
      </c>
      <c r="T2189" t="str">
        <f t="shared" si="2351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ref="K2190:L2190" si="2362">(J2190/60/60/24)+DATE(1970,1,1)</f>
        <v>42633.586122685185</v>
      </c>
      <c r="L2190" s="11">
        <f t="shared" si="234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348"/>
        <v>412.17692027666544</v>
      </c>
      <c r="R2190" s="7">
        <f t="shared" si="2349"/>
        <v>44.056420233463037</v>
      </c>
      <c r="S2190" t="str">
        <f t="shared" si="2350"/>
        <v>games</v>
      </c>
      <c r="T2190" t="str">
        <f t="shared" si="2351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ref="K2191:L2191" si="2363">(J2191/60/60/24)+DATE(1970,1,1)</f>
        <v>42467.788194444445</v>
      </c>
      <c r="L2191" s="11">
        <f t="shared" si="234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348"/>
        <v>503.25</v>
      </c>
      <c r="R2191" s="7">
        <f t="shared" si="2349"/>
        <v>68.625</v>
      </c>
      <c r="S2191" t="str">
        <f t="shared" si="2350"/>
        <v>games</v>
      </c>
      <c r="T2191" t="str">
        <f t="shared" si="2351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ref="K2192:L2192" si="2364">(J2192/60/60/24)+DATE(1970,1,1)</f>
        <v>42417.625046296293</v>
      </c>
      <c r="L2192" s="11">
        <f t="shared" si="234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348"/>
        <v>184.61052631578946</v>
      </c>
      <c r="R2192" s="7">
        <f t="shared" si="2349"/>
        <v>65.318435754189949</v>
      </c>
      <c r="S2192" t="str">
        <f t="shared" si="2350"/>
        <v>games</v>
      </c>
      <c r="T2192" t="str">
        <f t="shared" si="2351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ref="K2193:L2193" si="2365">(J2193/60/60/24)+DATE(1970,1,1)</f>
        <v>42768.833645833336</v>
      </c>
      <c r="L2193" s="11">
        <f t="shared" si="234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348"/>
        <v>119.73333333333333</v>
      </c>
      <c r="R2193" s="7">
        <f t="shared" si="2349"/>
        <v>35.92</v>
      </c>
      <c r="S2193" t="str">
        <f t="shared" si="2350"/>
        <v>games</v>
      </c>
      <c r="T2193" t="str">
        <f t="shared" si="2351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ref="K2194:L2194" si="2366">(J2194/60/60/24)+DATE(1970,1,1)</f>
        <v>42691.8512037037</v>
      </c>
      <c r="L2194" s="11">
        <f t="shared" si="234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348"/>
        <v>1081.2401666666667</v>
      </c>
      <c r="R2194" s="7">
        <f t="shared" si="2349"/>
        <v>40.070667078443485</v>
      </c>
      <c r="S2194" t="str">
        <f t="shared" si="2350"/>
        <v>games</v>
      </c>
      <c r="T2194" t="str">
        <f t="shared" si="2351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ref="K2195:L2195" si="2367">(J2195/60/60/24)+DATE(1970,1,1)</f>
        <v>42664.405925925923</v>
      </c>
      <c r="L2195" s="11">
        <f t="shared" si="234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348"/>
        <v>452.37333333333333</v>
      </c>
      <c r="R2195" s="7">
        <f t="shared" si="2349"/>
        <v>75.647714604236342</v>
      </c>
      <c r="S2195" t="str">
        <f t="shared" si="2350"/>
        <v>games</v>
      </c>
      <c r="T2195" t="str">
        <f t="shared" si="2351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ref="K2196:L2196" si="2368">(J2196/60/60/24)+DATE(1970,1,1)</f>
        <v>42425.757986111115</v>
      </c>
      <c r="L2196" s="11">
        <f t="shared" si="234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348"/>
        <v>537.37</v>
      </c>
      <c r="R2196" s="7">
        <f t="shared" si="2349"/>
        <v>61.203872437357631</v>
      </c>
      <c r="S2196" t="str">
        <f t="shared" si="2350"/>
        <v>games</v>
      </c>
      <c r="T2196" t="str">
        <f t="shared" si="2351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ref="K2197:L2197" si="2369">(J2197/60/60/24)+DATE(1970,1,1)</f>
        <v>42197.771990740745</v>
      </c>
      <c r="L2197" s="11">
        <f t="shared" si="234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348"/>
        <v>120.32608695652173</v>
      </c>
      <c r="R2197" s="7">
        <f t="shared" si="2349"/>
        <v>48.130434782608695</v>
      </c>
      <c r="S2197" t="str">
        <f t="shared" si="2350"/>
        <v>games</v>
      </c>
      <c r="T2197" t="str">
        <f t="shared" si="2351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ref="K2198:L2198" si="2370">(J2198/60/60/24)+DATE(1970,1,1)</f>
        <v>42675.487291666665</v>
      </c>
      <c r="L2198" s="11">
        <f t="shared" si="234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348"/>
        <v>113.83571428571429</v>
      </c>
      <c r="R2198" s="7">
        <f t="shared" si="2349"/>
        <v>68.106837606837601</v>
      </c>
      <c r="S2198" t="str">
        <f t="shared" si="2350"/>
        <v>games</v>
      </c>
      <c r="T2198" t="str">
        <f t="shared" si="2351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ref="K2199:L2199" si="2371">(J2199/60/60/24)+DATE(1970,1,1)</f>
        <v>42033.584016203706</v>
      </c>
      <c r="L2199" s="11">
        <f t="shared" si="234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348"/>
        <v>951.03109999999992</v>
      </c>
      <c r="R2199" s="7">
        <f t="shared" si="2349"/>
        <v>65.891300230946882</v>
      </c>
      <c r="S2199" t="str">
        <f t="shared" si="2350"/>
        <v>games</v>
      </c>
      <c r="T2199" t="str">
        <f t="shared" si="2351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ref="K2200:L2200" si="2372">(J2200/60/60/24)+DATE(1970,1,1)</f>
        <v>42292.513888888891</v>
      </c>
      <c r="L2200" s="11">
        <f t="shared" si="234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348"/>
        <v>132.89249999999998</v>
      </c>
      <c r="R2200" s="7">
        <f t="shared" si="2349"/>
        <v>81.654377880184327</v>
      </c>
      <c r="S2200" t="str">
        <f t="shared" si="2350"/>
        <v>games</v>
      </c>
      <c r="T2200" t="str">
        <f t="shared" si="2351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ref="K2201:L2201" si="2373">(J2201/60/60/24)+DATE(1970,1,1)</f>
        <v>42262.416643518518</v>
      </c>
      <c r="L2201" s="11">
        <f t="shared" si="234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348"/>
        <v>146.97777777777779</v>
      </c>
      <c r="R2201" s="7">
        <f t="shared" si="2349"/>
        <v>52.701195219123505</v>
      </c>
      <c r="S2201" t="str">
        <f t="shared" si="2350"/>
        <v>games</v>
      </c>
      <c r="T2201" t="str">
        <f t="shared" si="2351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ref="K2202:L2202" si="2374">(J2202/60/60/24)+DATE(1970,1,1)</f>
        <v>42163.625787037032</v>
      </c>
      <c r="L2202" s="11">
        <f t="shared" si="2347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348"/>
        <v>542.15</v>
      </c>
      <c r="R2202" s="7">
        <f t="shared" si="2349"/>
        <v>41.228136882129277</v>
      </c>
      <c r="S2202" t="str">
        <f t="shared" si="2350"/>
        <v>games</v>
      </c>
      <c r="T2202" t="str">
        <f t="shared" si="2351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ref="K2203:L2203" si="2375">(J2203/60/60/24)+DATE(1970,1,1)</f>
        <v>41276.846817129634</v>
      </c>
      <c r="L2203" s="11">
        <f t="shared" si="234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348"/>
        <v>382.71818181818185</v>
      </c>
      <c r="R2203" s="7">
        <f t="shared" si="2349"/>
        <v>15.035357142857142</v>
      </c>
      <c r="S2203" t="str">
        <f t="shared" si="2350"/>
        <v>music</v>
      </c>
      <c r="T2203" t="str">
        <f t="shared" si="2351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ref="K2204:L2204" si="2376">(J2204/60/60/24)+DATE(1970,1,1)</f>
        <v>41184.849166666667</v>
      </c>
      <c r="L2204" s="11">
        <f t="shared" si="234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348"/>
        <v>704.18124999999998</v>
      </c>
      <c r="R2204" s="7">
        <f t="shared" si="2349"/>
        <v>39.066920943134534</v>
      </c>
      <c r="S2204" t="str">
        <f t="shared" si="2350"/>
        <v>music</v>
      </c>
      <c r="T2204" t="str">
        <f t="shared" si="2351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ref="K2205:L2205" si="2377">(J2205/60/60/24)+DATE(1970,1,1)</f>
        <v>42241.85974537037</v>
      </c>
      <c r="L2205" s="11">
        <f t="shared" si="234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348"/>
        <v>109.55</v>
      </c>
      <c r="R2205" s="7">
        <f t="shared" si="2349"/>
        <v>43.82</v>
      </c>
      <c r="S2205" t="str">
        <f t="shared" si="2350"/>
        <v>music</v>
      </c>
      <c r="T2205" t="str">
        <f t="shared" si="2351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ref="K2206:L2206" si="2378">(J2206/60/60/24)+DATE(1970,1,1)</f>
        <v>41312.311562499999</v>
      </c>
      <c r="L2206" s="11">
        <f t="shared" si="234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348"/>
        <v>132.86666666666667</v>
      </c>
      <c r="R2206" s="7">
        <f t="shared" si="2349"/>
        <v>27.301369863013697</v>
      </c>
      <c r="S2206" t="str">
        <f t="shared" si="2350"/>
        <v>music</v>
      </c>
      <c r="T2206" t="str">
        <f t="shared" si="2351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ref="K2207:L2207" si="2379">(J2207/60/60/24)+DATE(1970,1,1)</f>
        <v>41031.82163194444</v>
      </c>
      <c r="L2207" s="11">
        <f t="shared" si="234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348"/>
        <v>152</v>
      </c>
      <c r="R2207" s="7">
        <f t="shared" si="2349"/>
        <v>42.222222222222221</v>
      </c>
      <c r="S2207" t="str">
        <f t="shared" si="2350"/>
        <v>music</v>
      </c>
      <c r="T2207" t="str">
        <f t="shared" si="2351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ref="K2208:L2208" si="2380">(J2208/60/60/24)+DATE(1970,1,1)</f>
        <v>40997.257222222222</v>
      </c>
      <c r="L2208" s="11">
        <f t="shared" si="234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348"/>
        <v>102.72727272727273</v>
      </c>
      <c r="R2208" s="7">
        <f t="shared" si="2349"/>
        <v>33.235294117647058</v>
      </c>
      <c r="S2208" t="str">
        <f t="shared" si="2350"/>
        <v>music</v>
      </c>
      <c r="T2208" t="str">
        <f t="shared" si="2351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ref="K2209:L2209" si="2381">(J2209/60/60/24)+DATE(1970,1,1)</f>
        <v>41564.194131944445</v>
      </c>
      <c r="L2209" s="11">
        <f t="shared" si="234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348"/>
        <v>100</v>
      </c>
      <c r="R2209" s="7">
        <f t="shared" si="2349"/>
        <v>285.71428571428572</v>
      </c>
      <c r="S2209" t="str">
        <f t="shared" si="2350"/>
        <v>music</v>
      </c>
      <c r="T2209" t="str">
        <f t="shared" si="2351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ref="K2210:L2210" si="2382">(J2210/60/60/24)+DATE(1970,1,1)</f>
        <v>40946.882245370369</v>
      </c>
      <c r="L2210" s="11">
        <f t="shared" si="234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348"/>
        <v>101.6</v>
      </c>
      <c r="R2210" s="7">
        <f t="shared" si="2349"/>
        <v>42.333333333333336</v>
      </c>
      <c r="S2210" t="str">
        <f t="shared" si="2350"/>
        <v>music</v>
      </c>
      <c r="T2210" t="str">
        <f t="shared" si="2351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ref="K2211:L2211" si="2383">(J2211/60/60/24)+DATE(1970,1,1)</f>
        <v>41732.479675925926</v>
      </c>
      <c r="L2211" s="11">
        <f t="shared" si="234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348"/>
        <v>150.80000000000001</v>
      </c>
      <c r="R2211" s="7">
        <f t="shared" si="2349"/>
        <v>50.266666666666666</v>
      </c>
      <c r="S2211" t="str">
        <f t="shared" si="2350"/>
        <v>music</v>
      </c>
      <c r="T2211" t="str">
        <f t="shared" si="2351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ref="K2212:L2212" si="2384">(J2212/60/60/24)+DATE(1970,1,1)</f>
        <v>40956.066087962965</v>
      </c>
      <c r="L2212" s="11">
        <f t="shared" si="234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348"/>
        <v>111.425</v>
      </c>
      <c r="R2212" s="7">
        <f t="shared" si="2349"/>
        <v>61.902777777777779</v>
      </c>
      <c r="S2212" t="str">
        <f t="shared" si="2350"/>
        <v>music</v>
      </c>
      <c r="T2212" t="str">
        <f t="shared" si="2351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ref="K2213:L2213" si="2385">(J2213/60/60/24)+DATE(1970,1,1)</f>
        <v>41716.785011574073</v>
      </c>
      <c r="L2213" s="11">
        <f t="shared" si="234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348"/>
        <v>195.6</v>
      </c>
      <c r="R2213" s="7">
        <f t="shared" si="2349"/>
        <v>40.75</v>
      </c>
      <c r="S2213" t="str">
        <f t="shared" si="2350"/>
        <v>music</v>
      </c>
      <c r="T2213" t="str">
        <f t="shared" si="2351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ref="K2214:L2214" si="2386">(J2214/60/60/24)+DATE(1970,1,1)</f>
        <v>41548.747418981482</v>
      </c>
      <c r="L2214" s="11">
        <f t="shared" si="234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348"/>
        <v>114.38333333333333</v>
      </c>
      <c r="R2214" s="7">
        <f t="shared" si="2349"/>
        <v>55.796747967479675</v>
      </c>
      <c r="S2214" t="str">
        <f t="shared" si="2350"/>
        <v>music</v>
      </c>
      <c r="T2214" t="str">
        <f t="shared" si="2351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ref="K2215:L2215" si="2387">(J2215/60/60/24)+DATE(1970,1,1)</f>
        <v>42109.826145833329</v>
      </c>
      <c r="L2215" s="11">
        <f t="shared" si="234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348"/>
        <v>200</v>
      </c>
      <c r="R2215" s="7">
        <f t="shared" si="2349"/>
        <v>10</v>
      </c>
      <c r="S2215" t="str">
        <f t="shared" si="2350"/>
        <v>music</v>
      </c>
      <c r="T2215" t="str">
        <f t="shared" si="2351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ref="K2216:L2216" si="2388">(J2216/60/60/24)+DATE(1970,1,1)</f>
        <v>41646.792222222226</v>
      </c>
      <c r="L2216" s="11">
        <f t="shared" si="234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348"/>
        <v>292.50166666666667</v>
      </c>
      <c r="R2216" s="7">
        <f t="shared" si="2349"/>
        <v>73.125416666666666</v>
      </c>
      <c r="S2216" t="str">
        <f t="shared" si="2350"/>
        <v>music</v>
      </c>
      <c r="T2216" t="str">
        <f t="shared" si="2351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ref="K2217:L2217" si="2389">(J2217/60/60/24)+DATE(1970,1,1)</f>
        <v>40958.717268518521</v>
      </c>
      <c r="L2217" s="11">
        <f t="shared" si="234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348"/>
        <v>156.36363636363637</v>
      </c>
      <c r="R2217" s="7">
        <f t="shared" si="2349"/>
        <v>26.060606060606062</v>
      </c>
      <c r="S2217" t="str">
        <f t="shared" si="2350"/>
        <v>music</v>
      </c>
      <c r="T2217" t="str">
        <f t="shared" si="2351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ref="K2218:L2218" si="2390">(J2218/60/60/24)+DATE(1970,1,1)</f>
        <v>42194.751678240747</v>
      </c>
      <c r="L2218" s="11">
        <f t="shared" si="234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348"/>
        <v>105.66666666666666</v>
      </c>
      <c r="R2218" s="7">
        <f t="shared" si="2349"/>
        <v>22.642857142857142</v>
      </c>
      <c r="S2218" t="str">
        <f t="shared" si="2350"/>
        <v>music</v>
      </c>
      <c r="T2218" t="str">
        <f t="shared" si="2351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ref="K2219:L2219" si="2391">(J2219/60/60/24)+DATE(1970,1,1)</f>
        <v>42299.776770833334</v>
      </c>
      <c r="L2219" s="11">
        <f t="shared" si="234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348"/>
        <v>101.19047619047619</v>
      </c>
      <c r="R2219" s="7">
        <f t="shared" si="2349"/>
        <v>47.222222222222221</v>
      </c>
      <c r="S2219" t="str">
        <f t="shared" si="2350"/>
        <v>music</v>
      </c>
      <c r="T2219" t="str">
        <f t="shared" si="2351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ref="K2220:L2220" si="2392">(J2220/60/60/24)+DATE(1970,1,1)</f>
        <v>41127.812303240738</v>
      </c>
      <c r="L2220" s="11">
        <f t="shared" si="2347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348"/>
        <v>122.833</v>
      </c>
      <c r="R2220" s="7">
        <f t="shared" si="2349"/>
        <v>32.324473684210524</v>
      </c>
      <c r="S2220" t="str">
        <f t="shared" si="2350"/>
        <v>music</v>
      </c>
      <c r="T2220" t="str">
        <f t="shared" si="2351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ref="K2221:L2221" si="2393">(J2221/60/60/24)+DATE(1970,1,1)</f>
        <v>42205.718888888892</v>
      </c>
      <c r="L2221" s="11">
        <f t="shared" si="234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348"/>
        <v>101.49999999999999</v>
      </c>
      <c r="R2221" s="7">
        <f t="shared" si="2349"/>
        <v>53.421052631578945</v>
      </c>
      <c r="S2221" t="str">
        <f t="shared" si="2350"/>
        <v>music</v>
      </c>
      <c r="T2221" t="str">
        <f t="shared" si="2351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ref="K2222:L2222" si="2394">(J2222/60/60/24)+DATE(1970,1,1)</f>
        <v>41452.060601851852</v>
      </c>
      <c r="L2222" s="11">
        <f t="shared" si="234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348"/>
        <v>101.14285714285714</v>
      </c>
      <c r="R2222" s="7">
        <f t="shared" si="2349"/>
        <v>51.304347826086953</v>
      </c>
      <c r="S2222" t="str">
        <f t="shared" si="2350"/>
        <v>music</v>
      </c>
      <c r="T2222" t="str">
        <f t="shared" si="2351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ref="K2223:L2223" si="2395">(J2223/60/60/24)+DATE(1970,1,1)</f>
        <v>42452.666770833333</v>
      </c>
      <c r="L2223" s="11">
        <f t="shared" si="2347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348"/>
        <v>108.11999999999999</v>
      </c>
      <c r="R2223" s="7">
        <f t="shared" si="2349"/>
        <v>37.197247706422019</v>
      </c>
      <c r="S2223" t="str">
        <f t="shared" si="2350"/>
        <v>games</v>
      </c>
      <c r="T2223" t="str">
        <f t="shared" si="2351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ref="K2224:L2224" si="2396">(J2224/60/60/24)+DATE(1970,1,1)</f>
        <v>40906.787581018521</v>
      </c>
      <c r="L2224" s="11">
        <f t="shared" si="234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348"/>
        <v>162.6</v>
      </c>
      <c r="R2224" s="7">
        <f t="shared" si="2349"/>
        <v>27.1</v>
      </c>
      <c r="S2224" t="str">
        <f t="shared" si="2350"/>
        <v>games</v>
      </c>
      <c r="T2224" t="str">
        <f t="shared" si="2351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ref="K2225:L2225" si="2397">(J2225/60/60/24)+DATE(1970,1,1)</f>
        <v>42152.640833333338</v>
      </c>
      <c r="L2225" s="11">
        <f t="shared" si="234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348"/>
        <v>105.80000000000001</v>
      </c>
      <c r="R2225" s="7">
        <f t="shared" si="2349"/>
        <v>206.31</v>
      </c>
      <c r="S2225" t="str">
        <f t="shared" si="2350"/>
        <v>games</v>
      </c>
      <c r="T2225" t="str">
        <f t="shared" si="2351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ref="K2226:L2226" si="2398">(J2226/60/60/24)+DATE(1970,1,1)</f>
        <v>42644.667534722219</v>
      </c>
      <c r="L2226" s="11">
        <f t="shared" si="234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348"/>
        <v>243.15000000000003</v>
      </c>
      <c r="R2226" s="7">
        <f t="shared" si="2349"/>
        <v>82.145270270270274</v>
      </c>
      <c r="S2226" t="str">
        <f t="shared" si="2350"/>
        <v>games</v>
      </c>
      <c r="T2226" t="str">
        <f t="shared" si="2351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ref="K2227:L2227" si="2399">(J2227/60/60/24)+DATE(1970,1,1)</f>
        <v>41873.79184027778</v>
      </c>
      <c r="L2227" s="11">
        <f t="shared" si="234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348"/>
        <v>944.83338095238094</v>
      </c>
      <c r="R2227" s="7">
        <f t="shared" si="2349"/>
        <v>164.79651993355483</v>
      </c>
      <c r="S2227" t="str">
        <f t="shared" si="2350"/>
        <v>games</v>
      </c>
      <c r="T2227" t="str">
        <f t="shared" si="2351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ref="K2228:L2228" si="2400">(J2228/60/60/24)+DATE(1970,1,1)</f>
        <v>42381.79886574074</v>
      </c>
      <c r="L2228" s="11">
        <f t="shared" si="234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348"/>
        <v>108.46283333333334</v>
      </c>
      <c r="R2228" s="7">
        <f t="shared" si="2349"/>
        <v>60.820280373831778</v>
      </c>
      <c r="S2228" t="str">
        <f t="shared" si="2350"/>
        <v>games</v>
      </c>
      <c r="T2228" t="str">
        <f t="shared" si="2351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ref="K2229:L2229" si="2401">(J2229/60/60/24)+DATE(1970,1,1)</f>
        <v>41561.807349537034</v>
      </c>
      <c r="L2229" s="11">
        <f t="shared" si="234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348"/>
        <v>157.37692307692308</v>
      </c>
      <c r="R2229" s="7">
        <f t="shared" si="2349"/>
        <v>67.970099667774093</v>
      </c>
      <c r="S2229" t="str">
        <f t="shared" si="2350"/>
        <v>games</v>
      </c>
      <c r="T2229" t="str">
        <f t="shared" si="2351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ref="K2230:L2230" si="2402">(J2230/60/60/24)+DATE(1970,1,1)</f>
        <v>42202.278194444443</v>
      </c>
      <c r="L2230" s="11">
        <f t="shared" si="234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348"/>
        <v>1174.49</v>
      </c>
      <c r="R2230" s="7">
        <f t="shared" si="2349"/>
        <v>81.561805555555551</v>
      </c>
      <c r="S2230" t="str">
        <f t="shared" si="2350"/>
        <v>games</v>
      </c>
      <c r="T2230" t="str">
        <f t="shared" si="2351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ref="K2231:L2231" si="2403">(J2231/60/60/24)+DATE(1970,1,1)</f>
        <v>41484.664247685185</v>
      </c>
      <c r="L2231" s="11">
        <f t="shared" si="234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348"/>
        <v>171.04755366949576</v>
      </c>
      <c r="R2231" s="7">
        <f t="shared" si="2349"/>
        <v>25.42547309833024</v>
      </c>
      <c r="S2231" t="str">
        <f t="shared" si="2350"/>
        <v>games</v>
      </c>
      <c r="T2231" t="str">
        <f t="shared" si="2351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ref="K2232:L2232" si="2404">(J2232/60/60/24)+DATE(1970,1,1)</f>
        <v>41724.881099537037</v>
      </c>
      <c r="L2232" s="11">
        <f t="shared" si="234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348"/>
        <v>125.95294117647057</v>
      </c>
      <c r="R2232" s="7">
        <f t="shared" si="2349"/>
        <v>21.497991967871485</v>
      </c>
      <c r="S2232" t="str">
        <f t="shared" si="2350"/>
        <v>games</v>
      </c>
      <c r="T2232" t="str">
        <f t="shared" si="2351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ref="K2233:L2233" si="2405">(J2233/60/60/24)+DATE(1970,1,1)</f>
        <v>41423.910891203705</v>
      </c>
      <c r="L2233" s="11">
        <f t="shared" si="234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348"/>
        <v>1212.1296000000002</v>
      </c>
      <c r="R2233" s="7">
        <f t="shared" si="2349"/>
        <v>27.226630727762803</v>
      </c>
      <c r="S2233" t="str">
        <f t="shared" si="2350"/>
        <v>games</v>
      </c>
      <c r="T2233" t="str">
        <f t="shared" si="2351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ref="K2234:L2234" si="2406">(J2234/60/60/24)+DATE(1970,1,1)</f>
        <v>41806.794074074074</v>
      </c>
      <c r="L2234" s="11">
        <f t="shared" si="2347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348"/>
        <v>495.8</v>
      </c>
      <c r="R2234" s="7">
        <f t="shared" si="2349"/>
        <v>25.091093117408906</v>
      </c>
      <c r="S2234" t="str">
        <f t="shared" si="2350"/>
        <v>games</v>
      </c>
      <c r="T2234" t="str">
        <f t="shared" si="2351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ref="K2235:L2235" si="2407">(J2235/60/60/24)+DATE(1970,1,1)</f>
        <v>42331.378923611104</v>
      </c>
      <c r="L2235" s="11">
        <f t="shared" si="2347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348"/>
        <v>332.03999999999996</v>
      </c>
      <c r="R2235" s="7">
        <f t="shared" si="2349"/>
        <v>21.230179028132991</v>
      </c>
      <c r="S2235" t="str">
        <f t="shared" si="2350"/>
        <v>games</v>
      </c>
      <c r="T2235" t="str">
        <f t="shared" si="2351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ref="K2236:L2236" si="2408">(J2236/60/60/24)+DATE(1970,1,1)</f>
        <v>42710.824618055558</v>
      </c>
      <c r="L2236" s="11">
        <f t="shared" si="234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348"/>
        <v>1165</v>
      </c>
      <c r="R2236" s="7">
        <f t="shared" si="2349"/>
        <v>41.607142857142854</v>
      </c>
      <c r="S2236" t="str">
        <f t="shared" si="2350"/>
        <v>games</v>
      </c>
      <c r="T2236" t="str">
        <f t="shared" si="2351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ref="K2237:L2237" si="2409">(J2237/60/60/24)+DATE(1970,1,1)</f>
        <v>42062.022118055553</v>
      </c>
      <c r="L2237" s="11">
        <f t="shared" si="234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348"/>
        <v>153.3153846153846</v>
      </c>
      <c r="R2237" s="7">
        <f t="shared" si="2349"/>
        <v>135.58503401360545</v>
      </c>
      <c r="S2237" t="str">
        <f t="shared" si="2350"/>
        <v>games</v>
      </c>
      <c r="T2237" t="str">
        <f t="shared" si="2351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ref="K2238:L2238" si="2410">(J2238/60/60/24)+DATE(1970,1,1)</f>
        <v>42371.617164351846</v>
      </c>
      <c r="L2238" s="11">
        <f t="shared" si="234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348"/>
        <v>537.10714285714289</v>
      </c>
      <c r="R2238" s="7">
        <f t="shared" si="2349"/>
        <v>22.116176470588236</v>
      </c>
      <c r="S2238" t="str">
        <f t="shared" si="2350"/>
        <v>games</v>
      </c>
      <c r="T2238" t="str">
        <f t="shared" si="2351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ref="K2239:L2239" si="2411">(J2239/60/60/24)+DATE(1970,1,1)</f>
        <v>41915.003275462965</v>
      </c>
      <c r="L2239" s="11">
        <f t="shared" si="234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348"/>
        <v>352.92777777777775</v>
      </c>
      <c r="R2239" s="7">
        <f t="shared" si="2349"/>
        <v>64.625635808748726</v>
      </c>
      <c r="S2239" t="str">
        <f t="shared" si="2350"/>
        <v>games</v>
      </c>
      <c r="T2239" t="str">
        <f t="shared" si="2351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ref="K2240:L2240" si="2412">(J2240/60/60/24)+DATE(1970,1,1)</f>
        <v>42774.621712962966</v>
      </c>
      <c r="L2240" s="11">
        <f t="shared" si="234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348"/>
        <v>137.4</v>
      </c>
      <c r="R2240" s="7">
        <f t="shared" si="2349"/>
        <v>69.569620253164558</v>
      </c>
      <c r="S2240" t="str">
        <f t="shared" si="2350"/>
        <v>games</v>
      </c>
      <c r="T2240" t="str">
        <f t="shared" si="2351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ref="K2241:L2241" si="2413">(J2241/60/60/24)+DATE(1970,1,1)</f>
        <v>41572.958495370374</v>
      </c>
      <c r="L2241" s="11">
        <f t="shared" si="234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348"/>
        <v>128.02668</v>
      </c>
      <c r="R2241" s="7">
        <f t="shared" si="2349"/>
        <v>75.133028169014082</v>
      </c>
      <c r="S2241" t="str">
        <f t="shared" si="2350"/>
        <v>games</v>
      </c>
      <c r="T2241" t="str">
        <f t="shared" si="2351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ref="K2242:L2242" si="2414">(J2242/60/60/24)+DATE(1970,1,1)</f>
        <v>42452.825740740736</v>
      </c>
      <c r="L2242" s="11">
        <f t="shared" si="234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348"/>
        <v>270.68</v>
      </c>
      <c r="R2242" s="7">
        <f t="shared" si="2349"/>
        <v>140.97916666666666</v>
      </c>
      <c r="S2242" t="str">
        <f t="shared" si="2350"/>
        <v>games</v>
      </c>
      <c r="T2242" t="str">
        <f t="shared" si="2351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ref="K2243:L2243" si="2415">(J2243/60/60/24)+DATE(1970,1,1)</f>
        <v>42766.827546296292</v>
      </c>
      <c r="L2243" s="11">
        <f t="shared" ref="L2243:L2306" si="2416">(I2243/60/60/24)+DATE(1970,1,1)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417">(E2243/D2243)*100</f>
        <v>806.4</v>
      </c>
      <c r="R2243" s="7">
        <f t="shared" ref="R2243:R2306" si="2418">IFERROR(E2243/N2243, 0)</f>
        <v>49.472392638036808</v>
      </c>
      <c r="S2243" t="str">
        <f t="shared" ref="S2243:S2306" si="2419">LEFT(P2243, SEARCH("/", P2243,1)-1)</f>
        <v>games</v>
      </c>
      <c r="T2243" t="str">
        <f t="shared" ref="T2243:T2306" si="2420">RIGHT(P2243,LEN(P2243)-SEARCH("/",P2243,SEARCH("/",P2243)))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ref="K2244:L2244" si="2421">(J2244/60/60/24)+DATE(1970,1,1)</f>
        <v>41569.575613425928</v>
      </c>
      <c r="L2244" s="11">
        <f t="shared" si="2416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417"/>
        <v>1360.0976000000001</v>
      </c>
      <c r="R2244" s="7">
        <f t="shared" si="2418"/>
        <v>53.865251485148519</v>
      </c>
      <c r="S2244" t="str">
        <f t="shared" si="2419"/>
        <v>games</v>
      </c>
      <c r="T2244" t="str">
        <f t="shared" si="2420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ref="K2245:L2245" si="2422">(J2245/60/60/24)+DATE(1970,1,1)</f>
        <v>42800.751041666663</v>
      </c>
      <c r="L2245" s="11">
        <f t="shared" si="2416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417"/>
        <v>930250</v>
      </c>
      <c r="R2245" s="7">
        <f t="shared" si="2418"/>
        <v>4.5712530712530715</v>
      </c>
      <c r="S2245" t="str">
        <f t="shared" si="2419"/>
        <v>games</v>
      </c>
      <c r="T2245" t="str">
        <f t="shared" si="2420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ref="K2246:L2246" si="2423">(J2246/60/60/24)+DATE(1970,1,1)</f>
        <v>42647.818819444445</v>
      </c>
      <c r="L2246" s="11">
        <f t="shared" si="2416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417"/>
        <v>377.02</v>
      </c>
      <c r="R2246" s="7">
        <f t="shared" si="2418"/>
        <v>65.00344827586207</v>
      </c>
      <c r="S2246" t="str">
        <f t="shared" si="2419"/>
        <v>games</v>
      </c>
      <c r="T2246" t="str">
        <f t="shared" si="2420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ref="K2247:L2247" si="2424">(J2247/60/60/24)+DATE(1970,1,1)</f>
        <v>41660.708530092597</v>
      </c>
      <c r="L2247" s="11">
        <f t="shared" si="2416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417"/>
        <v>2647.0250000000001</v>
      </c>
      <c r="R2247" s="7">
        <f t="shared" si="2418"/>
        <v>53.475252525252522</v>
      </c>
      <c r="S2247" t="str">
        <f t="shared" si="2419"/>
        <v>games</v>
      </c>
      <c r="T2247" t="str">
        <f t="shared" si="2420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ref="K2248:L2248" si="2425">(J2248/60/60/24)+DATE(1970,1,1)</f>
        <v>42221.79178240741</v>
      </c>
      <c r="L2248" s="11">
        <f t="shared" si="2416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417"/>
        <v>100.12</v>
      </c>
      <c r="R2248" s="7">
        <f t="shared" si="2418"/>
        <v>43.912280701754383</v>
      </c>
      <c r="S2248" t="str">
        <f t="shared" si="2419"/>
        <v>games</v>
      </c>
      <c r="T2248" t="str">
        <f t="shared" si="2420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ref="K2249:L2249" si="2426">(J2249/60/60/24)+DATE(1970,1,1)</f>
        <v>42200.666261574079</v>
      </c>
      <c r="L2249" s="11">
        <f t="shared" si="2416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417"/>
        <v>104.45405405405405</v>
      </c>
      <c r="R2249" s="7">
        <f t="shared" si="2418"/>
        <v>50.852631578947367</v>
      </c>
      <c r="S2249" t="str">
        <f t="shared" si="2419"/>
        <v>games</v>
      </c>
      <c r="T2249" t="str">
        <f t="shared" si="2420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ref="K2250:L2250" si="2427">(J2250/60/60/24)+DATE(1970,1,1)</f>
        <v>42688.875902777778</v>
      </c>
      <c r="L2250" s="11">
        <f t="shared" si="2416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417"/>
        <v>107.21428571428571</v>
      </c>
      <c r="R2250" s="7">
        <f t="shared" si="2418"/>
        <v>58.6328125</v>
      </c>
      <c r="S2250" t="str">
        <f t="shared" si="2419"/>
        <v>games</v>
      </c>
      <c r="T2250" t="str">
        <f t="shared" si="2420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ref="K2251:L2251" si="2428">(J2251/60/60/24)+DATE(1970,1,1)</f>
        <v>41336.703298611108</v>
      </c>
      <c r="L2251" s="11">
        <f t="shared" si="2416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417"/>
        <v>168.77142857142857</v>
      </c>
      <c r="R2251" s="7">
        <f t="shared" si="2418"/>
        <v>32.81666666666667</v>
      </c>
      <c r="S2251" t="str">
        <f t="shared" si="2419"/>
        <v>games</v>
      </c>
      <c r="T2251" t="str">
        <f t="shared" si="2420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ref="K2252:L2252" si="2429">(J2252/60/60/24)+DATE(1970,1,1)</f>
        <v>42677.005474537036</v>
      </c>
      <c r="L2252" s="11">
        <f t="shared" si="2416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417"/>
        <v>975.11200000000008</v>
      </c>
      <c r="R2252" s="7">
        <f t="shared" si="2418"/>
        <v>426.93169877408059</v>
      </c>
      <c r="S2252" t="str">
        <f t="shared" si="2419"/>
        <v>games</v>
      </c>
      <c r="T2252" t="str">
        <f t="shared" si="2420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ref="K2253:L2253" si="2430">(J2253/60/60/24)+DATE(1970,1,1)</f>
        <v>41846.34579861111</v>
      </c>
      <c r="L2253" s="11">
        <f t="shared" si="2416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417"/>
        <v>134.44929411764704</v>
      </c>
      <c r="R2253" s="7">
        <f t="shared" si="2418"/>
        <v>23.808729166666669</v>
      </c>
      <c r="S2253" t="str">
        <f t="shared" si="2419"/>
        <v>games</v>
      </c>
      <c r="T2253" t="str">
        <f t="shared" si="2420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ref="K2254:L2254" si="2431">(J2254/60/60/24)+DATE(1970,1,1)</f>
        <v>42573.327986111108</v>
      </c>
      <c r="L2254" s="11">
        <f t="shared" si="2416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417"/>
        <v>272.27777777777777</v>
      </c>
      <c r="R2254" s="7">
        <f t="shared" si="2418"/>
        <v>98.413654618473899</v>
      </c>
      <c r="S2254" t="str">
        <f t="shared" si="2419"/>
        <v>games</v>
      </c>
      <c r="T2254" t="str">
        <f t="shared" si="2420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ref="K2255:L2255" si="2432">(J2255/60/60/24)+DATE(1970,1,1)</f>
        <v>42296.631331018521</v>
      </c>
      <c r="L2255" s="11">
        <f t="shared" si="2416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417"/>
        <v>112.6875</v>
      </c>
      <c r="R2255" s="7">
        <f t="shared" si="2418"/>
        <v>107.32142857142857</v>
      </c>
      <c r="S2255" t="str">
        <f t="shared" si="2419"/>
        <v>games</v>
      </c>
      <c r="T2255" t="str">
        <f t="shared" si="2420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ref="K2256:L2256" si="2433">(J2256/60/60/24)+DATE(1970,1,1)</f>
        <v>42752.647777777776</v>
      </c>
      <c r="L2256" s="11">
        <f t="shared" si="2416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417"/>
        <v>459.8</v>
      </c>
      <c r="R2256" s="7">
        <f t="shared" si="2418"/>
        <v>11.67005076142132</v>
      </c>
      <c r="S2256" t="str">
        <f t="shared" si="2419"/>
        <v>games</v>
      </c>
      <c r="T2256" t="str">
        <f t="shared" si="2420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ref="K2257:L2257" si="2434">(J2257/60/60/24)+DATE(1970,1,1)</f>
        <v>42467.951979166668</v>
      </c>
      <c r="L2257" s="11">
        <f t="shared" si="2416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417"/>
        <v>286.65822784810126</v>
      </c>
      <c r="R2257" s="7">
        <f t="shared" si="2418"/>
        <v>41.782287822878232</v>
      </c>
      <c r="S2257" t="str">
        <f t="shared" si="2419"/>
        <v>games</v>
      </c>
      <c r="T2257" t="str">
        <f t="shared" si="2420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ref="K2258:L2258" si="2435">(J2258/60/60/24)+DATE(1970,1,1)</f>
        <v>42682.451921296291</v>
      </c>
      <c r="L2258" s="11">
        <f t="shared" si="2416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417"/>
        <v>222.70833333333334</v>
      </c>
      <c r="R2258" s="7">
        <f t="shared" si="2418"/>
        <v>21.38</v>
      </c>
      <c r="S2258" t="str">
        <f t="shared" si="2419"/>
        <v>games</v>
      </c>
      <c r="T2258" t="str">
        <f t="shared" si="2420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ref="K2259:L2259" si="2436">(J2259/60/60/24)+DATE(1970,1,1)</f>
        <v>42505.936678240745</v>
      </c>
      <c r="L2259" s="11">
        <f t="shared" si="2416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417"/>
        <v>636.14</v>
      </c>
      <c r="R2259" s="7">
        <f t="shared" si="2418"/>
        <v>94.103550295857985</v>
      </c>
      <c r="S2259" t="str">
        <f t="shared" si="2419"/>
        <v>games</v>
      </c>
      <c r="T2259" t="str">
        <f t="shared" si="2420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ref="K2260:L2260" si="2437">(J2260/60/60/24)+DATE(1970,1,1)</f>
        <v>42136.75100694444</v>
      </c>
      <c r="L2260" s="11">
        <f t="shared" si="2416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417"/>
        <v>146.5</v>
      </c>
      <c r="R2260" s="7">
        <f t="shared" si="2418"/>
        <v>15.721951219512196</v>
      </c>
      <c r="S2260" t="str">
        <f t="shared" si="2419"/>
        <v>games</v>
      </c>
      <c r="T2260" t="str">
        <f t="shared" si="2420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ref="K2261:L2261" si="2438">(J2261/60/60/24)+DATE(1970,1,1)</f>
        <v>42702.804814814815</v>
      </c>
      <c r="L2261" s="11">
        <f t="shared" si="2416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417"/>
        <v>1867.1</v>
      </c>
      <c r="R2261" s="7">
        <f t="shared" si="2418"/>
        <v>90.635922330097088</v>
      </c>
      <c r="S2261" t="str">
        <f t="shared" si="2419"/>
        <v>games</v>
      </c>
      <c r="T2261" t="str">
        <f t="shared" si="2420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ref="K2262:L2262" si="2439">(J2262/60/60/24)+DATE(1970,1,1)</f>
        <v>41695.016782407409</v>
      </c>
      <c r="L2262" s="11">
        <f t="shared" si="2416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417"/>
        <v>326.92</v>
      </c>
      <c r="R2262" s="7">
        <f t="shared" si="2418"/>
        <v>97.297619047619051</v>
      </c>
      <c r="S2262" t="str">
        <f t="shared" si="2419"/>
        <v>games</v>
      </c>
      <c r="T2262" t="str">
        <f t="shared" si="2420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ref="K2263:L2263" si="2440">(J2263/60/60/24)+DATE(1970,1,1)</f>
        <v>42759.724768518514</v>
      </c>
      <c r="L2263" s="11">
        <f t="shared" si="2416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417"/>
        <v>779.5</v>
      </c>
      <c r="R2263" s="7">
        <f t="shared" si="2418"/>
        <v>37.11904761904762</v>
      </c>
      <c r="S2263" t="str">
        <f t="shared" si="2419"/>
        <v>games</v>
      </c>
      <c r="T2263" t="str">
        <f t="shared" si="2420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ref="K2264:L2264" si="2441">(J2264/60/60/24)+DATE(1970,1,1)</f>
        <v>41926.585162037038</v>
      </c>
      <c r="L2264" s="11">
        <f t="shared" si="2416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417"/>
        <v>154.15151515151516</v>
      </c>
      <c r="R2264" s="7">
        <f t="shared" si="2418"/>
        <v>28.104972375690608</v>
      </c>
      <c r="S2264" t="str">
        <f t="shared" si="2419"/>
        <v>games</v>
      </c>
      <c r="T2264" t="str">
        <f t="shared" si="2420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ref="K2265:L2265" si="2442">(J2265/60/60/24)+DATE(1970,1,1)</f>
        <v>42014.832326388889</v>
      </c>
      <c r="L2265" s="11">
        <f t="shared" si="2416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417"/>
        <v>115.54666666666667</v>
      </c>
      <c r="R2265" s="7">
        <f t="shared" si="2418"/>
        <v>144.43333333333334</v>
      </c>
      <c r="S2265" t="str">
        <f t="shared" si="2419"/>
        <v>games</v>
      </c>
      <c r="T2265" t="str">
        <f t="shared" si="2420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ref="K2266:L2266" si="2443">(J2266/60/60/24)+DATE(1970,1,1)</f>
        <v>42496.582337962958</v>
      </c>
      <c r="L2266" s="11">
        <f t="shared" si="2416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417"/>
        <v>180.03333333333333</v>
      </c>
      <c r="R2266" s="7">
        <f t="shared" si="2418"/>
        <v>24.274157303370785</v>
      </c>
      <c r="S2266" t="str">
        <f t="shared" si="2419"/>
        <v>games</v>
      </c>
      <c r="T2266" t="str">
        <f t="shared" si="2420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ref="K2267:L2267" si="2444">(J2267/60/60/24)+DATE(1970,1,1)</f>
        <v>42689.853090277778</v>
      </c>
      <c r="L2267" s="11">
        <f t="shared" si="2416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417"/>
        <v>298.5</v>
      </c>
      <c r="R2267" s="7">
        <f t="shared" si="2418"/>
        <v>35.117647058823529</v>
      </c>
      <c r="S2267" t="str">
        <f t="shared" si="2419"/>
        <v>games</v>
      </c>
      <c r="T2267" t="str">
        <f t="shared" si="2420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ref="K2268:L2268" si="2445">(J2268/60/60/24)+DATE(1970,1,1)</f>
        <v>42469.874907407408</v>
      </c>
      <c r="L2268" s="11">
        <f t="shared" si="2416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417"/>
        <v>320.26666666666665</v>
      </c>
      <c r="R2268" s="7">
        <f t="shared" si="2418"/>
        <v>24.762886597938145</v>
      </c>
      <c r="S2268" t="str">
        <f t="shared" si="2419"/>
        <v>games</v>
      </c>
      <c r="T2268" t="str">
        <f t="shared" si="2420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ref="K2269:L2269" si="2446">(J2269/60/60/24)+DATE(1970,1,1)</f>
        <v>41968.829826388886</v>
      </c>
      <c r="L2269" s="11">
        <f t="shared" si="2416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417"/>
        <v>380.52499999999998</v>
      </c>
      <c r="R2269" s="7">
        <f t="shared" si="2418"/>
        <v>188.37871287128712</v>
      </c>
      <c r="S2269" t="str">
        <f t="shared" si="2419"/>
        <v>games</v>
      </c>
      <c r="T2269" t="str">
        <f t="shared" si="2420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ref="K2270:L2270" si="2447">(J2270/60/60/24)+DATE(1970,1,1)</f>
        <v>42776.082349537035</v>
      </c>
      <c r="L2270" s="11">
        <f t="shared" si="2416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417"/>
        <v>102.60000000000001</v>
      </c>
      <c r="R2270" s="7">
        <f t="shared" si="2418"/>
        <v>148.08247422680412</v>
      </c>
      <c r="S2270" t="str">
        <f t="shared" si="2419"/>
        <v>games</v>
      </c>
      <c r="T2270" t="str">
        <f t="shared" si="2420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ref="K2271:L2271" si="2448">(J2271/60/60/24)+DATE(1970,1,1)</f>
        <v>42776.704432870371</v>
      </c>
      <c r="L2271" s="11">
        <f t="shared" si="2416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417"/>
        <v>1801.64</v>
      </c>
      <c r="R2271" s="7">
        <f t="shared" si="2418"/>
        <v>49.934589800443462</v>
      </c>
      <c r="S2271" t="str">
        <f t="shared" si="2419"/>
        <v>games</v>
      </c>
      <c r="T2271" t="str">
        <f t="shared" si="2420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ref="K2272:L2272" si="2449">(J2272/60/60/24)+DATE(1970,1,1)</f>
        <v>42725.869363425925</v>
      </c>
      <c r="L2272" s="11">
        <f t="shared" si="2416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417"/>
        <v>720.24800000000005</v>
      </c>
      <c r="R2272" s="7">
        <f t="shared" si="2418"/>
        <v>107.82155688622754</v>
      </c>
      <c r="S2272" t="str">
        <f t="shared" si="2419"/>
        <v>games</v>
      </c>
      <c r="T2272" t="str">
        <f t="shared" si="2420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ref="K2273:L2273" si="2450">(J2273/60/60/24)+DATE(1970,1,1)</f>
        <v>42684.000046296293</v>
      </c>
      <c r="L2273" s="11">
        <f t="shared" si="2416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417"/>
        <v>283.09000000000003</v>
      </c>
      <c r="R2273" s="7">
        <f t="shared" si="2418"/>
        <v>42.63403614457831</v>
      </c>
      <c r="S2273" t="str">
        <f t="shared" si="2419"/>
        <v>games</v>
      </c>
      <c r="T2273" t="str">
        <f t="shared" si="2420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ref="K2274:L2274" si="2451">(J2274/60/60/24)+DATE(1970,1,1)</f>
        <v>42315.699490740735</v>
      </c>
      <c r="L2274" s="11">
        <f t="shared" si="2416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417"/>
        <v>1356.6000000000001</v>
      </c>
      <c r="R2274" s="7">
        <f t="shared" si="2418"/>
        <v>14.370762711864407</v>
      </c>
      <c r="S2274" t="str">
        <f t="shared" si="2419"/>
        <v>games</v>
      </c>
      <c r="T2274" t="str">
        <f t="shared" si="2420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ref="K2275:L2275" si="2452">(J2275/60/60/24)+DATE(1970,1,1)</f>
        <v>42781.549097222218</v>
      </c>
      <c r="L2275" s="11">
        <f t="shared" si="2416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417"/>
        <v>220.35999999999999</v>
      </c>
      <c r="R2275" s="7">
        <f t="shared" si="2418"/>
        <v>37.476190476190474</v>
      </c>
      <c r="S2275" t="str">
        <f t="shared" si="2419"/>
        <v>games</v>
      </c>
      <c r="T2275" t="str">
        <f t="shared" si="2420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ref="K2276:L2276" si="2453">(J2276/60/60/24)+DATE(1970,1,1)</f>
        <v>41663.500659722224</v>
      </c>
      <c r="L2276" s="11">
        <f t="shared" si="2416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417"/>
        <v>119.6</v>
      </c>
      <c r="R2276" s="7">
        <f t="shared" si="2418"/>
        <v>30.202020202020201</v>
      </c>
      <c r="S2276" t="str">
        <f t="shared" si="2419"/>
        <v>games</v>
      </c>
      <c r="T2276" t="str">
        <f t="shared" si="2420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ref="K2277:L2277" si="2454">(J2277/60/60/24)+DATE(1970,1,1)</f>
        <v>41965.616655092599</v>
      </c>
      <c r="L2277" s="11">
        <f t="shared" si="2416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417"/>
        <v>407.76923076923077</v>
      </c>
      <c r="R2277" s="7">
        <f t="shared" si="2418"/>
        <v>33.550632911392405</v>
      </c>
      <c r="S2277" t="str">
        <f t="shared" si="2419"/>
        <v>games</v>
      </c>
      <c r="T2277" t="str">
        <f t="shared" si="2420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ref="K2278:L2278" si="2455">(J2278/60/60/24)+DATE(1970,1,1)</f>
        <v>41614.651493055557</v>
      </c>
      <c r="L2278" s="11">
        <f t="shared" si="2416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417"/>
        <v>105.81826105905425</v>
      </c>
      <c r="R2278" s="7">
        <f t="shared" si="2418"/>
        <v>64.74666666666667</v>
      </c>
      <c r="S2278" t="str">
        <f t="shared" si="2419"/>
        <v>games</v>
      </c>
      <c r="T2278" t="str">
        <f t="shared" si="2420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ref="K2279:L2279" si="2456">(J2279/60/60/24)+DATE(1970,1,1)</f>
        <v>40936.678506944445</v>
      </c>
      <c r="L2279" s="11">
        <f t="shared" si="2416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417"/>
        <v>141.08235294117648</v>
      </c>
      <c r="R2279" s="7">
        <f t="shared" si="2418"/>
        <v>57.932367149758456</v>
      </c>
      <c r="S2279" t="str">
        <f t="shared" si="2419"/>
        <v>games</v>
      </c>
      <c r="T2279" t="str">
        <f t="shared" si="2420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ref="K2280:L2280" si="2457">(J2280/60/60/24)+DATE(1970,1,1)</f>
        <v>42338.709108796291</v>
      </c>
      <c r="L2280" s="11">
        <f t="shared" si="2416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417"/>
        <v>270.7</v>
      </c>
      <c r="R2280" s="7">
        <f t="shared" si="2418"/>
        <v>53.078431372549019</v>
      </c>
      <c r="S2280" t="str">
        <f t="shared" si="2419"/>
        <v>games</v>
      </c>
      <c r="T2280" t="str">
        <f t="shared" si="2420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ref="K2281:L2281" si="2458">(J2281/60/60/24)+DATE(1970,1,1)</f>
        <v>42020.806701388887</v>
      </c>
      <c r="L2281" s="11">
        <f t="shared" si="2416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417"/>
        <v>153.80000000000001</v>
      </c>
      <c r="R2281" s="7">
        <f t="shared" si="2418"/>
        <v>48.0625</v>
      </c>
      <c r="S2281" t="str">
        <f t="shared" si="2419"/>
        <v>games</v>
      </c>
      <c r="T2281" t="str">
        <f t="shared" si="2420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ref="K2282:L2282" si="2459">(J2282/60/60/24)+DATE(1970,1,1)</f>
        <v>42234.624895833331</v>
      </c>
      <c r="L2282" s="11">
        <f t="shared" si="2416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417"/>
        <v>403.57653061224488</v>
      </c>
      <c r="R2282" s="7">
        <f t="shared" si="2418"/>
        <v>82.396874999999994</v>
      </c>
      <c r="S2282" t="str">
        <f t="shared" si="2419"/>
        <v>games</v>
      </c>
      <c r="T2282" t="str">
        <f t="shared" si="2420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ref="K2283:L2283" si="2460">(J2283/60/60/24)+DATE(1970,1,1)</f>
        <v>40687.285844907405</v>
      </c>
      <c r="L2283" s="11">
        <f t="shared" si="2416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417"/>
        <v>185</v>
      </c>
      <c r="R2283" s="7">
        <f t="shared" si="2418"/>
        <v>50.454545454545453</v>
      </c>
      <c r="S2283" t="str">
        <f t="shared" si="2419"/>
        <v>music</v>
      </c>
      <c r="T2283" t="str">
        <f t="shared" si="2420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ref="K2284:L2284" si="2461">(J2284/60/60/24)+DATE(1970,1,1)</f>
        <v>42323.17460648148</v>
      </c>
      <c r="L2284" s="11">
        <f t="shared" si="2416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417"/>
        <v>185.33333333333331</v>
      </c>
      <c r="R2284" s="7">
        <f t="shared" si="2418"/>
        <v>115.83333333333333</v>
      </c>
      <c r="S2284" t="str">
        <f t="shared" si="2419"/>
        <v>music</v>
      </c>
      <c r="T2284" t="str">
        <f t="shared" si="2420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ref="K2285:L2285" si="2462">(J2285/60/60/24)+DATE(1970,1,1)</f>
        <v>40978.125046296293</v>
      </c>
      <c r="L2285" s="11">
        <f t="shared" si="2416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417"/>
        <v>100.85533333333332</v>
      </c>
      <c r="R2285" s="7">
        <f t="shared" si="2418"/>
        <v>63.03458333333333</v>
      </c>
      <c r="S2285" t="str">
        <f t="shared" si="2419"/>
        <v>music</v>
      </c>
      <c r="T2285" t="str">
        <f t="shared" si="2420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ref="K2286:L2286" si="2463">(J2286/60/60/24)+DATE(1970,1,1)</f>
        <v>40585.796817129631</v>
      </c>
      <c r="L2286" s="11">
        <f t="shared" si="2416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417"/>
        <v>106.22116666666668</v>
      </c>
      <c r="R2286" s="7">
        <f t="shared" si="2418"/>
        <v>108.02152542372882</v>
      </c>
      <c r="S2286" t="str">
        <f t="shared" si="2419"/>
        <v>music</v>
      </c>
      <c r="T2286" t="str">
        <f t="shared" si="2420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ref="K2287:L2287" si="2464">(J2287/60/60/24)+DATE(1970,1,1)</f>
        <v>41059.185682870368</v>
      </c>
      <c r="L2287" s="11">
        <f t="shared" si="2416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417"/>
        <v>121.36666666666667</v>
      </c>
      <c r="R2287" s="7">
        <f t="shared" si="2418"/>
        <v>46.088607594936711</v>
      </c>
      <c r="S2287" t="str">
        <f t="shared" si="2419"/>
        <v>music</v>
      </c>
      <c r="T2287" t="str">
        <f t="shared" si="2420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ref="K2288:L2288" si="2465">(J2288/60/60/24)+DATE(1970,1,1)</f>
        <v>41494.963587962964</v>
      </c>
      <c r="L2288" s="11">
        <f t="shared" si="2416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417"/>
        <v>100.06666666666666</v>
      </c>
      <c r="R2288" s="7">
        <f t="shared" si="2418"/>
        <v>107.21428571428571</v>
      </c>
      <c r="S2288" t="str">
        <f t="shared" si="2419"/>
        <v>music</v>
      </c>
      <c r="T2288" t="str">
        <f t="shared" si="2420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ref="K2289:L2289" si="2466">(J2289/60/60/24)+DATE(1970,1,1)</f>
        <v>41792.667361111111</v>
      </c>
      <c r="L2289" s="11">
        <f t="shared" si="2416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417"/>
        <v>119.97755555555555</v>
      </c>
      <c r="R2289" s="7">
        <f t="shared" si="2418"/>
        <v>50.9338679245283</v>
      </c>
      <c r="S2289" t="str">
        <f t="shared" si="2419"/>
        <v>music</v>
      </c>
      <c r="T2289" t="str">
        <f t="shared" si="2420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ref="K2290:L2290" si="2467">(J2290/60/60/24)+DATE(1970,1,1)</f>
        <v>41067.827418981484</v>
      </c>
      <c r="L2290" s="11">
        <f t="shared" si="2416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417"/>
        <v>100.1</v>
      </c>
      <c r="R2290" s="7">
        <f t="shared" si="2418"/>
        <v>40.04</v>
      </c>
      <c r="S2290" t="str">
        <f t="shared" si="2419"/>
        <v>music</v>
      </c>
      <c r="T2290" t="str">
        <f t="shared" si="2420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ref="K2291:L2291" si="2468">(J2291/60/60/24)+DATE(1970,1,1)</f>
        <v>41571.998379629629</v>
      </c>
      <c r="L2291" s="11">
        <f t="shared" si="2416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417"/>
        <v>107.4</v>
      </c>
      <c r="R2291" s="7">
        <f t="shared" si="2418"/>
        <v>64.44</v>
      </c>
      <c r="S2291" t="str">
        <f t="shared" si="2419"/>
        <v>music</v>
      </c>
      <c r="T2291" t="str">
        <f t="shared" si="2420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ref="K2292:L2292" si="2469">(J2292/60/60/24)+DATE(1970,1,1)</f>
        <v>40070.253819444442</v>
      </c>
      <c r="L2292" s="11">
        <f t="shared" si="2416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417"/>
        <v>104.06666666666666</v>
      </c>
      <c r="R2292" s="7">
        <f t="shared" si="2418"/>
        <v>53.827586206896555</v>
      </c>
      <c r="S2292" t="str">
        <f t="shared" si="2419"/>
        <v>music</v>
      </c>
      <c r="T2292" t="str">
        <f t="shared" si="2420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ref="K2293:L2293" si="2470">(J2293/60/60/24)+DATE(1970,1,1)</f>
        <v>40987.977060185185</v>
      </c>
      <c r="L2293" s="11">
        <f t="shared" si="2416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417"/>
        <v>172.8</v>
      </c>
      <c r="R2293" s="7">
        <f t="shared" si="2418"/>
        <v>100.46511627906976</v>
      </c>
      <c r="S2293" t="str">
        <f t="shared" si="2419"/>
        <v>music</v>
      </c>
      <c r="T2293" t="str">
        <f t="shared" si="2420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ref="K2294:L2294" si="2471">(J2294/60/60/24)+DATE(1970,1,1)</f>
        <v>40987.697638888887</v>
      </c>
      <c r="L2294" s="11">
        <f t="shared" si="2416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417"/>
        <v>107.2505</v>
      </c>
      <c r="R2294" s="7">
        <f t="shared" si="2418"/>
        <v>46.630652173913049</v>
      </c>
      <c r="S2294" t="str">
        <f t="shared" si="2419"/>
        <v>music</v>
      </c>
      <c r="T2294" t="str">
        <f t="shared" si="2420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ref="K2295:L2295" si="2472">(J2295/60/60/24)+DATE(1970,1,1)</f>
        <v>41151.708321759259</v>
      </c>
      <c r="L2295" s="11">
        <f t="shared" si="2416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417"/>
        <v>108.23529411764706</v>
      </c>
      <c r="R2295" s="7">
        <f t="shared" si="2418"/>
        <v>34.074074074074076</v>
      </c>
      <c r="S2295" t="str">
        <f t="shared" si="2419"/>
        <v>music</v>
      </c>
      <c r="T2295" t="str">
        <f t="shared" si="2420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ref="K2296:L2296" si="2473">(J2296/60/60/24)+DATE(1970,1,1)</f>
        <v>41264.72314814815</v>
      </c>
      <c r="L2296" s="11">
        <f t="shared" si="2416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417"/>
        <v>146.08079999999998</v>
      </c>
      <c r="R2296" s="7">
        <f t="shared" si="2418"/>
        <v>65.214642857142863</v>
      </c>
      <c r="S2296" t="str">
        <f t="shared" si="2419"/>
        <v>music</v>
      </c>
      <c r="T2296" t="str">
        <f t="shared" si="2420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ref="K2297:L2297" si="2474">(J2297/60/60/24)+DATE(1970,1,1)</f>
        <v>41270.954351851848</v>
      </c>
      <c r="L2297" s="11">
        <f t="shared" si="2416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417"/>
        <v>125.25</v>
      </c>
      <c r="R2297" s="7">
        <f t="shared" si="2418"/>
        <v>44.205882352941174</v>
      </c>
      <c r="S2297" t="str">
        <f t="shared" si="2419"/>
        <v>music</v>
      </c>
      <c r="T2297" t="str">
        <f t="shared" si="2420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ref="K2298:L2298" si="2475">(J2298/60/60/24)+DATE(1970,1,1)</f>
        <v>40927.731782407405</v>
      </c>
      <c r="L2298" s="11">
        <f t="shared" si="2416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417"/>
        <v>149.07142857142856</v>
      </c>
      <c r="R2298" s="7">
        <f t="shared" si="2418"/>
        <v>71.965517241379317</v>
      </c>
      <c r="S2298" t="str">
        <f t="shared" si="2419"/>
        <v>music</v>
      </c>
      <c r="T2298" t="str">
        <f t="shared" si="2420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ref="K2299:L2299" si="2476">(J2299/60/60/24)+DATE(1970,1,1)</f>
        <v>40948.042233796295</v>
      </c>
      <c r="L2299" s="11">
        <f t="shared" si="2416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417"/>
        <v>100.6</v>
      </c>
      <c r="R2299" s="7">
        <f t="shared" si="2418"/>
        <v>52.94736842105263</v>
      </c>
      <c r="S2299" t="str">
        <f t="shared" si="2419"/>
        <v>music</v>
      </c>
      <c r="T2299" t="str">
        <f t="shared" si="2420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ref="K2300:L2300" si="2477">(J2300/60/60/24)+DATE(1970,1,1)</f>
        <v>41694.84065972222</v>
      </c>
      <c r="L2300" s="11">
        <f t="shared" si="2416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417"/>
        <v>105.07333333333332</v>
      </c>
      <c r="R2300" s="7">
        <f t="shared" si="2418"/>
        <v>109.45138888888889</v>
      </c>
      <c r="S2300" t="str">
        <f t="shared" si="2419"/>
        <v>music</v>
      </c>
      <c r="T2300" t="str">
        <f t="shared" si="2420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ref="K2301:L2301" si="2478">(J2301/60/60/24)+DATE(1970,1,1)</f>
        <v>40565.032511574071</v>
      </c>
      <c r="L2301" s="11">
        <f t="shared" si="2416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417"/>
        <v>350.16666666666663</v>
      </c>
      <c r="R2301" s="7">
        <f t="shared" si="2418"/>
        <v>75.035714285714292</v>
      </c>
      <c r="S2301" t="str">
        <f t="shared" si="2419"/>
        <v>music</v>
      </c>
      <c r="T2301" t="str">
        <f t="shared" si="2420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ref="K2302:L2302" si="2479">(J2302/60/60/24)+DATE(1970,1,1)</f>
        <v>41074.727037037039</v>
      </c>
      <c r="L2302" s="11">
        <f t="shared" si="2416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417"/>
        <v>101.25</v>
      </c>
      <c r="R2302" s="7">
        <f t="shared" si="2418"/>
        <v>115.71428571428571</v>
      </c>
      <c r="S2302" t="str">
        <f t="shared" si="2419"/>
        <v>music</v>
      </c>
      <c r="T2302" t="str">
        <f t="shared" si="2420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ref="K2303:L2303" si="2480">(J2303/60/60/24)+DATE(1970,1,1)</f>
        <v>41416.146944444445</v>
      </c>
      <c r="L2303" s="11">
        <f t="shared" si="2416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417"/>
        <v>133.6044</v>
      </c>
      <c r="R2303" s="7">
        <f t="shared" si="2418"/>
        <v>31.659810426540286</v>
      </c>
      <c r="S2303" t="str">
        <f t="shared" si="2419"/>
        <v>music</v>
      </c>
      <c r="T2303" t="str">
        <f t="shared" si="2420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ref="K2304:L2304" si="2481">(J2304/60/60/24)+DATE(1970,1,1)</f>
        <v>41605.868449074071</v>
      </c>
      <c r="L2304" s="11">
        <f t="shared" si="2416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417"/>
        <v>170.65217391304347</v>
      </c>
      <c r="R2304" s="7">
        <f t="shared" si="2418"/>
        <v>46.176470588235297</v>
      </c>
      <c r="S2304" t="str">
        <f t="shared" si="2419"/>
        <v>music</v>
      </c>
      <c r="T2304" t="str">
        <f t="shared" si="2420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ref="K2305:L2305" si="2482">(J2305/60/60/24)+DATE(1970,1,1)</f>
        <v>40850.111064814817</v>
      </c>
      <c r="L2305" s="11">
        <f t="shared" si="2416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417"/>
        <v>109.35829457364341</v>
      </c>
      <c r="R2305" s="7">
        <f t="shared" si="2418"/>
        <v>68.481650485436887</v>
      </c>
      <c r="S2305" t="str">
        <f t="shared" si="2419"/>
        <v>music</v>
      </c>
      <c r="T2305" t="str">
        <f t="shared" si="2420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ref="K2306:L2306" si="2483">(J2306/60/60/24)+DATE(1970,1,1)</f>
        <v>40502.815868055557</v>
      </c>
      <c r="L2306" s="11">
        <f t="shared" si="2416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417"/>
        <v>100.70033333333335</v>
      </c>
      <c r="R2306" s="7">
        <f t="shared" si="2418"/>
        <v>53.469203539823013</v>
      </c>
      <c r="S2306" t="str">
        <f t="shared" si="2419"/>
        <v>music</v>
      </c>
      <c r="T2306" t="str">
        <f t="shared" si="2420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ref="K2307:L2307" si="2484">(J2307/60/60/24)+DATE(1970,1,1)</f>
        <v>41834.695277777777</v>
      </c>
      <c r="L2307" s="11">
        <f t="shared" ref="L2307:L2370" si="2485">(I2307/60/60/24)+DATE(1970,1,1)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486">(E2307/D2307)*100</f>
        <v>101.22777777777779</v>
      </c>
      <c r="R2307" s="7">
        <f t="shared" ref="R2307:R2370" si="2487">IFERROR(E2307/N2307, 0)</f>
        <v>109.10778443113773</v>
      </c>
      <c r="S2307" t="str">
        <f t="shared" ref="S2307:S2370" si="2488">LEFT(P2307, SEARCH("/", P2307,1)-1)</f>
        <v>music</v>
      </c>
      <c r="T2307" t="str">
        <f t="shared" ref="T2307:T2370" si="2489">RIGHT(P2307,LEN(P2307)-SEARCH("/",P2307,SEARCH("/",P2307)))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ref="K2308:L2308" si="2490">(J2308/60/60/24)+DATE(1970,1,1)</f>
        <v>40948.16815972222</v>
      </c>
      <c r="L2308" s="11">
        <f t="shared" si="248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486"/>
        <v>106.75857142857143</v>
      </c>
      <c r="R2308" s="7">
        <f t="shared" si="2487"/>
        <v>51.185616438356163</v>
      </c>
      <c r="S2308" t="str">
        <f t="shared" si="2488"/>
        <v>music</v>
      </c>
      <c r="T2308" t="str">
        <f t="shared" si="2489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ref="K2309:L2309" si="2491">(J2309/60/60/24)+DATE(1970,1,1)</f>
        <v>41004.802465277775</v>
      </c>
      <c r="L2309" s="11">
        <f t="shared" si="248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486"/>
        <v>106.65777537961894</v>
      </c>
      <c r="R2309" s="7">
        <f t="shared" si="2487"/>
        <v>27.936800000000002</v>
      </c>
      <c r="S2309" t="str">
        <f t="shared" si="2488"/>
        <v>music</v>
      </c>
      <c r="T2309" t="str">
        <f t="shared" si="2489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ref="K2310:L2310" si="2492">(J2310/60/60/24)+DATE(1970,1,1)</f>
        <v>41851.962916666671</v>
      </c>
      <c r="L2310" s="11">
        <f t="shared" si="248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486"/>
        <v>101.30622</v>
      </c>
      <c r="R2310" s="7">
        <f t="shared" si="2487"/>
        <v>82.496921824104234</v>
      </c>
      <c r="S2310" t="str">
        <f t="shared" si="2488"/>
        <v>music</v>
      </c>
      <c r="T2310" t="str">
        <f t="shared" si="2489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ref="K2311:L2311" si="2493">(J2311/60/60/24)+DATE(1970,1,1)</f>
        <v>41307.987696759257</v>
      </c>
      <c r="L2311" s="11">
        <f t="shared" si="248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486"/>
        <v>106.67450000000001</v>
      </c>
      <c r="R2311" s="7">
        <f t="shared" si="2487"/>
        <v>59.817476635514019</v>
      </c>
      <c r="S2311" t="str">
        <f t="shared" si="2488"/>
        <v>music</v>
      </c>
      <c r="T2311" t="str">
        <f t="shared" si="2489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ref="K2312:L2312" si="2494">(J2312/60/60/24)+DATE(1970,1,1)</f>
        <v>41324.79415509259</v>
      </c>
      <c r="L2312" s="11">
        <f t="shared" si="248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486"/>
        <v>428.83978378378379</v>
      </c>
      <c r="R2312" s="7">
        <f t="shared" si="2487"/>
        <v>64.816470588235291</v>
      </c>
      <c r="S2312" t="str">
        <f t="shared" si="2488"/>
        <v>music</v>
      </c>
      <c r="T2312" t="str">
        <f t="shared" si="2489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ref="K2313:L2313" si="2495">(J2313/60/60/24)+DATE(1970,1,1)</f>
        <v>41736.004502314812</v>
      </c>
      <c r="L2313" s="11">
        <f t="shared" si="248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486"/>
        <v>104.11111111111111</v>
      </c>
      <c r="R2313" s="7">
        <f t="shared" si="2487"/>
        <v>90.09615384615384</v>
      </c>
      <c r="S2313" t="str">
        <f t="shared" si="2488"/>
        <v>music</v>
      </c>
      <c r="T2313" t="str">
        <f t="shared" si="2489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ref="K2314:L2314" si="2496">(J2314/60/60/24)+DATE(1970,1,1)</f>
        <v>41716.632847222223</v>
      </c>
      <c r="L2314" s="11">
        <f t="shared" si="248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486"/>
        <v>107.86666666666666</v>
      </c>
      <c r="R2314" s="7">
        <f t="shared" si="2487"/>
        <v>40.962025316455694</v>
      </c>
      <c r="S2314" t="str">
        <f t="shared" si="2488"/>
        <v>music</v>
      </c>
      <c r="T2314" t="str">
        <f t="shared" si="2489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ref="K2315:L2315" si="2497">(J2315/60/60/24)+DATE(1970,1,1)</f>
        <v>41002.958634259259</v>
      </c>
      <c r="L2315" s="11">
        <f t="shared" si="248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486"/>
        <v>175.84040000000002</v>
      </c>
      <c r="R2315" s="7">
        <f t="shared" si="2487"/>
        <v>56.000127388535034</v>
      </c>
      <c r="S2315" t="str">
        <f t="shared" si="2488"/>
        <v>music</v>
      </c>
      <c r="T2315" t="str">
        <f t="shared" si="2489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ref="K2316:L2316" si="2498">(J2316/60/60/24)+DATE(1970,1,1)</f>
        <v>41037.551585648151</v>
      </c>
      <c r="L2316" s="11">
        <f t="shared" si="248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486"/>
        <v>156.97</v>
      </c>
      <c r="R2316" s="7">
        <f t="shared" si="2487"/>
        <v>37.672800000000002</v>
      </c>
      <c r="S2316" t="str">
        <f t="shared" si="2488"/>
        <v>music</v>
      </c>
      <c r="T2316" t="str">
        <f t="shared" si="2489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ref="K2317:L2317" si="2499">(J2317/60/60/24)+DATE(1970,1,1)</f>
        <v>41004.72619212963</v>
      </c>
      <c r="L2317" s="11">
        <f t="shared" si="248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486"/>
        <v>102.60000000000001</v>
      </c>
      <c r="R2317" s="7">
        <f t="shared" si="2487"/>
        <v>40.078125</v>
      </c>
      <c r="S2317" t="str">
        <f t="shared" si="2488"/>
        <v>music</v>
      </c>
      <c r="T2317" t="str">
        <f t="shared" si="2489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ref="K2318:L2318" si="2500">(J2318/60/60/24)+DATE(1970,1,1)</f>
        <v>40079.725115740745</v>
      </c>
      <c r="L2318" s="11">
        <f t="shared" si="248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486"/>
        <v>104.04266666666666</v>
      </c>
      <c r="R2318" s="7">
        <f t="shared" si="2487"/>
        <v>78.031999999999996</v>
      </c>
      <c r="S2318" t="str">
        <f t="shared" si="2488"/>
        <v>music</v>
      </c>
      <c r="T2318" t="str">
        <f t="shared" si="2489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ref="K2319:L2319" si="2501">(J2319/60/60/24)+DATE(1970,1,1)</f>
        <v>40192.542233796295</v>
      </c>
      <c r="L2319" s="11">
        <f t="shared" si="248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486"/>
        <v>104</v>
      </c>
      <c r="R2319" s="7">
        <f t="shared" si="2487"/>
        <v>18.90909090909091</v>
      </c>
      <c r="S2319" t="str">
        <f t="shared" si="2488"/>
        <v>music</v>
      </c>
      <c r="T2319" t="str">
        <f t="shared" si="2489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ref="K2320:L2320" si="2502">(J2320/60/60/24)+DATE(1970,1,1)</f>
        <v>40050.643680555557</v>
      </c>
      <c r="L2320" s="11">
        <f t="shared" si="248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486"/>
        <v>121.05999999999999</v>
      </c>
      <c r="R2320" s="7">
        <f t="shared" si="2487"/>
        <v>37.134969325153371</v>
      </c>
      <c r="S2320" t="str">
        <f t="shared" si="2488"/>
        <v>music</v>
      </c>
      <c r="T2320" t="str">
        <f t="shared" si="2489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ref="K2321:L2321" si="2503">(J2321/60/60/24)+DATE(1970,1,1)</f>
        <v>41593.082002314812</v>
      </c>
      <c r="L2321" s="11">
        <f t="shared" si="248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486"/>
        <v>107.69999999999999</v>
      </c>
      <c r="R2321" s="7">
        <f t="shared" si="2487"/>
        <v>41.961038961038959</v>
      </c>
      <c r="S2321" t="str">
        <f t="shared" si="2488"/>
        <v>music</v>
      </c>
      <c r="T2321" t="str">
        <f t="shared" si="2489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ref="K2322:L2322" si="2504">(J2322/60/60/24)+DATE(1970,1,1)</f>
        <v>41696.817129629628</v>
      </c>
      <c r="L2322" s="11">
        <f t="shared" si="248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486"/>
        <v>108.66</v>
      </c>
      <c r="R2322" s="7">
        <f t="shared" si="2487"/>
        <v>61.044943820224717</v>
      </c>
      <c r="S2322" t="str">
        <f t="shared" si="2488"/>
        <v>music</v>
      </c>
      <c r="T2322" t="str">
        <f t="shared" si="2489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ref="K2323:L2323" si="2505">(J2323/60/60/24)+DATE(1970,1,1)</f>
        <v>42799.260428240741</v>
      </c>
      <c r="L2323" s="11">
        <f t="shared" si="248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486"/>
        <v>39.120962394619681</v>
      </c>
      <c r="R2323" s="7">
        <f t="shared" si="2487"/>
        <v>64.53125</v>
      </c>
      <c r="S2323" t="str">
        <f t="shared" si="2488"/>
        <v>food</v>
      </c>
      <c r="T2323" t="str">
        <f t="shared" si="2489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ref="K2324:L2324" si="2506">(J2324/60/60/24)+DATE(1970,1,1)</f>
        <v>42804.895474537043</v>
      </c>
      <c r="L2324" s="11">
        <f t="shared" si="248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486"/>
        <v>3.1481481481481479</v>
      </c>
      <c r="R2324" s="7">
        <f t="shared" si="2487"/>
        <v>21.25</v>
      </c>
      <c r="S2324" t="str">
        <f t="shared" si="2488"/>
        <v>food</v>
      </c>
      <c r="T2324" t="str">
        <f t="shared" si="2489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ref="K2325:L2325" si="2507">(J2325/60/60/24)+DATE(1970,1,1)</f>
        <v>42807.755173611105</v>
      </c>
      <c r="L2325" s="11">
        <f t="shared" si="248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486"/>
        <v>48</v>
      </c>
      <c r="R2325" s="7">
        <f t="shared" si="2487"/>
        <v>30</v>
      </c>
      <c r="S2325" t="str">
        <f t="shared" si="2488"/>
        <v>food</v>
      </c>
      <c r="T2325" t="str">
        <f t="shared" si="2489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ref="K2326:L2326" si="2508">(J2326/60/60/24)+DATE(1970,1,1)</f>
        <v>42790.885243055556</v>
      </c>
      <c r="L2326" s="11">
        <f t="shared" si="248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486"/>
        <v>20.733333333333334</v>
      </c>
      <c r="R2326" s="7">
        <f t="shared" si="2487"/>
        <v>25.491803278688526</v>
      </c>
      <c r="S2326" t="str">
        <f t="shared" si="2488"/>
        <v>food</v>
      </c>
      <c r="T2326" t="str">
        <f t="shared" si="2489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ref="K2327:L2327" si="2509">(J2327/60/60/24)+DATE(1970,1,1)</f>
        <v>42794.022349537037</v>
      </c>
      <c r="L2327" s="11">
        <f t="shared" si="248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486"/>
        <v>8</v>
      </c>
      <c r="R2327" s="7">
        <f t="shared" si="2487"/>
        <v>11.428571428571429</v>
      </c>
      <c r="S2327" t="str">
        <f t="shared" si="2488"/>
        <v>food</v>
      </c>
      <c r="T2327" t="str">
        <f t="shared" si="2489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ref="K2328:L2328" si="2510">(J2328/60/60/24)+DATE(1970,1,1)</f>
        <v>42804.034120370372</v>
      </c>
      <c r="L2328" s="11">
        <f t="shared" si="248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486"/>
        <v>0.72</v>
      </c>
      <c r="R2328" s="7">
        <f t="shared" si="2487"/>
        <v>108</v>
      </c>
      <c r="S2328" t="str">
        <f t="shared" si="2488"/>
        <v>food</v>
      </c>
      <c r="T2328" t="str">
        <f t="shared" si="2489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ref="K2329:L2329" si="2511">(J2329/60/60/24)+DATE(1970,1,1)</f>
        <v>41842.917129629634</v>
      </c>
      <c r="L2329" s="11">
        <f t="shared" si="248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486"/>
        <v>526.09431428571429</v>
      </c>
      <c r="R2329" s="7">
        <f t="shared" si="2487"/>
        <v>54.883162444113267</v>
      </c>
      <c r="S2329" t="str">
        <f t="shared" si="2488"/>
        <v>food</v>
      </c>
      <c r="T2329" t="str">
        <f t="shared" si="2489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ref="K2330:L2330" si="2512">(J2330/60/60/24)+DATE(1970,1,1)</f>
        <v>42139.781678240746</v>
      </c>
      <c r="L2330" s="11">
        <f t="shared" si="248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486"/>
        <v>254.45000000000002</v>
      </c>
      <c r="R2330" s="7">
        <f t="shared" si="2487"/>
        <v>47.383612662942269</v>
      </c>
      <c r="S2330" t="str">
        <f t="shared" si="2488"/>
        <v>food</v>
      </c>
      <c r="T2330" t="str">
        <f t="shared" si="2489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ref="K2331:L2331" si="2513">(J2331/60/60/24)+DATE(1970,1,1)</f>
        <v>41807.624374999999</v>
      </c>
      <c r="L2331" s="11">
        <f t="shared" si="248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486"/>
        <v>105.91999999999999</v>
      </c>
      <c r="R2331" s="7">
        <f t="shared" si="2487"/>
        <v>211.84</v>
      </c>
      <c r="S2331" t="str">
        <f t="shared" si="2488"/>
        <v>food</v>
      </c>
      <c r="T2331" t="str">
        <f t="shared" si="2489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ref="K2332:L2332" si="2514">(J2332/60/60/24)+DATE(1970,1,1)</f>
        <v>42332.89980324074</v>
      </c>
      <c r="L2332" s="11">
        <f t="shared" si="2485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486"/>
        <v>102.42285714285715</v>
      </c>
      <c r="R2332" s="7">
        <f t="shared" si="2487"/>
        <v>219.92638036809817</v>
      </c>
      <c r="S2332" t="str">
        <f t="shared" si="2488"/>
        <v>food</v>
      </c>
      <c r="T2332" t="str">
        <f t="shared" si="2489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ref="K2333:L2333" si="2515">(J2333/60/60/24)+DATE(1970,1,1)</f>
        <v>41839.005671296298</v>
      </c>
      <c r="L2333" s="11">
        <f t="shared" si="248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486"/>
        <v>144.31375</v>
      </c>
      <c r="R2333" s="7">
        <f t="shared" si="2487"/>
        <v>40.795406360424032</v>
      </c>
      <c r="S2333" t="str">
        <f t="shared" si="2488"/>
        <v>food</v>
      </c>
      <c r="T2333" t="str">
        <f t="shared" si="2489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ref="K2334:L2334" si="2516">(J2334/60/60/24)+DATE(1970,1,1)</f>
        <v>42011.628136574072</v>
      </c>
      <c r="L2334" s="11">
        <f t="shared" si="248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486"/>
        <v>106.30800000000001</v>
      </c>
      <c r="R2334" s="7">
        <f t="shared" si="2487"/>
        <v>75.502840909090907</v>
      </c>
      <c r="S2334" t="str">
        <f t="shared" si="2488"/>
        <v>food</v>
      </c>
      <c r="T2334" t="str">
        <f t="shared" si="2489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ref="K2335:L2335" si="2517">(J2335/60/60/24)+DATE(1970,1,1)</f>
        <v>41767.650347222225</v>
      </c>
      <c r="L2335" s="11">
        <f t="shared" si="248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486"/>
        <v>212.16666666666666</v>
      </c>
      <c r="R2335" s="7">
        <f t="shared" si="2487"/>
        <v>13.542553191489361</v>
      </c>
      <c r="S2335" t="str">
        <f t="shared" si="2488"/>
        <v>food</v>
      </c>
      <c r="T2335" t="str">
        <f t="shared" si="2489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ref="K2336:L2336" si="2518">(J2336/60/60/24)+DATE(1970,1,1)</f>
        <v>41918.670115740737</v>
      </c>
      <c r="L2336" s="11">
        <f t="shared" si="248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486"/>
        <v>101.95</v>
      </c>
      <c r="R2336" s="7">
        <f t="shared" si="2487"/>
        <v>60.865671641791046</v>
      </c>
      <c r="S2336" t="str">
        <f t="shared" si="2488"/>
        <v>food</v>
      </c>
      <c r="T2336" t="str">
        <f t="shared" si="2489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ref="K2337:L2337" si="2519">(J2337/60/60/24)+DATE(1970,1,1)</f>
        <v>41771.572256944448</v>
      </c>
      <c r="L2337" s="11">
        <f t="shared" si="248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486"/>
        <v>102.27200000000001</v>
      </c>
      <c r="R2337" s="7">
        <f t="shared" si="2487"/>
        <v>115.69230769230769</v>
      </c>
      <c r="S2337" t="str">
        <f t="shared" si="2488"/>
        <v>food</v>
      </c>
      <c r="T2337" t="str">
        <f t="shared" si="2489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ref="K2338:L2338" si="2520">(J2338/60/60/24)+DATE(1970,1,1)</f>
        <v>41666.924710648149</v>
      </c>
      <c r="L2338" s="11">
        <f t="shared" si="248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486"/>
        <v>520.73254999999995</v>
      </c>
      <c r="R2338" s="7">
        <f t="shared" si="2487"/>
        <v>48.104623556581984</v>
      </c>
      <c r="S2338" t="str">
        <f t="shared" si="2488"/>
        <v>food</v>
      </c>
      <c r="T2338" t="str">
        <f t="shared" si="2489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ref="K2339:L2339" si="2521">(J2339/60/60/24)+DATE(1970,1,1)</f>
        <v>41786.640543981484</v>
      </c>
      <c r="L2339" s="11">
        <f t="shared" si="248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486"/>
        <v>110.65833333333333</v>
      </c>
      <c r="R2339" s="7">
        <f t="shared" si="2487"/>
        <v>74.184357541899445</v>
      </c>
      <c r="S2339" t="str">
        <f t="shared" si="2488"/>
        <v>food</v>
      </c>
      <c r="T2339" t="str">
        <f t="shared" si="2489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ref="K2340:L2340" si="2522">(J2340/60/60/24)+DATE(1970,1,1)</f>
        <v>41789.896805555552</v>
      </c>
      <c r="L2340" s="11">
        <f t="shared" si="248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486"/>
        <v>101.14333333333335</v>
      </c>
      <c r="R2340" s="7">
        <f t="shared" si="2487"/>
        <v>123.34552845528455</v>
      </c>
      <c r="S2340" t="str">
        <f t="shared" si="2488"/>
        <v>food</v>
      </c>
      <c r="T2340" t="str">
        <f t="shared" si="2489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ref="K2341:L2341" si="2523">(J2341/60/60/24)+DATE(1970,1,1)</f>
        <v>42692.79987268518</v>
      </c>
      <c r="L2341" s="11">
        <f t="shared" si="248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486"/>
        <v>294.20799999999997</v>
      </c>
      <c r="R2341" s="7">
        <f t="shared" si="2487"/>
        <v>66.623188405797094</v>
      </c>
      <c r="S2341" t="str">
        <f t="shared" si="2488"/>
        <v>food</v>
      </c>
      <c r="T2341" t="str">
        <f t="shared" si="2489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ref="K2342:L2342" si="2524">(J2342/60/60/24)+DATE(1970,1,1)</f>
        <v>42643.642800925925</v>
      </c>
      <c r="L2342" s="11">
        <f t="shared" si="248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486"/>
        <v>105.77749999999999</v>
      </c>
      <c r="R2342" s="7">
        <f t="shared" si="2487"/>
        <v>104.99007444168734</v>
      </c>
      <c r="S2342" t="str">
        <f t="shared" si="2488"/>
        <v>food</v>
      </c>
      <c r="T2342" t="str">
        <f t="shared" si="2489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ref="K2343:L2343" si="2525">(J2343/60/60/24)+DATE(1970,1,1)</f>
        <v>42167.813703703709</v>
      </c>
      <c r="L2343" s="11">
        <f t="shared" si="248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486"/>
        <v>0</v>
      </c>
      <c r="R2343" s="7">
        <f t="shared" si="2487"/>
        <v>0</v>
      </c>
      <c r="S2343" t="str">
        <f t="shared" si="2488"/>
        <v>technology</v>
      </c>
      <c r="T2343" t="str">
        <f t="shared" si="2489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ref="K2344:L2344" si="2526">(J2344/60/60/24)+DATE(1970,1,1)</f>
        <v>41897.702199074076</v>
      </c>
      <c r="L2344" s="11">
        <f t="shared" si="248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486"/>
        <v>0</v>
      </c>
      <c r="R2344" s="7">
        <f t="shared" si="2487"/>
        <v>0</v>
      </c>
      <c r="S2344" t="str">
        <f t="shared" si="2488"/>
        <v>technology</v>
      </c>
      <c r="T2344" t="str">
        <f t="shared" si="2489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ref="K2345:L2345" si="2527">(J2345/60/60/24)+DATE(1970,1,1)</f>
        <v>42327.825289351851</v>
      </c>
      <c r="L2345" s="11">
        <f t="shared" si="248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486"/>
        <v>3</v>
      </c>
      <c r="R2345" s="7">
        <f t="shared" si="2487"/>
        <v>300</v>
      </c>
      <c r="S2345" t="str">
        <f t="shared" si="2488"/>
        <v>technology</v>
      </c>
      <c r="T2345" t="str">
        <f t="shared" si="2489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ref="K2346:L2346" si="2528">(J2346/60/60/24)+DATE(1970,1,1)</f>
        <v>42515.727650462963</v>
      </c>
      <c r="L2346" s="11">
        <f t="shared" si="248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486"/>
        <v>0.1</v>
      </c>
      <c r="R2346" s="7">
        <f t="shared" si="2487"/>
        <v>1</v>
      </c>
      <c r="S2346" t="str">
        <f t="shared" si="2488"/>
        <v>technology</v>
      </c>
      <c r="T2346" t="str">
        <f t="shared" si="2489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ref="K2347:L2347" si="2529">(J2347/60/60/24)+DATE(1970,1,1)</f>
        <v>42060.001805555556</v>
      </c>
      <c r="L2347" s="11">
        <f t="shared" si="248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486"/>
        <v>0</v>
      </c>
      <c r="R2347" s="7">
        <f t="shared" si="2487"/>
        <v>0</v>
      </c>
      <c r="S2347" t="str">
        <f t="shared" si="2488"/>
        <v>technology</v>
      </c>
      <c r="T2347" t="str">
        <f t="shared" si="2489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ref="K2348:L2348" si="2530">(J2348/60/60/24)+DATE(1970,1,1)</f>
        <v>42615.79896990741</v>
      </c>
      <c r="L2348" s="11">
        <f t="shared" si="248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486"/>
        <v>6.5000000000000002E-2</v>
      </c>
      <c r="R2348" s="7">
        <f t="shared" si="2487"/>
        <v>13</v>
      </c>
      <c r="S2348" t="str">
        <f t="shared" si="2488"/>
        <v>technology</v>
      </c>
      <c r="T2348" t="str">
        <f t="shared" si="2489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ref="K2349:L2349" si="2531">(J2349/60/60/24)+DATE(1970,1,1)</f>
        <v>42577.607361111113</v>
      </c>
      <c r="L2349" s="11">
        <f t="shared" si="248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486"/>
        <v>1.5</v>
      </c>
      <c r="R2349" s="7">
        <f t="shared" si="2487"/>
        <v>15</v>
      </c>
      <c r="S2349" t="str">
        <f t="shared" si="2488"/>
        <v>technology</v>
      </c>
      <c r="T2349" t="str">
        <f t="shared" si="2489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ref="K2350:L2350" si="2532">(J2350/60/60/24)+DATE(1970,1,1)</f>
        <v>42360.932152777779</v>
      </c>
      <c r="L2350" s="11">
        <f t="shared" si="248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486"/>
        <v>0.38571428571428573</v>
      </c>
      <c r="R2350" s="7">
        <f t="shared" si="2487"/>
        <v>54</v>
      </c>
      <c r="S2350" t="str">
        <f t="shared" si="2488"/>
        <v>technology</v>
      </c>
      <c r="T2350" t="str">
        <f t="shared" si="2489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ref="K2351:L2351" si="2533">(J2351/60/60/24)+DATE(1970,1,1)</f>
        <v>42198.775787037041</v>
      </c>
      <c r="L2351" s="11">
        <f t="shared" si="248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486"/>
        <v>0</v>
      </c>
      <c r="R2351" s="7">
        <f t="shared" si="2487"/>
        <v>0</v>
      </c>
      <c r="S2351" t="str">
        <f t="shared" si="2488"/>
        <v>technology</v>
      </c>
      <c r="T2351" t="str">
        <f t="shared" si="2489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ref="K2352:L2352" si="2534">(J2352/60/60/24)+DATE(1970,1,1)</f>
        <v>42708.842245370368</v>
      </c>
      <c r="L2352" s="11">
        <f t="shared" si="248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486"/>
        <v>0</v>
      </c>
      <c r="R2352" s="7">
        <f t="shared" si="2487"/>
        <v>0</v>
      </c>
      <c r="S2352" t="str">
        <f t="shared" si="2488"/>
        <v>technology</v>
      </c>
      <c r="T2352" t="str">
        <f t="shared" si="2489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ref="K2353:L2353" si="2535">(J2353/60/60/24)+DATE(1970,1,1)</f>
        <v>42094.101145833338</v>
      </c>
      <c r="L2353" s="11">
        <f t="shared" si="248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486"/>
        <v>0.5714285714285714</v>
      </c>
      <c r="R2353" s="7">
        <f t="shared" si="2487"/>
        <v>15.428571428571429</v>
      </c>
      <c r="S2353" t="str">
        <f t="shared" si="2488"/>
        <v>technology</v>
      </c>
      <c r="T2353" t="str">
        <f t="shared" si="2489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ref="K2354:L2354" si="2536">(J2354/60/60/24)+DATE(1970,1,1)</f>
        <v>42101.633703703701</v>
      </c>
      <c r="L2354" s="11">
        <f t="shared" si="248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486"/>
        <v>0</v>
      </c>
      <c r="R2354" s="7">
        <f t="shared" si="2487"/>
        <v>0</v>
      </c>
      <c r="S2354" t="str">
        <f t="shared" si="2488"/>
        <v>technology</v>
      </c>
      <c r="T2354" t="str">
        <f t="shared" si="2489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ref="K2355:L2355" si="2537">(J2355/60/60/24)+DATE(1970,1,1)</f>
        <v>42103.676180555558</v>
      </c>
      <c r="L2355" s="11">
        <f t="shared" si="248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486"/>
        <v>0</v>
      </c>
      <c r="R2355" s="7">
        <f t="shared" si="2487"/>
        <v>0</v>
      </c>
      <c r="S2355" t="str">
        <f t="shared" si="2488"/>
        <v>technology</v>
      </c>
      <c r="T2355" t="str">
        <f t="shared" si="2489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ref="K2356:L2356" si="2538">(J2356/60/60/24)+DATE(1970,1,1)</f>
        <v>41954.722916666666</v>
      </c>
      <c r="L2356" s="11">
        <f t="shared" si="248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486"/>
        <v>7.1428571428571425E-2</v>
      </c>
      <c r="R2356" s="7">
        <f t="shared" si="2487"/>
        <v>25</v>
      </c>
      <c r="S2356" t="str">
        <f t="shared" si="2488"/>
        <v>technology</v>
      </c>
      <c r="T2356" t="str">
        <f t="shared" si="2489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ref="K2357:L2357" si="2539">(J2357/60/60/24)+DATE(1970,1,1)</f>
        <v>42096.918240740735</v>
      </c>
      <c r="L2357" s="11">
        <f t="shared" si="248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486"/>
        <v>0.6875</v>
      </c>
      <c r="R2357" s="7">
        <f t="shared" si="2487"/>
        <v>27.5</v>
      </c>
      <c r="S2357" t="str">
        <f t="shared" si="2488"/>
        <v>technology</v>
      </c>
      <c r="T2357" t="str">
        <f t="shared" si="2489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ref="K2358:L2358" si="2540">(J2358/60/60/24)+DATE(1970,1,1)</f>
        <v>42130.78361111111</v>
      </c>
      <c r="L2358" s="11">
        <f t="shared" si="248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486"/>
        <v>0</v>
      </c>
      <c r="R2358" s="7">
        <f t="shared" si="2487"/>
        <v>0</v>
      </c>
      <c r="S2358" t="str">
        <f t="shared" si="2488"/>
        <v>technology</v>
      </c>
      <c r="T2358" t="str">
        <f t="shared" si="2489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ref="K2359:L2359" si="2541">(J2359/60/60/24)+DATE(1970,1,1)</f>
        <v>42264.620115740734</v>
      </c>
      <c r="L2359" s="11">
        <f t="shared" si="248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486"/>
        <v>0</v>
      </c>
      <c r="R2359" s="7">
        <f t="shared" si="2487"/>
        <v>0</v>
      </c>
      <c r="S2359" t="str">
        <f t="shared" si="2488"/>
        <v>technology</v>
      </c>
      <c r="T2359" t="str">
        <f t="shared" si="2489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ref="K2360:L2360" si="2542">(J2360/60/60/24)+DATE(1970,1,1)</f>
        <v>41978.930972222224</v>
      </c>
      <c r="L2360" s="11">
        <f t="shared" si="248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486"/>
        <v>0</v>
      </c>
      <c r="R2360" s="7">
        <f t="shared" si="2487"/>
        <v>0</v>
      </c>
      <c r="S2360" t="str">
        <f t="shared" si="2488"/>
        <v>technology</v>
      </c>
      <c r="T2360" t="str">
        <f t="shared" si="2489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ref="K2361:L2361" si="2543">(J2361/60/60/24)+DATE(1970,1,1)</f>
        <v>42159.649583333332</v>
      </c>
      <c r="L2361" s="11">
        <f t="shared" si="248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486"/>
        <v>14.680000000000001</v>
      </c>
      <c r="R2361" s="7">
        <f t="shared" si="2487"/>
        <v>367</v>
      </c>
      <c r="S2361" t="str">
        <f t="shared" si="2488"/>
        <v>technology</v>
      </c>
      <c r="T2361" t="str">
        <f t="shared" si="2489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ref="K2362:L2362" si="2544">(J2362/60/60/24)+DATE(1970,1,1)</f>
        <v>42377.70694444445</v>
      </c>
      <c r="L2362" s="11">
        <f t="shared" si="248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486"/>
        <v>0.04</v>
      </c>
      <c r="R2362" s="7">
        <f t="shared" si="2487"/>
        <v>2</v>
      </c>
      <c r="S2362" t="str">
        <f t="shared" si="2488"/>
        <v>technology</v>
      </c>
      <c r="T2362" t="str">
        <f t="shared" si="2489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ref="K2363:L2363" si="2545">(J2363/60/60/24)+DATE(1970,1,1)</f>
        <v>42466.858888888892</v>
      </c>
      <c r="L2363" s="11">
        <f t="shared" si="248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486"/>
        <v>0</v>
      </c>
      <c r="R2363" s="7">
        <f t="shared" si="2487"/>
        <v>0</v>
      </c>
      <c r="S2363" t="str">
        <f t="shared" si="2488"/>
        <v>technology</v>
      </c>
      <c r="T2363" t="str">
        <f t="shared" si="2489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ref="K2364:L2364" si="2546">(J2364/60/60/24)+DATE(1970,1,1)</f>
        <v>41954.688310185185</v>
      </c>
      <c r="L2364" s="11">
        <f t="shared" si="248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486"/>
        <v>28.571428571428569</v>
      </c>
      <c r="R2364" s="7">
        <f t="shared" si="2487"/>
        <v>60</v>
      </c>
      <c r="S2364" t="str">
        <f t="shared" si="2488"/>
        <v>technology</v>
      </c>
      <c r="T2364" t="str">
        <f t="shared" si="2489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ref="K2365:L2365" si="2547">(J2365/60/60/24)+DATE(1970,1,1)</f>
        <v>42322.011574074073</v>
      </c>
      <c r="L2365" s="11">
        <f t="shared" si="248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486"/>
        <v>0</v>
      </c>
      <c r="R2365" s="7">
        <f t="shared" si="2487"/>
        <v>0</v>
      </c>
      <c r="S2365" t="str">
        <f t="shared" si="2488"/>
        <v>technology</v>
      </c>
      <c r="T2365" t="str">
        <f t="shared" si="2489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ref="K2366:L2366" si="2548">(J2366/60/60/24)+DATE(1970,1,1)</f>
        <v>42248.934675925921</v>
      </c>
      <c r="L2366" s="11">
        <f t="shared" si="248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486"/>
        <v>0</v>
      </c>
      <c r="R2366" s="7">
        <f t="shared" si="2487"/>
        <v>0</v>
      </c>
      <c r="S2366" t="str">
        <f t="shared" si="2488"/>
        <v>technology</v>
      </c>
      <c r="T2366" t="str">
        <f t="shared" si="2489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ref="K2367:L2367" si="2549">(J2367/60/60/24)+DATE(1970,1,1)</f>
        <v>42346.736400462964</v>
      </c>
      <c r="L2367" s="11">
        <f t="shared" si="248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486"/>
        <v>0</v>
      </c>
      <c r="R2367" s="7">
        <f t="shared" si="2487"/>
        <v>0</v>
      </c>
      <c r="S2367" t="str">
        <f t="shared" si="2488"/>
        <v>technology</v>
      </c>
      <c r="T2367" t="str">
        <f t="shared" si="2489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ref="K2368:L2368" si="2550">(J2368/60/60/24)+DATE(1970,1,1)</f>
        <v>42268.531631944439</v>
      </c>
      <c r="L2368" s="11">
        <f t="shared" si="248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486"/>
        <v>10.52</v>
      </c>
      <c r="R2368" s="7">
        <f t="shared" si="2487"/>
        <v>97.407407407407405</v>
      </c>
      <c r="S2368" t="str">
        <f t="shared" si="2488"/>
        <v>technology</v>
      </c>
      <c r="T2368" t="str">
        <f t="shared" si="2489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ref="K2369:L2369" si="2551">(J2369/60/60/24)+DATE(1970,1,1)</f>
        <v>42425.970092592594</v>
      </c>
      <c r="L2369" s="11">
        <f t="shared" si="248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486"/>
        <v>1.34</v>
      </c>
      <c r="R2369" s="7">
        <f t="shared" si="2487"/>
        <v>47.857142857142854</v>
      </c>
      <c r="S2369" t="str">
        <f t="shared" si="2488"/>
        <v>technology</v>
      </c>
      <c r="T2369" t="str">
        <f t="shared" si="2489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ref="K2370:L2370" si="2552">(J2370/60/60/24)+DATE(1970,1,1)</f>
        <v>42063.721817129626</v>
      </c>
      <c r="L2370" s="11">
        <f t="shared" si="248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486"/>
        <v>0.25</v>
      </c>
      <c r="R2370" s="7">
        <f t="shared" si="2487"/>
        <v>50</v>
      </c>
      <c r="S2370" t="str">
        <f t="shared" si="2488"/>
        <v>technology</v>
      </c>
      <c r="T2370" t="str">
        <f t="shared" si="2489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ref="K2371:L2371" si="2553">(J2371/60/60/24)+DATE(1970,1,1)</f>
        <v>42380.812627314815</v>
      </c>
      <c r="L2371" s="11">
        <f t="shared" ref="L2371:L2434" si="2554">(I2371/60/60/24)+DATE(1970,1,1)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555">(E2371/D2371)*100</f>
        <v>0</v>
      </c>
      <c r="R2371" s="7">
        <f t="shared" ref="R2371:R2434" si="2556">IFERROR(E2371/N2371, 0)</f>
        <v>0</v>
      </c>
      <c r="S2371" t="str">
        <f t="shared" ref="S2371:S2434" si="2557">LEFT(P2371, SEARCH("/", P2371,1)-1)</f>
        <v>technology</v>
      </c>
      <c r="T2371" t="str">
        <f t="shared" ref="T2371:T2434" si="2558">RIGHT(P2371,LEN(P2371)-SEARCH("/",P2371,SEARCH("/",P2371)))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ref="K2372:L2372" si="2559">(J2372/60/60/24)+DATE(1970,1,1)</f>
        <v>41961.18913194444</v>
      </c>
      <c r="L2372" s="11">
        <f t="shared" si="2554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555"/>
        <v>0.32800000000000001</v>
      </c>
      <c r="R2372" s="7">
        <f t="shared" si="2556"/>
        <v>20.5</v>
      </c>
      <c r="S2372" t="str">
        <f t="shared" si="2557"/>
        <v>technology</v>
      </c>
      <c r="T2372" t="str">
        <f t="shared" si="2558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ref="K2373:L2373" si="2560">(J2373/60/60/24)+DATE(1970,1,1)</f>
        <v>42150.777731481481</v>
      </c>
      <c r="L2373" s="11">
        <f t="shared" si="2554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555"/>
        <v>0</v>
      </c>
      <c r="R2373" s="7">
        <f t="shared" si="2556"/>
        <v>0</v>
      </c>
      <c r="S2373" t="str">
        <f t="shared" si="2557"/>
        <v>technology</v>
      </c>
      <c r="T2373" t="str">
        <f t="shared" si="2558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ref="K2374:L2374" si="2561">(J2374/60/60/24)+DATE(1970,1,1)</f>
        <v>42088.069108796291</v>
      </c>
      <c r="L2374" s="11">
        <f t="shared" si="2554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555"/>
        <v>3.2727272727272729</v>
      </c>
      <c r="R2374" s="7">
        <f t="shared" si="2556"/>
        <v>30</v>
      </c>
      <c r="S2374" t="str">
        <f t="shared" si="2557"/>
        <v>technology</v>
      </c>
      <c r="T2374" t="str">
        <f t="shared" si="2558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ref="K2375:L2375" si="2562">(J2375/60/60/24)+DATE(1970,1,1)</f>
        <v>42215.662314814821</v>
      </c>
      <c r="L2375" s="11">
        <f t="shared" si="2554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555"/>
        <v>5.8823529411764705E-3</v>
      </c>
      <c r="R2375" s="7">
        <f t="shared" si="2556"/>
        <v>50</v>
      </c>
      <c r="S2375" t="str">
        <f t="shared" si="2557"/>
        <v>technology</v>
      </c>
      <c r="T2375" t="str">
        <f t="shared" si="2558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ref="K2376:L2376" si="2563">(J2376/60/60/24)+DATE(1970,1,1)</f>
        <v>42017.843287037031</v>
      </c>
      <c r="L2376" s="11">
        <f t="shared" si="2554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555"/>
        <v>4.5454545454545456E-2</v>
      </c>
      <c r="R2376" s="7">
        <f t="shared" si="2556"/>
        <v>10</v>
      </c>
      <c r="S2376" t="str">
        <f t="shared" si="2557"/>
        <v>technology</v>
      </c>
      <c r="T2376" t="str">
        <f t="shared" si="2558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ref="K2377:L2377" si="2564">(J2377/60/60/24)+DATE(1970,1,1)</f>
        <v>42592.836076388892</v>
      </c>
      <c r="L2377" s="11">
        <f t="shared" si="2554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555"/>
        <v>0</v>
      </c>
      <c r="R2377" s="7">
        <f t="shared" si="2556"/>
        <v>0</v>
      </c>
      <c r="S2377" t="str">
        <f t="shared" si="2557"/>
        <v>technology</v>
      </c>
      <c r="T2377" t="str">
        <f t="shared" si="2558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ref="K2378:L2378" si="2565">(J2378/60/60/24)+DATE(1970,1,1)</f>
        <v>42318.925532407404</v>
      </c>
      <c r="L2378" s="11">
        <f t="shared" si="2554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555"/>
        <v>10.877666666666666</v>
      </c>
      <c r="R2378" s="7">
        <f t="shared" si="2556"/>
        <v>81.582499999999996</v>
      </c>
      <c r="S2378" t="str">
        <f t="shared" si="2557"/>
        <v>technology</v>
      </c>
      <c r="T2378" t="str">
        <f t="shared" si="2558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ref="K2379:L2379" si="2566">(J2379/60/60/24)+DATE(1970,1,1)</f>
        <v>42669.870173611111</v>
      </c>
      <c r="L2379" s="11">
        <f t="shared" si="2554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555"/>
        <v>0</v>
      </c>
      <c r="R2379" s="7">
        <f t="shared" si="2556"/>
        <v>0</v>
      </c>
      <c r="S2379" t="str">
        <f t="shared" si="2557"/>
        <v>technology</v>
      </c>
      <c r="T2379" t="str">
        <f t="shared" si="2558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ref="K2380:L2380" si="2567">(J2380/60/60/24)+DATE(1970,1,1)</f>
        <v>42213.013078703705</v>
      </c>
      <c r="L2380" s="11">
        <f t="shared" si="2554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555"/>
        <v>0</v>
      </c>
      <c r="R2380" s="7">
        <f t="shared" si="2556"/>
        <v>0</v>
      </c>
      <c r="S2380" t="str">
        <f t="shared" si="2557"/>
        <v>technology</v>
      </c>
      <c r="T2380" t="str">
        <f t="shared" si="2558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ref="K2381:L2381" si="2568">(J2381/60/60/24)+DATE(1970,1,1)</f>
        <v>42237.016388888893</v>
      </c>
      <c r="L2381" s="11">
        <f t="shared" si="2554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555"/>
        <v>0</v>
      </c>
      <c r="R2381" s="7">
        <f t="shared" si="2556"/>
        <v>0</v>
      </c>
      <c r="S2381" t="str">
        <f t="shared" si="2557"/>
        <v>technology</v>
      </c>
      <c r="T2381" t="str">
        <f t="shared" si="2558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ref="K2382:L2382" si="2569">(J2382/60/60/24)+DATE(1970,1,1)</f>
        <v>42248.793310185181</v>
      </c>
      <c r="L2382" s="11">
        <f t="shared" si="2554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555"/>
        <v>0.36666666666666664</v>
      </c>
      <c r="R2382" s="7">
        <f t="shared" si="2556"/>
        <v>18.333333333333332</v>
      </c>
      <c r="S2382" t="str">
        <f t="shared" si="2557"/>
        <v>technology</v>
      </c>
      <c r="T2382" t="str">
        <f t="shared" si="2558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ref="K2383:L2383" si="2570">(J2383/60/60/24)+DATE(1970,1,1)</f>
        <v>42074.935740740737</v>
      </c>
      <c r="L2383" s="11">
        <f t="shared" si="2554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555"/>
        <v>1.8193398957730169</v>
      </c>
      <c r="R2383" s="7">
        <f t="shared" si="2556"/>
        <v>224.42857142857142</v>
      </c>
      <c r="S2383" t="str">
        <f t="shared" si="2557"/>
        <v>technology</v>
      </c>
      <c r="T2383" t="str">
        <f t="shared" si="2558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ref="K2384:L2384" si="2571">(J2384/60/60/24)+DATE(1970,1,1)</f>
        <v>42195.187534722223</v>
      </c>
      <c r="L2384" s="11">
        <f t="shared" si="2554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555"/>
        <v>2.5</v>
      </c>
      <c r="R2384" s="7">
        <f t="shared" si="2556"/>
        <v>37.5</v>
      </c>
      <c r="S2384" t="str">
        <f t="shared" si="2557"/>
        <v>technology</v>
      </c>
      <c r="T2384" t="str">
        <f t="shared" si="2558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ref="K2385:L2385" si="2572">(J2385/60/60/24)+DATE(1970,1,1)</f>
        <v>42027.056793981479</v>
      </c>
      <c r="L2385" s="11">
        <f t="shared" si="2554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555"/>
        <v>4.3499999999999996</v>
      </c>
      <c r="R2385" s="7">
        <f t="shared" si="2556"/>
        <v>145</v>
      </c>
      <c r="S2385" t="str">
        <f t="shared" si="2557"/>
        <v>technology</v>
      </c>
      <c r="T2385" t="str">
        <f t="shared" si="2558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ref="K2386:L2386" si="2573">(J2386/60/60/24)+DATE(1970,1,1)</f>
        <v>41927.067627314813</v>
      </c>
      <c r="L2386" s="11">
        <f t="shared" si="2554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555"/>
        <v>0.8</v>
      </c>
      <c r="R2386" s="7">
        <f t="shared" si="2556"/>
        <v>1</v>
      </c>
      <c r="S2386" t="str">
        <f t="shared" si="2557"/>
        <v>technology</v>
      </c>
      <c r="T2386" t="str">
        <f t="shared" si="2558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ref="K2387:L2387" si="2574">(J2387/60/60/24)+DATE(1970,1,1)</f>
        <v>42191.70175925926</v>
      </c>
      <c r="L2387" s="11">
        <f t="shared" si="2554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555"/>
        <v>1.2123076923076923</v>
      </c>
      <c r="R2387" s="7">
        <f t="shared" si="2556"/>
        <v>112.57142857142857</v>
      </c>
      <c r="S2387" t="str">
        <f t="shared" si="2557"/>
        <v>technology</v>
      </c>
      <c r="T2387" t="str">
        <f t="shared" si="2558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ref="K2388:L2388" si="2575">(J2388/60/60/24)+DATE(1970,1,1)</f>
        <v>41954.838240740741</v>
      </c>
      <c r="L2388" s="11">
        <f t="shared" si="2554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555"/>
        <v>0</v>
      </c>
      <c r="R2388" s="7">
        <f t="shared" si="2556"/>
        <v>0</v>
      </c>
      <c r="S2388" t="str">
        <f t="shared" si="2557"/>
        <v>technology</v>
      </c>
      <c r="T2388" t="str">
        <f t="shared" si="2558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ref="K2389:L2389" si="2576">(J2389/60/60/24)+DATE(1970,1,1)</f>
        <v>42528.626620370371</v>
      </c>
      <c r="L2389" s="11">
        <f t="shared" si="2554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555"/>
        <v>0.68399999999999994</v>
      </c>
      <c r="R2389" s="7">
        <f t="shared" si="2556"/>
        <v>342</v>
      </c>
      <c r="S2389" t="str">
        <f t="shared" si="2557"/>
        <v>technology</v>
      </c>
      <c r="T2389" t="str">
        <f t="shared" si="2558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ref="K2390:L2390" si="2577">(J2390/60/60/24)+DATE(1970,1,1)</f>
        <v>41989.853692129633</v>
      </c>
      <c r="L2390" s="11">
        <f t="shared" si="2554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555"/>
        <v>1.2513513513513512</v>
      </c>
      <c r="R2390" s="7">
        <f t="shared" si="2556"/>
        <v>57.875</v>
      </c>
      <c r="S2390" t="str">
        <f t="shared" si="2557"/>
        <v>technology</v>
      </c>
      <c r="T2390" t="str">
        <f t="shared" si="2558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ref="K2391:L2391" si="2578">(J2391/60/60/24)+DATE(1970,1,1)</f>
        <v>42179.653379629628</v>
      </c>
      <c r="L2391" s="11">
        <f t="shared" si="2554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555"/>
        <v>0.1875</v>
      </c>
      <c r="R2391" s="7">
        <f t="shared" si="2556"/>
        <v>30</v>
      </c>
      <c r="S2391" t="str">
        <f t="shared" si="2557"/>
        <v>technology</v>
      </c>
      <c r="T2391" t="str">
        <f t="shared" si="2558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ref="K2392:L2392" si="2579">(J2392/60/60/24)+DATE(1970,1,1)</f>
        <v>41968.262314814812</v>
      </c>
      <c r="L2392" s="11">
        <f t="shared" si="2554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555"/>
        <v>0</v>
      </c>
      <c r="R2392" s="7">
        <f t="shared" si="2556"/>
        <v>0</v>
      </c>
      <c r="S2392" t="str">
        <f t="shared" si="2557"/>
        <v>technology</v>
      </c>
      <c r="T2392" t="str">
        <f t="shared" si="2558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ref="K2393:L2393" si="2580">(J2393/60/60/24)+DATE(1970,1,1)</f>
        <v>42064.794490740736</v>
      </c>
      <c r="L2393" s="11">
        <f t="shared" si="2554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555"/>
        <v>0.125</v>
      </c>
      <c r="R2393" s="7">
        <f t="shared" si="2556"/>
        <v>25</v>
      </c>
      <c r="S2393" t="str">
        <f t="shared" si="2557"/>
        <v>technology</v>
      </c>
      <c r="T2393" t="str">
        <f t="shared" si="2558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ref="K2394:L2394" si="2581">(J2394/60/60/24)+DATE(1970,1,1)</f>
        <v>42276.120636574073</v>
      </c>
      <c r="L2394" s="11">
        <f t="shared" si="2554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555"/>
        <v>0</v>
      </c>
      <c r="R2394" s="7">
        <f t="shared" si="2556"/>
        <v>0</v>
      </c>
      <c r="S2394" t="str">
        <f t="shared" si="2557"/>
        <v>technology</v>
      </c>
      <c r="T2394" t="str">
        <f t="shared" si="2558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ref="K2395:L2395" si="2582">(J2395/60/60/24)+DATE(1970,1,1)</f>
        <v>42194.648344907408</v>
      </c>
      <c r="L2395" s="11">
        <f t="shared" si="2554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555"/>
        <v>0.05</v>
      </c>
      <c r="R2395" s="7">
        <f t="shared" si="2556"/>
        <v>50</v>
      </c>
      <c r="S2395" t="str">
        <f t="shared" si="2557"/>
        <v>technology</v>
      </c>
      <c r="T2395" t="str">
        <f t="shared" si="2558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ref="K2396:L2396" si="2583">(J2396/60/60/24)+DATE(1970,1,1)</f>
        <v>42031.362187499995</v>
      </c>
      <c r="L2396" s="11">
        <f t="shared" si="2554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555"/>
        <v>0.06</v>
      </c>
      <c r="R2396" s="7">
        <f t="shared" si="2556"/>
        <v>1.5</v>
      </c>
      <c r="S2396" t="str">
        <f t="shared" si="2557"/>
        <v>technology</v>
      </c>
      <c r="T2396" t="str">
        <f t="shared" si="2558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ref="K2397:L2397" si="2584">(J2397/60/60/24)+DATE(1970,1,1)</f>
        <v>42717.121377314819</v>
      </c>
      <c r="L2397" s="11">
        <f t="shared" si="2554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555"/>
        <v>0</v>
      </c>
      <c r="R2397" s="7">
        <f t="shared" si="2556"/>
        <v>0</v>
      </c>
      <c r="S2397" t="str">
        <f t="shared" si="2557"/>
        <v>technology</v>
      </c>
      <c r="T2397" t="str">
        <f t="shared" si="2558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ref="K2398:L2398" si="2585">(J2398/60/60/24)+DATE(1970,1,1)</f>
        <v>42262.849050925928</v>
      </c>
      <c r="L2398" s="11">
        <f t="shared" si="2554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555"/>
        <v>0.2</v>
      </c>
      <c r="R2398" s="7">
        <f t="shared" si="2556"/>
        <v>10</v>
      </c>
      <c r="S2398" t="str">
        <f t="shared" si="2557"/>
        <v>technology</v>
      </c>
      <c r="T2398" t="str">
        <f t="shared" si="2558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ref="K2399:L2399" si="2586">(J2399/60/60/24)+DATE(1970,1,1)</f>
        <v>41976.88490740741</v>
      </c>
      <c r="L2399" s="11">
        <f t="shared" si="2554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555"/>
        <v>0</v>
      </c>
      <c r="R2399" s="7">
        <f t="shared" si="2556"/>
        <v>0</v>
      </c>
      <c r="S2399" t="str">
        <f t="shared" si="2557"/>
        <v>technology</v>
      </c>
      <c r="T2399" t="str">
        <f t="shared" si="2558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ref="K2400:L2400" si="2587">(J2400/60/60/24)+DATE(1970,1,1)</f>
        <v>42157.916481481487</v>
      </c>
      <c r="L2400" s="11">
        <f t="shared" si="2554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555"/>
        <v>0</v>
      </c>
      <c r="R2400" s="7">
        <f t="shared" si="2556"/>
        <v>0</v>
      </c>
      <c r="S2400" t="str">
        <f t="shared" si="2557"/>
        <v>technology</v>
      </c>
      <c r="T2400" t="str">
        <f t="shared" si="2558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ref="K2401:L2401" si="2588">(J2401/60/60/24)+DATE(1970,1,1)</f>
        <v>41956.853078703702</v>
      </c>
      <c r="L2401" s="11">
        <f t="shared" si="2554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555"/>
        <v>0</v>
      </c>
      <c r="R2401" s="7">
        <f t="shared" si="2556"/>
        <v>0</v>
      </c>
      <c r="S2401" t="str">
        <f t="shared" si="2557"/>
        <v>technology</v>
      </c>
      <c r="T2401" t="str">
        <f t="shared" si="2558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ref="K2402:L2402" si="2589">(J2402/60/60/24)+DATE(1970,1,1)</f>
        <v>42444.268101851849</v>
      </c>
      <c r="L2402" s="11">
        <f t="shared" si="2554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555"/>
        <v>0</v>
      </c>
      <c r="R2402" s="7">
        <f t="shared" si="2556"/>
        <v>0</v>
      </c>
      <c r="S2402" t="str">
        <f t="shared" si="2557"/>
        <v>technology</v>
      </c>
      <c r="T2402" t="str">
        <f t="shared" si="2558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ref="K2403:L2403" si="2590">(J2403/60/60/24)+DATE(1970,1,1)</f>
        <v>42374.822870370372</v>
      </c>
      <c r="L2403" s="11">
        <f t="shared" si="2554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555"/>
        <v>0.71785714285714286</v>
      </c>
      <c r="R2403" s="7">
        <f t="shared" si="2556"/>
        <v>22.333333333333332</v>
      </c>
      <c r="S2403" t="str">
        <f t="shared" si="2557"/>
        <v>food</v>
      </c>
      <c r="T2403" t="str">
        <f t="shared" si="2558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ref="K2404:L2404" si="2591">(J2404/60/60/24)+DATE(1970,1,1)</f>
        <v>42107.679756944446</v>
      </c>
      <c r="L2404" s="11">
        <f t="shared" si="2554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555"/>
        <v>0.43333333333333329</v>
      </c>
      <c r="R2404" s="7">
        <f t="shared" si="2556"/>
        <v>52</v>
      </c>
      <c r="S2404" t="str">
        <f t="shared" si="2557"/>
        <v>food</v>
      </c>
      <c r="T2404" t="str">
        <f t="shared" si="2558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ref="K2405:L2405" si="2592">(J2405/60/60/24)+DATE(1970,1,1)</f>
        <v>42399.882615740738</v>
      </c>
      <c r="L2405" s="11">
        <f t="shared" si="2554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555"/>
        <v>16.833333333333332</v>
      </c>
      <c r="R2405" s="7">
        <f t="shared" si="2556"/>
        <v>16.833333333333332</v>
      </c>
      <c r="S2405" t="str">
        <f t="shared" si="2557"/>
        <v>food</v>
      </c>
      <c r="T2405" t="str">
        <f t="shared" si="2558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ref="K2406:L2406" si="2593">(J2406/60/60/24)+DATE(1970,1,1)</f>
        <v>42342.03943287037</v>
      </c>
      <c r="L2406" s="11">
        <f t="shared" si="2554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555"/>
        <v>0</v>
      </c>
      <c r="R2406" s="7">
        <f t="shared" si="2556"/>
        <v>0</v>
      </c>
      <c r="S2406" t="str">
        <f t="shared" si="2557"/>
        <v>food</v>
      </c>
      <c r="T2406" t="str">
        <f t="shared" si="2558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ref="K2407:L2407" si="2594">(J2407/60/60/24)+DATE(1970,1,1)</f>
        <v>42595.585358796292</v>
      </c>
      <c r="L2407" s="11">
        <f t="shared" si="2554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555"/>
        <v>22.52</v>
      </c>
      <c r="R2407" s="7">
        <f t="shared" si="2556"/>
        <v>56.3</v>
      </c>
      <c r="S2407" t="str">
        <f t="shared" si="2557"/>
        <v>food</v>
      </c>
      <c r="T2407" t="str">
        <f t="shared" si="2558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ref="K2408:L2408" si="2595">(J2408/60/60/24)+DATE(1970,1,1)</f>
        <v>41983.110995370371</v>
      </c>
      <c r="L2408" s="11">
        <f t="shared" si="2554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555"/>
        <v>41.384615384615387</v>
      </c>
      <c r="R2408" s="7">
        <f t="shared" si="2556"/>
        <v>84.0625</v>
      </c>
      <c r="S2408" t="str">
        <f t="shared" si="2557"/>
        <v>food</v>
      </c>
      <c r="T2408" t="str">
        <f t="shared" si="2558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ref="K2409:L2409" si="2596">(J2409/60/60/24)+DATE(1970,1,1)</f>
        <v>42082.575555555552</v>
      </c>
      <c r="L2409" s="11">
        <f t="shared" si="2554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555"/>
        <v>25.259090909090908</v>
      </c>
      <c r="R2409" s="7">
        <f t="shared" si="2556"/>
        <v>168.39393939393941</v>
      </c>
      <c r="S2409" t="str">
        <f t="shared" si="2557"/>
        <v>food</v>
      </c>
      <c r="T2409" t="str">
        <f t="shared" si="2558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ref="K2410:L2410" si="2597">(J2410/60/60/24)+DATE(1970,1,1)</f>
        <v>41919.140706018516</v>
      </c>
      <c r="L2410" s="11">
        <f t="shared" si="2554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555"/>
        <v>0.2</v>
      </c>
      <c r="R2410" s="7">
        <f t="shared" si="2556"/>
        <v>15</v>
      </c>
      <c r="S2410" t="str">
        <f t="shared" si="2557"/>
        <v>food</v>
      </c>
      <c r="T2410" t="str">
        <f t="shared" si="2558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ref="K2411:L2411" si="2598">(J2411/60/60/24)+DATE(1970,1,1)</f>
        <v>42204.875868055555</v>
      </c>
      <c r="L2411" s="11">
        <f t="shared" si="2554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555"/>
        <v>1.8399999999999999</v>
      </c>
      <c r="R2411" s="7">
        <f t="shared" si="2556"/>
        <v>76.666666666666671</v>
      </c>
      <c r="S2411" t="str">
        <f t="shared" si="2557"/>
        <v>food</v>
      </c>
      <c r="T2411" t="str">
        <f t="shared" si="2558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ref="K2412:L2412" si="2599">(J2412/60/60/24)+DATE(1970,1,1)</f>
        <v>42224.408275462964</v>
      </c>
      <c r="L2412" s="11">
        <f t="shared" si="2554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555"/>
        <v>0</v>
      </c>
      <c r="R2412" s="7">
        <f t="shared" si="2556"/>
        <v>0</v>
      </c>
      <c r="S2412" t="str">
        <f t="shared" si="2557"/>
        <v>food</v>
      </c>
      <c r="T2412" t="str">
        <f t="shared" si="2558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ref="K2413:L2413" si="2600">(J2413/60/60/24)+DATE(1970,1,1)</f>
        <v>42211.732430555552</v>
      </c>
      <c r="L2413" s="11">
        <f t="shared" si="2554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555"/>
        <v>0.60399999999999998</v>
      </c>
      <c r="R2413" s="7">
        <f t="shared" si="2556"/>
        <v>50.333333333333336</v>
      </c>
      <c r="S2413" t="str">
        <f t="shared" si="2557"/>
        <v>food</v>
      </c>
      <c r="T2413" t="str">
        <f t="shared" si="2558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ref="K2414:L2414" si="2601">(J2414/60/60/24)+DATE(1970,1,1)</f>
        <v>42655.736956018518</v>
      </c>
      <c r="L2414" s="11">
        <f t="shared" si="2554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555"/>
        <v>0</v>
      </c>
      <c r="R2414" s="7">
        <f t="shared" si="2556"/>
        <v>0</v>
      </c>
      <c r="S2414" t="str">
        <f t="shared" si="2557"/>
        <v>food</v>
      </c>
      <c r="T2414" t="str">
        <f t="shared" si="2558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ref="K2415:L2415" si="2602">(J2415/60/60/24)+DATE(1970,1,1)</f>
        <v>41760.10974537037</v>
      </c>
      <c r="L2415" s="11">
        <f t="shared" si="2554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555"/>
        <v>0.83333333333333337</v>
      </c>
      <c r="R2415" s="7">
        <f t="shared" si="2556"/>
        <v>8.3333333333333339</v>
      </c>
      <c r="S2415" t="str">
        <f t="shared" si="2557"/>
        <v>food</v>
      </c>
      <c r="T2415" t="str">
        <f t="shared" si="2558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ref="K2416:L2416" si="2603">(J2416/60/60/24)+DATE(1970,1,1)</f>
        <v>42198.695138888885</v>
      </c>
      <c r="L2416" s="11">
        <f t="shared" si="2554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555"/>
        <v>3.0666666666666664</v>
      </c>
      <c r="R2416" s="7">
        <f t="shared" si="2556"/>
        <v>35.384615384615387</v>
      </c>
      <c r="S2416" t="str">
        <f t="shared" si="2557"/>
        <v>food</v>
      </c>
      <c r="T2416" t="str">
        <f t="shared" si="2558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ref="K2417:L2417" si="2604">(J2417/60/60/24)+DATE(1970,1,1)</f>
        <v>42536.862800925926</v>
      </c>
      <c r="L2417" s="11">
        <f t="shared" si="2554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555"/>
        <v>0.55833333333333335</v>
      </c>
      <c r="R2417" s="7">
        <f t="shared" si="2556"/>
        <v>55.833333333333336</v>
      </c>
      <c r="S2417" t="str">
        <f t="shared" si="2557"/>
        <v>food</v>
      </c>
      <c r="T2417" t="str">
        <f t="shared" si="2558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ref="K2418:L2418" si="2605">(J2418/60/60/24)+DATE(1970,1,1)</f>
        <v>42019.737766203703</v>
      </c>
      <c r="L2418" s="11">
        <f t="shared" si="2554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555"/>
        <v>2.5000000000000001E-2</v>
      </c>
      <c r="R2418" s="7">
        <f t="shared" si="2556"/>
        <v>5</v>
      </c>
      <c r="S2418" t="str">
        <f t="shared" si="2557"/>
        <v>food</v>
      </c>
      <c r="T2418" t="str">
        <f t="shared" si="2558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ref="K2419:L2419" si="2606">(J2419/60/60/24)+DATE(1970,1,1)</f>
        <v>41831.884108796294</v>
      </c>
      <c r="L2419" s="11">
        <f t="shared" si="2554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555"/>
        <v>0</v>
      </c>
      <c r="R2419" s="7">
        <f t="shared" si="2556"/>
        <v>0</v>
      </c>
      <c r="S2419" t="str">
        <f t="shared" si="2557"/>
        <v>food</v>
      </c>
      <c r="T2419" t="str">
        <f t="shared" si="2558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ref="K2420:L2420" si="2607">(J2420/60/60/24)+DATE(1970,1,1)</f>
        <v>42027.856990740736</v>
      </c>
      <c r="L2420" s="11">
        <f t="shared" si="2554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555"/>
        <v>0.02</v>
      </c>
      <c r="R2420" s="7">
        <f t="shared" si="2556"/>
        <v>1</v>
      </c>
      <c r="S2420" t="str">
        <f t="shared" si="2557"/>
        <v>food</v>
      </c>
      <c r="T2420" t="str">
        <f t="shared" si="2558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ref="K2421:L2421" si="2608">(J2421/60/60/24)+DATE(1970,1,1)</f>
        <v>41993.738298611104</v>
      </c>
      <c r="L2421" s="11">
        <f t="shared" si="2554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555"/>
        <v>0</v>
      </c>
      <c r="R2421" s="7">
        <f t="shared" si="2556"/>
        <v>0</v>
      </c>
      <c r="S2421" t="str">
        <f t="shared" si="2557"/>
        <v>food</v>
      </c>
      <c r="T2421" t="str">
        <f t="shared" si="2558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ref="K2422:L2422" si="2609">(J2422/60/60/24)+DATE(1970,1,1)</f>
        <v>41893.028877314813</v>
      </c>
      <c r="L2422" s="11">
        <f t="shared" si="2554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555"/>
        <v>14.825133372851216</v>
      </c>
      <c r="R2422" s="7">
        <f t="shared" si="2556"/>
        <v>69.472222222222229</v>
      </c>
      <c r="S2422" t="str">
        <f t="shared" si="2557"/>
        <v>food</v>
      </c>
      <c r="T2422" t="str">
        <f t="shared" si="2558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ref="K2423:L2423" si="2610">(J2423/60/60/24)+DATE(1970,1,1)</f>
        <v>42026.687453703707</v>
      </c>
      <c r="L2423" s="11">
        <f t="shared" si="2554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555"/>
        <v>1.6666666666666666E-2</v>
      </c>
      <c r="R2423" s="7">
        <f t="shared" si="2556"/>
        <v>1</v>
      </c>
      <c r="S2423" t="str">
        <f t="shared" si="2557"/>
        <v>food</v>
      </c>
      <c r="T2423" t="str">
        <f t="shared" si="2558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ref="K2424:L2424" si="2611">(J2424/60/60/24)+DATE(1970,1,1)</f>
        <v>42044.724953703699</v>
      </c>
      <c r="L2424" s="11">
        <f t="shared" si="2554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555"/>
        <v>0.2</v>
      </c>
      <c r="R2424" s="7">
        <f t="shared" si="2556"/>
        <v>1</v>
      </c>
      <c r="S2424" t="str">
        <f t="shared" si="2557"/>
        <v>food</v>
      </c>
      <c r="T2424" t="str">
        <f t="shared" si="2558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ref="K2425:L2425" si="2612">(J2425/60/60/24)+DATE(1970,1,1)</f>
        <v>41974.704745370371</v>
      </c>
      <c r="L2425" s="11">
        <f t="shared" si="2554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555"/>
        <v>1.3333333333333334E-2</v>
      </c>
      <c r="R2425" s="7">
        <f t="shared" si="2556"/>
        <v>8</v>
      </c>
      <c r="S2425" t="str">
        <f t="shared" si="2557"/>
        <v>food</v>
      </c>
      <c r="T2425" t="str">
        <f t="shared" si="2558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ref="K2426:L2426" si="2613">(J2426/60/60/24)+DATE(1970,1,1)</f>
        <v>41909.892453703702</v>
      </c>
      <c r="L2426" s="11">
        <f t="shared" si="2554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555"/>
        <v>1.24</v>
      </c>
      <c r="R2426" s="7">
        <f t="shared" si="2556"/>
        <v>34.444444444444443</v>
      </c>
      <c r="S2426" t="str">
        <f t="shared" si="2557"/>
        <v>food</v>
      </c>
      <c r="T2426" t="str">
        <f t="shared" si="2558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ref="K2427:L2427" si="2614">(J2427/60/60/24)+DATE(1970,1,1)</f>
        <v>42502.913761574076</v>
      </c>
      <c r="L2427" s="11">
        <f t="shared" si="2554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555"/>
        <v>2.8571428571428574E-2</v>
      </c>
      <c r="R2427" s="7">
        <f t="shared" si="2556"/>
        <v>1</v>
      </c>
      <c r="S2427" t="str">
        <f t="shared" si="2557"/>
        <v>food</v>
      </c>
      <c r="T2427" t="str">
        <f t="shared" si="2558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ref="K2428:L2428" si="2615">(J2428/60/60/24)+DATE(1970,1,1)</f>
        <v>42164.170046296291</v>
      </c>
      <c r="L2428" s="11">
        <f t="shared" si="2554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555"/>
        <v>0</v>
      </c>
      <c r="R2428" s="7">
        <f t="shared" si="2556"/>
        <v>0</v>
      </c>
      <c r="S2428" t="str">
        <f t="shared" si="2557"/>
        <v>food</v>
      </c>
      <c r="T2428" t="str">
        <f t="shared" si="2558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ref="K2429:L2429" si="2616">(J2429/60/60/24)+DATE(1970,1,1)</f>
        <v>42412.318668981476</v>
      </c>
      <c r="L2429" s="11">
        <f t="shared" si="2554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555"/>
        <v>2E-3</v>
      </c>
      <c r="R2429" s="7">
        <f t="shared" si="2556"/>
        <v>1</v>
      </c>
      <c r="S2429" t="str">
        <f t="shared" si="2557"/>
        <v>food</v>
      </c>
      <c r="T2429" t="str">
        <f t="shared" si="2558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ref="K2430:L2430" si="2617">(J2430/60/60/24)+DATE(1970,1,1)</f>
        <v>42045.784155092595</v>
      </c>
      <c r="L2430" s="11">
        <f t="shared" si="2554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555"/>
        <v>2.8571428571428571E-3</v>
      </c>
      <c r="R2430" s="7">
        <f t="shared" si="2556"/>
        <v>1</v>
      </c>
      <c r="S2430" t="str">
        <f t="shared" si="2557"/>
        <v>food</v>
      </c>
      <c r="T2430" t="str">
        <f t="shared" si="2558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ref="K2431:L2431" si="2618">(J2431/60/60/24)+DATE(1970,1,1)</f>
        <v>42734.879236111112</v>
      </c>
      <c r="L2431" s="11">
        <f t="shared" si="2554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555"/>
        <v>1.4321428571428572</v>
      </c>
      <c r="R2431" s="7">
        <f t="shared" si="2556"/>
        <v>501.25</v>
      </c>
      <c r="S2431" t="str">
        <f t="shared" si="2557"/>
        <v>food</v>
      </c>
      <c r="T2431" t="str">
        <f t="shared" si="2558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ref="K2432:L2432" si="2619">(J2432/60/60/24)+DATE(1970,1,1)</f>
        <v>42382.130833333329</v>
      </c>
      <c r="L2432" s="11">
        <f t="shared" si="2554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555"/>
        <v>0.70000000000000007</v>
      </c>
      <c r="R2432" s="7">
        <f t="shared" si="2556"/>
        <v>10.5</v>
      </c>
      <c r="S2432" t="str">
        <f t="shared" si="2557"/>
        <v>food</v>
      </c>
      <c r="T2432" t="str">
        <f t="shared" si="2558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ref="K2433:L2433" si="2620">(J2433/60/60/24)+DATE(1970,1,1)</f>
        <v>42489.099687499998</v>
      </c>
      <c r="L2433" s="11">
        <f t="shared" si="2554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555"/>
        <v>2E-3</v>
      </c>
      <c r="R2433" s="7">
        <f t="shared" si="2556"/>
        <v>1</v>
      </c>
      <c r="S2433" t="str">
        <f t="shared" si="2557"/>
        <v>food</v>
      </c>
      <c r="T2433" t="str">
        <f t="shared" si="2558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ref="K2434:L2434" si="2621">(J2434/60/60/24)+DATE(1970,1,1)</f>
        <v>42041.218715277777</v>
      </c>
      <c r="L2434" s="11">
        <f t="shared" si="2554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555"/>
        <v>1.4285714285714287E-2</v>
      </c>
      <c r="R2434" s="7">
        <f t="shared" si="2556"/>
        <v>1</v>
      </c>
      <c r="S2434" t="str">
        <f t="shared" si="2557"/>
        <v>food</v>
      </c>
      <c r="T2434" t="str">
        <f t="shared" si="2558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ref="K2435:L2435" si="2622">(J2435/60/60/24)+DATE(1970,1,1)</f>
        <v>42397.89980324074</v>
      </c>
      <c r="L2435" s="11">
        <f t="shared" ref="L2435:L2498" si="2623">(I2435/60/60/24)+DATE(1970,1,1)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624">(E2435/D2435)*100</f>
        <v>0</v>
      </c>
      <c r="R2435" s="7">
        <f t="shared" ref="R2435:R2498" si="2625">IFERROR(E2435/N2435, 0)</f>
        <v>0</v>
      </c>
      <c r="S2435" t="str">
        <f t="shared" ref="S2435:S2498" si="2626">LEFT(P2435, SEARCH("/", P2435,1)-1)</f>
        <v>food</v>
      </c>
      <c r="T2435" t="str">
        <f t="shared" ref="T2435:T2498" si="2627">RIGHT(P2435,LEN(P2435)-SEARCH("/",P2435,SEARCH("/",P2435)))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ref="K2436:L2436" si="2628">(J2436/60/60/24)+DATE(1970,1,1)</f>
        <v>42180.18604166666</v>
      </c>
      <c r="L2436" s="11">
        <f t="shared" si="262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624"/>
        <v>0.13</v>
      </c>
      <c r="R2436" s="7">
        <f t="shared" si="2625"/>
        <v>13</v>
      </c>
      <c r="S2436" t="str">
        <f t="shared" si="2626"/>
        <v>food</v>
      </c>
      <c r="T2436" t="str">
        <f t="shared" si="2627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ref="K2437:L2437" si="2629">(J2437/60/60/24)+DATE(1970,1,1)</f>
        <v>42252.277615740735</v>
      </c>
      <c r="L2437" s="11">
        <f t="shared" si="262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624"/>
        <v>0.48960000000000004</v>
      </c>
      <c r="R2437" s="7">
        <f t="shared" si="2625"/>
        <v>306</v>
      </c>
      <c r="S2437" t="str">
        <f t="shared" si="2626"/>
        <v>food</v>
      </c>
      <c r="T2437" t="str">
        <f t="shared" si="2627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ref="K2438:L2438" si="2630">(J2438/60/60/24)+DATE(1970,1,1)</f>
        <v>42338.615393518514</v>
      </c>
      <c r="L2438" s="11">
        <f t="shared" si="262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624"/>
        <v>3.8461538461538464E-2</v>
      </c>
      <c r="R2438" s="7">
        <f t="shared" si="2625"/>
        <v>22.5</v>
      </c>
      <c r="S2438" t="str">
        <f t="shared" si="2626"/>
        <v>food</v>
      </c>
      <c r="T2438" t="str">
        <f t="shared" si="2627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ref="K2439:L2439" si="2631">(J2439/60/60/24)+DATE(1970,1,1)</f>
        <v>42031.965138888889</v>
      </c>
      <c r="L2439" s="11">
        <f t="shared" si="2623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624"/>
        <v>0</v>
      </c>
      <c r="R2439" s="7">
        <f t="shared" si="2625"/>
        <v>0</v>
      </c>
      <c r="S2439" t="str">
        <f t="shared" si="2626"/>
        <v>food</v>
      </c>
      <c r="T2439" t="str">
        <f t="shared" si="2627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ref="K2440:L2440" si="2632">(J2440/60/60/24)+DATE(1970,1,1)</f>
        <v>42285.91506944444</v>
      </c>
      <c r="L2440" s="11">
        <f t="shared" si="262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624"/>
        <v>0.33333333333333337</v>
      </c>
      <c r="R2440" s="7">
        <f t="shared" si="2625"/>
        <v>50</v>
      </c>
      <c r="S2440" t="str">
        <f t="shared" si="2626"/>
        <v>food</v>
      </c>
      <c r="T2440" t="str">
        <f t="shared" si="2627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ref="K2441:L2441" si="2633">(J2441/60/60/24)+DATE(1970,1,1)</f>
        <v>42265.818622685183</v>
      </c>
      <c r="L2441" s="11">
        <f t="shared" si="262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624"/>
        <v>0</v>
      </c>
      <c r="R2441" s="7">
        <f t="shared" si="2625"/>
        <v>0</v>
      </c>
      <c r="S2441" t="str">
        <f t="shared" si="2626"/>
        <v>food</v>
      </c>
      <c r="T2441" t="str">
        <f t="shared" si="2627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ref="K2442:L2442" si="2634">(J2442/60/60/24)+DATE(1970,1,1)</f>
        <v>42383.899456018517</v>
      </c>
      <c r="L2442" s="11">
        <f t="shared" si="262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624"/>
        <v>0.2</v>
      </c>
      <c r="R2442" s="7">
        <f t="shared" si="2625"/>
        <v>5</v>
      </c>
      <c r="S2442" t="str">
        <f t="shared" si="2626"/>
        <v>food</v>
      </c>
      <c r="T2442" t="str">
        <f t="shared" si="2627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ref="K2443:L2443" si="2635">(J2443/60/60/24)+DATE(1970,1,1)</f>
        <v>42187.125625000001</v>
      </c>
      <c r="L2443" s="11">
        <f t="shared" si="262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624"/>
        <v>107.88</v>
      </c>
      <c r="R2443" s="7">
        <f t="shared" si="2625"/>
        <v>74.22935779816514</v>
      </c>
      <c r="S2443" t="str">
        <f t="shared" si="2626"/>
        <v>food</v>
      </c>
      <c r="T2443" t="str">
        <f t="shared" si="2627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ref="K2444:L2444" si="2636">(J2444/60/60/24)+DATE(1970,1,1)</f>
        <v>42052.666990740734</v>
      </c>
      <c r="L2444" s="11">
        <f t="shared" si="262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624"/>
        <v>125.94166666666666</v>
      </c>
      <c r="R2444" s="7">
        <f t="shared" si="2625"/>
        <v>81.252688172043008</v>
      </c>
      <c r="S2444" t="str">
        <f t="shared" si="2626"/>
        <v>food</v>
      </c>
      <c r="T2444" t="str">
        <f t="shared" si="2627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ref="K2445:L2445" si="2637">(J2445/60/60/24)+DATE(1970,1,1)</f>
        <v>41836.625254629631</v>
      </c>
      <c r="L2445" s="11">
        <f t="shared" si="262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624"/>
        <v>202.51495</v>
      </c>
      <c r="R2445" s="7">
        <f t="shared" si="2625"/>
        <v>130.23469453376205</v>
      </c>
      <c r="S2445" t="str">
        <f t="shared" si="2626"/>
        <v>food</v>
      </c>
      <c r="T2445" t="str">
        <f t="shared" si="2627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ref="K2446:L2446" si="2638">(J2446/60/60/24)+DATE(1970,1,1)</f>
        <v>42485.754525462966</v>
      </c>
      <c r="L2446" s="11">
        <f t="shared" si="262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624"/>
        <v>108.60000000000001</v>
      </c>
      <c r="R2446" s="7">
        <f t="shared" si="2625"/>
        <v>53.409836065573771</v>
      </c>
      <c r="S2446" t="str">
        <f t="shared" si="2626"/>
        <v>food</v>
      </c>
      <c r="T2446" t="str">
        <f t="shared" si="2627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ref="K2447:L2447" si="2639">(J2447/60/60/24)+DATE(1970,1,1)</f>
        <v>42243.190057870372</v>
      </c>
      <c r="L2447" s="11">
        <f t="shared" si="262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624"/>
        <v>172.8</v>
      </c>
      <c r="R2447" s="7">
        <f t="shared" si="2625"/>
        <v>75.130434782608702</v>
      </c>
      <c r="S2447" t="str">
        <f t="shared" si="2626"/>
        <v>food</v>
      </c>
      <c r="T2447" t="str">
        <f t="shared" si="2627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ref="K2448:L2448" si="2640">(J2448/60/60/24)+DATE(1970,1,1)</f>
        <v>42670.602673611109</v>
      </c>
      <c r="L2448" s="11">
        <f t="shared" si="262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624"/>
        <v>167.98</v>
      </c>
      <c r="R2448" s="7">
        <f t="shared" si="2625"/>
        <v>75.666666666666671</v>
      </c>
      <c r="S2448" t="str">
        <f t="shared" si="2626"/>
        <v>food</v>
      </c>
      <c r="T2448" t="str">
        <f t="shared" si="2627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ref="K2449:L2449" si="2641">(J2449/60/60/24)+DATE(1970,1,1)</f>
        <v>42654.469826388886</v>
      </c>
      <c r="L2449" s="11">
        <f t="shared" si="262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624"/>
        <v>427.20000000000005</v>
      </c>
      <c r="R2449" s="7">
        <f t="shared" si="2625"/>
        <v>31.691394658753708</v>
      </c>
      <c r="S2449" t="str">
        <f t="shared" si="2626"/>
        <v>food</v>
      </c>
      <c r="T2449" t="str">
        <f t="shared" si="2627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ref="K2450:L2450" si="2642">(J2450/60/60/24)+DATE(1970,1,1)</f>
        <v>42607.316122685181</v>
      </c>
      <c r="L2450" s="11">
        <f t="shared" si="262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624"/>
        <v>107.5</v>
      </c>
      <c r="R2450" s="7">
        <f t="shared" si="2625"/>
        <v>47.777777777777779</v>
      </c>
      <c r="S2450" t="str">
        <f t="shared" si="2626"/>
        <v>food</v>
      </c>
      <c r="T2450" t="str">
        <f t="shared" si="2627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ref="K2451:L2451" si="2643">(J2451/60/60/24)+DATE(1970,1,1)</f>
        <v>41943.142534722225</v>
      </c>
      <c r="L2451" s="11">
        <f t="shared" si="262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624"/>
        <v>108</v>
      </c>
      <c r="R2451" s="7">
        <f t="shared" si="2625"/>
        <v>90</v>
      </c>
      <c r="S2451" t="str">
        <f t="shared" si="2626"/>
        <v>food</v>
      </c>
      <c r="T2451" t="str">
        <f t="shared" si="2627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ref="K2452:L2452" si="2644">(J2452/60/60/24)+DATE(1970,1,1)</f>
        <v>41902.07240740741</v>
      </c>
      <c r="L2452" s="11">
        <f t="shared" si="262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624"/>
        <v>101.53353333333335</v>
      </c>
      <c r="R2452" s="7">
        <f t="shared" si="2625"/>
        <v>149.31401960784314</v>
      </c>
      <c r="S2452" t="str">
        <f t="shared" si="2626"/>
        <v>food</v>
      </c>
      <c r="T2452" t="str">
        <f t="shared" si="2627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ref="K2453:L2453" si="2645">(J2453/60/60/24)+DATE(1970,1,1)</f>
        <v>42779.908449074079</v>
      </c>
      <c r="L2453" s="11">
        <f t="shared" si="262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624"/>
        <v>115.45</v>
      </c>
      <c r="R2453" s="7">
        <f t="shared" si="2625"/>
        <v>62.06989247311828</v>
      </c>
      <c r="S2453" t="str">
        <f t="shared" si="2626"/>
        <v>food</v>
      </c>
      <c r="T2453" t="str">
        <f t="shared" si="2627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ref="K2454:L2454" si="2646">(J2454/60/60/24)+DATE(1970,1,1)</f>
        <v>42338.84375</v>
      </c>
      <c r="L2454" s="11">
        <f t="shared" si="262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624"/>
        <v>133.5</v>
      </c>
      <c r="R2454" s="7">
        <f t="shared" si="2625"/>
        <v>53.4</v>
      </c>
      <c r="S2454" t="str">
        <f t="shared" si="2626"/>
        <v>food</v>
      </c>
      <c r="T2454" t="str">
        <f t="shared" si="2627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ref="K2455:L2455" si="2647">(J2455/60/60/24)+DATE(1970,1,1)</f>
        <v>42738.692233796297</v>
      </c>
      <c r="L2455" s="11">
        <f t="shared" si="262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624"/>
        <v>154.69999999999999</v>
      </c>
      <c r="R2455" s="7">
        <f t="shared" si="2625"/>
        <v>69.268656716417908</v>
      </c>
      <c r="S2455" t="str">
        <f t="shared" si="2626"/>
        <v>food</v>
      </c>
      <c r="T2455" t="str">
        <f t="shared" si="2627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ref="K2456:L2456" si="2648">(J2456/60/60/24)+DATE(1970,1,1)</f>
        <v>42770.201481481476</v>
      </c>
      <c r="L2456" s="11">
        <f t="shared" si="262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624"/>
        <v>100.84571428571429</v>
      </c>
      <c r="R2456" s="7">
        <f t="shared" si="2625"/>
        <v>271.50769230769231</v>
      </c>
      <c r="S2456" t="str">
        <f t="shared" si="2626"/>
        <v>food</v>
      </c>
      <c r="T2456" t="str">
        <f t="shared" si="2627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ref="K2457:L2457" si="2649">(J2457/60/60/24)+DATE(1970,1,1)</f>
        <v>42452.781828703708</v>
      </c>
      <c r="L2457" s="11">
        <f t="shared" si="262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624"/>
        <v>182</v>
      </c>
      <c r="R2457" s="7">
        <f t="shared" si="2625"/>
        <v>34.125</v>
      </c>
      <c r="S2457" t="str">
        <f t="shared" si="2626"/>
        <v>food</v>
      </c>
      <c r="T2457" t="str">
        <f t="shared" si="2627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ref="K2458:L2458" si="2650">(J2458/60/60/24)+DATE(1970,1,1)</f>
        <v>42761.961099537039</v>
      </c>
      <c r="L2458" s="11">
        <f t="shared" si="262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624"/>
        <v>180.86666666666667</v>
      </c>
      <c r="R2458" s="7">
        <f t="shared" si="2625"/>
        <v>40.492537313432834</v>
      </c>
      <c r="S2458" t="str">
        <f t="shared" si="2626"/>
        <v>food</v>
      </c>
      <c r="T2458" t="str">
        <f t="shared" si="2627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ref="K2459:L2459" si="2651">(J2459/60/60/24)+DATE(1970,1,1)</f>
        <v>42423.602500000001</v>
      </c>
      <c r="L2459" s="11">
        <f t="shared" si="262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624"/>
        <v>102.30434782608695</v>
      </c>
      <c r="R2459" s="7">
        <f t="shared" si="2625"/>
        <v>189.75806451612902</v>
      </c>
      <c r="S2459" t="str">
        <f t="shared" si="2626"/>
        <v>food</v>
      </c>
      <c r="T2459" t="str">
        <f t="shared" si="2627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ref="K2460:L2460" si="2652">(J2460/60/60/24)+DATE(1970,1,1)</f>
        <v>42495.871736111112</v>
      </c>
      <c r="L2460" s="11">
        <f t="shared" si="262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624"/>
        <v>110.17999999999999</v>
      </c>
      <c r="R2460" s="7">
        <f t="shared" si="2625"/>
        <v>68.862499999999997</v>
      </c>
      <c r="S2460" t="str">
        <f t="shared" si="2626"/>
        <v>food</v>
      </c>
      <c r="T2460" t="str">
        <f t="shared" si="2627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ref="K2461:L2461" si="2653">(J2461/60/60/24)+DATE(1970,1,1)</f>
        <v>42407.637557870374</v>
      </c>
      <c r="L2461" s="11">
        <f t="shared" si="262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624"/>
        <v>102.25</v>
      </c>
      <c r="R2461" s="7">
        <f t="shared" si="2625"/>
        <v>108.77659574468085</v>
      </c>
      <c r="S2461" t="str">
        <f t="shared" si="2626"/>
        <v>food</v>
      </c>
      <c r="T2461" t="str">
        <f t="shared" si="2627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ref="K2462:L2462" si="2654">(J2462/60/60/24)+DATE(1970,1,1)</f>
        <v>42704.187118055561</v>
      </c>
      <c r="L2462" s="11">
        <f t="shared" si="262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624"/>
        <v>100.78823529411764</v>
      </c>
      <c r="R2462" s="7">
        <f t="shared" si="2625"/>
        <v>125.98529411764706</v>
      </c>
      <c r="S2462" t="str">
        <f t="shared" si="2626"/>
        <v>food</v>
      </c>
      <c r="T2462" t="str">
        <f t="shared" si="2627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ref="K2463:L2463" si="2655">(J2463/60/60/24)+DATE(1970,1,1)</f>
        <v>40784.012696759259</v>
      </c>
      <c r="L2463" s="11">
        <f t="shared" si="2623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624"/>
        <v>103.8</v>
      </c>
      <c r="R2463" s="7">
        <f t="shared" si="2625"/>
        <v>90.523255813953483</v>
      </c>
      <c r="S2463" t="str">
        <f t="shared" si="2626"/>
        <v>music</v>
      </c>
      <c r="T2463" t="str">
        <f t="shared" si="2627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ref="K2464:L2464" si="2656">(J2464/60/60/24)+DATE(1970,1,1)</f>
        <v>41089.186296296299</v>
      </c>
      <c r="L2464" s="11">
        <f t="shared" si="262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624"/>
        <v>110.70833333333334</v>
      </c>
      <c r="R2464" s="7">
        <f t="shared" si="2625"/>
        <v>28.880434782608695</v>
      </c>
      <c r="S2464" t="str">
        <f t="shared" si="2626"/>
        <v>music</v>
      </c>
      <c r="T2464" t="str">
        <f t="shared" si="2627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ref="K2465:L2465" si="2657">(J2465/60/60/24)+DATE(1970,1,1)</f>
        <v>41341.111400462964</v>
      </c>
      <c r="L2465" s="11">
        <f t="shared" si="262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624"/>
        <v>116.25000000000001</v>
      </c>
      <c r="R2465" s="7">
        <f t="shared" si="2625"/>
        <v>31</v>
      </c>
      <c r="S2465" t="str">
        <f t="shared" si="2626"/>
        <v>music</v>
      </c>
      <c r="T2465" t="str">
        <f t="shared" si="2627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ref="K2466:L2466" si="2658">(J2466/60/60/24)+DATE(1970,1,1)</f>
        <v>42248.90042824074</v>
      </c>
      <c r="L2466" s="11">
        <f t="shared" si="262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624"/>
        <v>111.1</v>
      </c>
      <c r="R2466" s="7">
        <f t="shared" si="2625"/>
        <v>51.674418604651166</v>
      </c>
      <c r="S2466" t="str">
        <f t="shared" si="2626"/>
        <v>music</v>
      </c>
      <c r="T2466" t="str">
        <f t="shared" si="2627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ref="K2467:L2467" si="2659">(J2467/60/60/24)+DATE(1970,1,1)</f>
        <v>41145.719305555554</v>
      </c>
      <c r="L2467" s="11">
        <f t="shared" si="262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624"/>
        <v>180.14285714285714</v>
      </c>
      <c r="R2467" s="7">
        <f t="shared" si="2625"/>
        <v>26.270833333333332</v>
      </c>
      <c r="S2467" t="str">
        <f t="shared" si="2626"/>
        <v>music</v>
      </c>
      <c r="T2467" t="str">
        <f t="shared" si="2627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ref="K2468:L2468" si="2660">(J2468/60/60/24)+DATE(1970,1,1)</f>
        <v>41373.102465277778</v>
      </c>
      <c r="L2468" s="11">
        <f t="shared" si="262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624"/>
        <v>100</v>
      </c>
      <c r="R2468" s="7">
        <f t="shared" si="2625"/>
        <v>48.07692307692308</v>
      </c>
      <c r="S2468" t="str">
        <f t="shared" si="2626"/>
        <v>music</v>
      </c>
      <c r="T2468" t="str">
        <f t="shared" si="2627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ref="K2469:L2469" si="2661">(J2469/60/60/24)+DATE(1970,1,1)</f>
        <v>41025.874201388891</v>
      </c>
      <c r="L2469" s="11">
        <f t="shared" si="262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624"/>
        <v>118.5</v>
      </c>
      <c r="R2469" s="7">
        <f t="shared" si="2625"/>
        <v>27.558139534883722</v>
      </c>
      <c r="S2469" t="str">
        <f t="shared" si="2626"/>
        <v>music</v>
      </c>
      <c r="T2469" t="str">
        <f t="shared" si="2627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ref="K2470:L2470" si="2662">(J2470/60/60/24)+DATE(1970,1,1)</f>
        <v>41174.154178240737</v>
      </c>
      <c r="L2470" s="11">
        <f t="shared" si="262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624"/>
        <v>107.21700000000001</v>
      </c>
      <c r="R2470" s="7">
        <f t="shared" si="2625"/>
        <v>36.97137931034483</v>
      </c>
      <c r="S2470" t="str">
        <f t="shared" si="2626"/>
        <v>music</v>
      </c>
      <c r="T2470" t="str">
        <f t="shared" si="2627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ref="K2471:L2471" si="2663">(J2471/60/60/24)+DATE(1970,1,1)</f>
        <v>40557.429733796293</v>
      </c>
      <c r="L2471" s="11">
        <f t="shared" si="262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624"/>
        <v>113.66666666666667</v>
      </c>
      <c r="R2471" s="7">
        <f t="shared" si="2625"/>
        <v>29.021276595744681</v>
      </c>
      <c r="S2471" t="str">
        <f t="shared" si="2626"/>
        <v>music</v>
      </c>
      <c r="T2471" t="str">
        <f t="shared" si="2627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ref="K2472:L2472" si="2664">(J2472/60/60/24)+DATE(1970,1,1)</f>
        <v>41023.07471064815</v>
      </c>
      <c r="L2472" s="11">
        <f t="shared" si="262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624"/>
        <v>103.16400000000002</v>
      </c>
      <c r="R2472" s="7">
        <f t="shared" si="2625"/>
        <v>28.65666666666667</v>
      </c>
      <c r="S2472" t="str">
        <f t="shared" si="2626"/>
        <v>music</v>
      </c>
      <c r="T2472" t="str">
        <f t="shared" si="2627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ref="K2473:L2473" si="2665">(J2473/60/60/24)+DATE(1970,1,1)</f>
        <v>40893.992962962962</v>
      </c>
      <c r="L2473" s="11">
        <f t="shared" si="262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624"/>
        <v>128</v>
      </c>
      <c r="R2473" s="7">
        <f t="shared" si="2625"/>
        <v>37.647058823529413</v>
      </c>
      <c r="S2473" t="str">
        <f t="shared" si="2626"/>
        <v>music</v>
      </c>
      <c r="T2473" t="str">
        <f t="shared" si="2627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ref="K2474:L2474" si="2666">(J2474/60/60/24)+DATE(1970,1,1)</f>
        <v>40354.11550925926</v>
      </c>
      <c r="L2474" s="11">
        <f t="shared" si="262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624"/>
        <v>135.76026666666667</v>
      </c>
      <c r="R2474" s="7">
        <f t="shared" si="2625"/>
        <v>97.904038461538462</v>
      </c>
      <c r="S2474" t="str">
        <f t="shared" si="2626"/>
        <v>music</v>
      </c>
      <c r="T2474" t="str">
        <f t="shared" si="2627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ref="K2475:L2475" si="2667">(J2475/60/60/24)+DATE(1970,1,1)</f>
        <v>41193.748483796298</v>
      </c>
      <c r="L2475" s="11">
        <f t="shared" si="262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624"/>
        <v>100</v>
      </c>
      <c r="R2475" s="7">
        <f t="shared" si="2625"/>
        <v>42.553191489361701</v>
      </c>
      <c r="S2475" t="str">
        <f t="shared" si="2626"/>
        <v>music</v>
      </c>
      <c r="T2475" t="str">
        <f t="shared" si="2627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ref="K2476:L2476" si="2668">(J2476/60/60/24)+DATE(1970,1,1)</f>
        <v>40417.011296296296</v>
      </c>
      <c r="L2476" s="11">
        <f t="shared" si="262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624"/>
        <v>100.00360000000002</v>
      </c>
      <c r="R2476" s="7">
        <f t="shared" si="2625"/>
        <v>131.58368421052631</v>
      </c>
      <c r="S2476" t="str">
        <f t="shared" si="2626"/>
        <v>music</v>
      </c>
      <c r="T2476" t="str">
        <f t="shared" si="2627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ref="K2477:L2477" si="2669">(J2477/60/60/24)+DATE(1970,1,1)</f>
        <v>40310.287673611114</v>
      </c>
      <c r="L2477" s="11">
        <f t="shared" si="262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624"/>
        <v>104.71999999999998</v>
      </c>
      <c r="R2477" s="7">
        <f t="shared" si="2625"/>
        <v>32.320987654320987</v>
      </c>
      <c r="S2477" t="str">
        <f t="shared" si="2626"/>
        <v>music</v>
      </c>
      <c r="T2477" t="str">
        <f t="shared" si="2627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ref="K2478:L2478" si="2670">(J2478/60/60/24)+DATE(1970,1,1)</f>
        <v>41913.328356481477</v>
      </c>
      <c r="L2478" s="11">
        <f t="shared" si="262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624"/>
        <v>105.02249999999999</v>
      </c>
      <c r="R2478" s="7">
        <f t="shared" si="2625"/>
        <v>61.103999999999999</v>
      </c>
      <c r="S2478" t="str">
        <f t="shared" si="2626"/>
        <v>music</v>
      </c>
      <c r="T2478" t="str">
        <f t="shared" si="2627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ref="K2479:L2479" si="2671">(J2479/60/60/24)+DATE(1970,1,1)</f>
        <v>41088.691493055558</v>
      </c>
      <c r="L2479" s="11">
        <f t="shared" si="262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624"/>
        <v>171.33333333333334</v>
      </c>
      <c r="R2479" s="7">
        <f t="shared" si="2625"/>
        <v>31.341463414634145</v>
      </c>
      <c r="S2479" t="str">
        <f t="shared" si="2626"/>
        <v>music</v>
      </c>
      <c r="T2479" t="str">
        <f t="shared" si="2627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ref="K2480:L2480" si="2672">(J2480/60/60/24)+DATE(1970,1,1)</f>
        <v>41257.950381944444</v>
      </c>
      <c r="L2480" s="11">
        <f t="shared" si="262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624"/>
        <v>127.49999999999999</v>
      </c>
      <c r="R2480" s="7">
        <f t="shared" si="2625"/>
        <v>129.1139240506329</v>
      </c>
      <c r="S2480" t="str">
        <f t="shared" si="2626"/>
        <v>music</v>
      </c>
      <c r="T2480" t="str">
        <f t="shared" si="2627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ref="K2481:L2481" si="2673">(J2481/60/60/24)+DATE(1970,1,1)</f>
        <v>41107.726782407408</v>
      </c>
      <c r="L2481" s="11">
        <f t="shared" si="262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624"/>
        <v>133.44333333333333</v>
      </c>
      <c r="R2481" s="7">
        <f t="shared" si="2625"/>
        <v>25.020624999999999</v>
      </c>
      <c r="S2481" t="str">
        <f t="shared" si="2626"/>
        <v>music</v>
      </c>
      <c r="T2481" t="str">
        <f t="shared" si="2627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ref="K2482:L2482" si="2674">(J2482/60/60/24)+DATE(1970,1,1)</f>
        <v>42227.936157407406</v>
      </c>
      <c r="L2482" s="11">
        <f t="shared" si="262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624"/>
        <v>100</v>
      </c>
      <c r="R2482" s="7">
        <f t="shared" si="2625"/>
        <v>250</v>
      </c>
      <c r="S2482" t="str">
        <f t="shared" si="2626"/>
        <v>music</v>
      </c>
      <c r="T2482" t="str">
        <f t="shared" si="2627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ref="K2483:L2483" si="2675">(J2483/60/60/24)+DATE(1970,1,1)</f>
        <v>40999.645925925928</v>
      </c>
      <c r="L2483" s="11">
        <f t="shared" si="262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624"/>
        <v>112.91099999999999</v>
      </c>
      <c r="R2483" s="7">
        <f t="shared" si="2625"/>
        <v>47.541473684210523</v>
      </c>
      <c r="S2483" t="str">
        <f t="shared" si="2626"/>
        <v>music</v>
      </c>
      <c r="T2483" t="str">
        <f t="shared" si="2627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ref="K2484:L2484" si="2676">(J2484/60/60/24)+DATE(1970,1,1)</f>
        <v>40711.782210648147</v>
      </c>
      <c r="L2484" s="11">
        <f t="shared" si="262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624"/>
        <v>100.1</v>
      </c>
      <c r="R2484" s="7">
        <f t="shared" si="2625"/>
        <v>40.04</v>
      </c>
      <c r="S2484" t="str">
        <f t="shared" si="2626"/>
        <v>music</v>
      </c>
      <c r="T2484" t="str">
        <f t="shared" si="2627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ref="K2485:L2485" si="2677">(J2485/60/60/24)+DATE(1970,1,1)</f>
        <v>40970.750034722223</v>
      </c>
      <c r="L2485" s="11">
        <f t="shared" si="262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624"/>
        <v>113.72727272727272</v>
      </c>
      <c r="R2485" s="7">
        <f t="shared" si="2625"/>
        <v>65.84210526315789</v>
      </c>
      <c r="S2485" t="str">
        <f t="shared" si="2626"/>
        <v>music</v>
      </c>
      <c r="T2485" t="str">
        <f t="shared" si="2627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ref="K2486:L2486" si="2678">(J2486/60/60/24)+DATE(1970,1,1)</f>
        <v>40771.916701388887</v>
      </c>
      <c r="L2486" s="11">
        <f t="shared" si="262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624"/>
        <v>119.31742857142855</v>
      </c>
      <c r="R2486" s="7">
        <f t="shared" si="2625"/>
        <v>46.401222222222216</v>
      </c>
      <c r="S2486" t="str">
        <f t="shared" si="2626"/>
        <v>music</v>
      </c>
      <c r="T2486" t="str">
        <f t="shared" si="2627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ref="K2487:L2487" si="2679">(J2487/60/60/24)+DATE(1970,1,1)</f>
        <v>40793.998599537037</v>
      </c>
      <c r="L2487" s="11">
        <f t="shared" si="262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624"/>
        <v>103.25</v>
      </c>
      <c r="R2487" s="7">
        <f t="shared" si="2625"/>
        <v>50.365853658536587</v>
      </c>
      <c r="S2487" t="str">
        <f t="shared" si="2626"/>
        <v>music</v>
      </c>
      <c r="T2487" t="str">
        <f t="shared" si="2627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ref="K2488:L2488" si="2680">(J2488/60/60/24)+DATE(1970,1,1)</f>
        <v>40991.708055555559</v>
      </c>
      <c r="L2488" s="11">
        <f t="shared" si="262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624"/>
        <v>265.66666666666669</v>
      </c>
      <c r="R2488" s="7">
        <f t="shared" si="2625"/>
        <v>26.566666666666666</v>
      </c>
      <c r="S2488" t="str">
        <f t="shared" si="2626"/>
        <v>music</v>
      </c>
      <c r="T2488" t="str">
        <f t="shared" si="2627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ref="K2489:L2489" si="2681">(J2489/60/60/24)+DATE(1970,1,1)</f>
        <v>41026.083298611113</v>
      </c>
      <c r="L2489" s="11">
        <f t="shared" si="262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624"/>
        <v>100.05066666666667</v>
      </c>
      <c r="R2489" s="7">
        <f t="shared" si="2625"/>
        <v>39.493684210526318</v>
      </c>
      <c r="S2489" t="str">
        <f t="shared" si="2626"/>
        <v>music</v>
      </c>
      <c r="T2489" t="str">
        <f t="shared" si="2627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ref="K2490:L2490" si="2682">(J2490/60/60/24)+DATE(1970,1,1)</f>
        <v>40833.633194444446</v>
      </c>
      <c r="L2490" s="11">
        <f t="shared" si="262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624"/>
        <v>106.69999999999999</v>
      </c>
      <c r="R2490" s="7">
        <f t="shared" si="2625"/>
        <v>49.246153846153845</v>
      </c>
      <c r="S2490" t="str">
        <f t="shared" si="2626"/>
        <v>music</v>
      </c>
      <c r="T2490" t="str">
        <f t="shared" si="2627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ref="K2491:L2491" si="2683">(J2491/60/60/24)+DATE(1970,1,1)</f>
        <v>41373.690266203703</v>
      </c>
      <c r="L2491" s="11">
        <f t="shared" si="262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624"/>
        <v>133.67142857142858</v>
      </c>
      <c r="R2491" s="7">
        <f t="shared" si="2625"/>
        <v>62.38</v>
      </c>
      <c r="S2491" t="str">
        <f t="shared" si="2626"/>
        <v>music</v>
      </c>
      <c r="T2491" t="str">
        <f t="shared" si="2627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ref="K2492:L2492" si="2684">(J2492/60/60/24)+DATE(1970,1,1)</f>
        <v>41023.227731481478</v>
      </c>
      <c r="L2492" s="11">
        <f t="shared" si="262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624"/>
        <v>121.39999999999999</v>
      </c>
      <c r="R2492" s="7">
        <f t="shared" si="2625"/>
        <v>37.9375</v>
      </c>
      <c r="S2492" t="str">
        <f t="shared" si="2626"/>
        <v>music</v>
      </c>
      <c r="T2492" t="str">
        <f t="shared" si="2627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ref="K2493:L2493" si="2685">(J2493/60/60/24)+DATE(1970,1,1)</f>
        <v>40542.839282407411</v>
      </c>
      <c r="L2493" s="11">
        <f t="shared" si="262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624"/>
        <v>103.2</v>
      </c>
      <c r="R2493" s="7">
        <f t="shared" si="2625"/>
        <v>51.6</v>
      </c>
      <c r="S2493" t="str">
        <f t="shared" si="2626"/>
        <v>music</v>
      </c>
      <c r="T2493" t="str">
        <f t="shared" si="2627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ref="K2494:L2494" si="2686">(J2494/60/60/24)+DATE(1970,1,1)</f>
        <v>41024.985972222225</v>
      </c>
      <c r="L2494" s="11">
        <f t="shared" si="262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624"/>
        <v>125</v>
      </c>
      <c r="R2494" s="7">
        <f t="shared" si="2625"/>
        <v>27.777777777777779</v>
      </c>
      <c r="S2494" t="str">
        <f t="shared" si="2626"/>
        <v>music</v>
      </c>
      <c r="T2494" t="str">
        <f t="shared" si="2627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ref="K2495:L2495" si="2687">(J2495/60/60/24)+DATE(1970,1,1)</f>
        <v>41348.168287037035</v>
      </c>
      <c r="L2495" s="11">
        <f t="shared" si="262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624"/>
        <v>128.69999999999999</v>
      </c>
      <c r="R2495" s="7">
        <f t="shared" si="2625"/>
        <v>99.382239382239376</v>
      </c>
      <c r="S2495" t="str">
        <f t="shared" si="2626"/>
        <v>music</v>
      </c>
      <c r="T2495" t="str">
        <f t="shared" si="2627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ref="K2496:L2496" si="2688">(J2496/60/60/24)+DATE(1970,1,1)</f>
        <v>41022.645185185182</v>
      </c>
      <c r="L2496" s="11">
        <f t="shared" si="262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624"/>
        <v>101.00533333333333</v>
      </c>
      <c r="R2496" s="7">
        <f t="shared" si="2625"/>
        <v>38.848205128205123</v>
      </c>
      <c r="S2496" t="str">
        <f t="shared" si="2626"/>
        <v>music</v>
      </c>
      <c r="T2496" t="str">
        <f t="shared" si="2627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ref="K2497:L2497" si="2689">(J2497/60/60/24)+DATE(1970,1,1)</f>
        <v>41036.946469907409</v>
      </c>
      <c r="L2497" s="11">
        <f t="shared" si="262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624"/>
        <v>127.53666666666665</v>
      </c>
      <c r="R2497" s="7">
        <f t="shared" si="2625"/>
        <v>45.548809523809524</v>
      </c>
      <c r="S2497" t="str">
        <f t="shared" si="2626"/>
        <v>music</v>
      </c>
      <c r="T2497" t="str">
        <f t="shared" si="2627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ref="K2498:L2498" si="2690">(J2498/60/60/24)+DATE(1970,1,1)</f>
        <v>41327.996435185189</v>
      </c>
      <c r="L2498" s="11">
        <f t="shared" si="262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624"/>
        <v>100</v>
      </c>
      <c r="R2498" s="7">
        <f t="shared" si="2625"/>
        <v>600</v>
      </c>
      <c r="S2498" t="str">
        <f t="shared" si="2626"/>
        <v>music</v>
      </c>
      <c r="T2498" t="str">
        <f t="shared" si="2627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ref="K2499:L2499" si="2691">(J2499/60/60/24)+DATE(1970,1,1)</f>
        <v>40730.878912037035</v>
      </c>
      <c r="L2499" s="11">
        <f t="shared" ref="L2499:L2562" si="2692">(I2499/60/60/24)+DATE(1970,1,1)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693">(E2499/D2499)*100</f>
        <v>112.7715</v>
      </c>
      <c r="R2499" s="7">
        <f t="shared" ref="R2499:R2562" si="2694">IFERROR(E2499/N2499, 0)</f>
        <v>80.551071428571419</v>
      </c>
      <c r="S2499" t="str">
        <f t="shared" ref="S2499:S2562" si="2695">LEFT(P2499, SEARCH("/", P2499,1)-1)</f>
        <v>music</v>
      </c>
      <c r="T2499" t="str">
        <f t="shared" ref="T2499:T2562" si="2696">RIGHT(P2499,LEN(P2499)-SEARCH("/",P2499,SEARCH("/",P2499)))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ref="K2500:L2500" si="2697">(J2500/60/60/24)+DATE(1970,1,1)</f>
        <v>42017.967442129629</v>
      </c>
      <c r="L2500" s="11">
        <f t="shared" si="2692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693"/>
        <v>105.60000000000001</v>
      </c>
      <c r="R2500" s="7">
        <f t="shared" si="2694"/>
        <v>52.8</v>
      </c>
      <c r="S2500" t="str">
        <f t="shared" si="2695"/>
        <v>music</v>
      </c>
      <c r="T2500" t="str">
        <f t="shared" si="2696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ref="K2501:L2501" si="2698">(J2501/60/60/24)+DATE(1970,1,1)</f>
        <v>41226.648576388885</v>
      </c>
      <c r="L2501" s="11">
        <f t="shared" si="2692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693"/>
        <v>202.625</v>
      </c>
      <c r="R2501" s="7">
        <f t="shared" si="2694"/>
        <v>47.676470588235297</v>
      </c>
      <c r="S2501" t="str">
        <f t="shared" si="2695"/>
        <v>music</v>
      </c>
      <c r="T2501" t="str">
        <f t="shared" si="2696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ref="K2502:L2502" si="2699">(J2502/60/60/24)+DATE(1970,1,1)</f>
        <v>41053.772858796299</v>
      </c>
      <c r="L2502" s="11">
        <f t="shared" si="2692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693"/>
        <v>113.33333333333333</v>
      </c>
      <c r="R2502" s="7">
        <f t="shared" si="2694"/>
        <v>23.448275862068964</v>
      </c>
      <c r="S2502" t="str">
        <f t="shared" si="2695"/>
        <v>music</v>
      </c>
      <c r="T2502" t="str">
        <f t="shared" si="2696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ref="K2503:L2503" si="2700">(J2503/60/60/24)+DATE(1970,1,1)</f>
        <v>42244.776666666665</v>
      </c>
      <c r="L2503" s="11">
        <f t="shared" si="2692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693"/>
        <v>2.5545454545454547</v>
      </c>
      <c r="R2503" s="7">
        <f t="shared" si="2694"/>
        <v>40.142857142857146</v>
      </c>
      <c r="S2503" t="str">
        <f t="shared" si="2695"/>
        <v>food</v>
      </c>
      <c r="T2503" t="str">
        <f t="shared" si="2696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ref="K2504:L2504" si="2701">(J2504/60/60/24)+DATE(1970,1,1)</f>
        <v>41858.825439814813</v>
      </c>
      <c r="L2504" s="11">
        <f t="shared" si="2692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693"/>
        <v>7.8181818181818186E-2</v>
      </c>
      <c r="R2504" s="7">
        <f t="shared" si="2694"/>
        <v>17.2</v>
      </c>
      <c r="S2504" t="str">
        <f t="shared" si="2695"/>
        <v>food</v>
      </c>
      <c r="T2504" t="str">
        <f t="shared" si="2696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ref="K2505:L2505" si="2702">(J2505/60/60/24)+DATE(1970,1,1)</f>
        <v>42498.899398148147</v>
      </c>
      <c r="L2505" s="11">
        <f t="shared" si="2692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693"/>
        <v>0</v>
      </c>
      <c r="R2505" s="7">
        <f t="shared" si="2694"/>
        <v>0</v>
      </c>
      <c r="S2505" t="str">
        <f t="shared" si="2695"/>
        <v>food</v>
      </c>
      <c r="T2505" t="str">
        <f t="shared" si="2696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ref="K2506:L2506" si="2703">(J2506/60/60/24)+DATE(1970,1,1)</f>
        <v>41928.015439814815</v>
      </c>
      <c r="L2506" s="11">
        <f t="shared" si="2692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693"/>
        <v>0</v>
      </c>
      <c r="R2506" s="7">
        <f t="shared" si="2694"/>
        <v>0</v>
      </c>
      <c r="S2506" t="str">
        <f t="shared" si="2695"/>
        <v>food</v>
      </c>
      <c r="T2506" t="str">
        <f t="shared" si="2696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ref="K2507:L2507" si="2704">(J2507/60/60/24)+DATE(1970,1,1)</f>
        <v>42047.05574074074</v>
      </c>
      <c r="L2507" s="11">
        <f t="shared" si="2692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693"/>
        <v>0</v>
      </c>
      <c r="R2507" s="7">
        <f t="shared" si="2694"/>
        <v>0</v>
      </c>
      <c r="S2507" t="str">
        <f t="shared" si="2695"/>
        <v>food</v>
      </c>
      <c r="T2507" t="str">
        <f t="shared" si="2696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ref="K2508:L2508" si="2705">(J2508/60/60/24)+DATE(1970,1,1)</f>
        <v>42258.297094907408</v>
      </c>
      <c r="L2508" s="11">
        <f t="shared" si="2692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693"/>
        <v>0.6</v>
      </c>
      <c r="R2508" s="7">
        <f t="shared" si="2694"/>
        <v>15</v>
      </c>
      <c r="S2508" t="str">
        <f t="shared" si="2695"/>
        <v>food</v>
      </c>
      <c r="T2508" t="str">
        <f t="shared" si="2696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ref="K2509:L2509" si="2706">(J2509/60/60/24)+DATE(1970,1,1)</f>
        <v>42105.072962962964</v>
      </c>
      <c r="L2509" s="11">
        <f t="shared" si="2692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693"/>
        <v>0</v>
      </c>
      <c r="R2509" s="7">
        <f t="shared" si="2694"/>
        <v>0</v>
      </c>
      <c r="S2509" t="str">
        <f t="shared" si="2695"/>
        <v>food</v>
      </c>
      <c r="T2509" t="str">
        <f t="shared" si="2696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ref="K2510:L2510" si="2707">(J2510/60/60/24)+DATE(1970,1,1)</f>
        <v>41835.951782407406</v>
      </c>
      <c r="L2510" s="11">
        <f t="shared" si="2692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693"/>
        <v>0</v>
      </c>
      <c r="R2510" s="7">
        <f t="shared" si="2694"/>
        <v>0</v>
      </c>
      <c r="S2510" t="str">
        <f t="shared" si="2695"/>
        <v>food</v>
      </c>
      <c r="T2510" t="str">
        <f t="shared" si="2696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ref="K2511:L2511" si="2708">(J2511/60/60/24)+DATE(1970,1,1)</f>
        <v>42058.809594907405</v>
      </c>
      <c r="L2511" s="11">
        <f t="shared" si="2692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693"/>
        <v>1.0526315789473684</v>
      </c>
      <c r="R2511" s="7">
        <f t="shared" si="2694"/>
        <v>35.714285714285715</v>
      </c>
      <c r="S2511" t="str">
        <f t="shared" si="2695"/>
        <v>food</v>
      </c>
      <c r="T2511" t="str">
        <f t="shared" si="2696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ref="K2512:L2512" si="2709">(J2512/60/60/24)+DATE(1970,1,1)</f>
        <v>42078.997361111105</v>
      </c>
      <c r="L2512" s="11">
        <f t="shared" si="2692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693"/>
        <v>0.15</v>
      </c>
      <c r="R2512" s="7">
        <f t="shared" si="2694"/>
        <v>37.5</v>
      </c>
      <c r="S2512" t="str">
        <f t="shared" si="2695"/>
        <v>food</v>
      </c>
      <c r="T2512" t="str">
        <f t="shared" si="2696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ref="K2513:L2513" si="2710">(J2513/60/60/24)+DATE(1970,1,1)</f>
        <v>42371.446909722217</v>
      </c>
      <c r="L2513" s="11">
        <f t="shared" si="2692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693"/>
        <v>0</v>
      </c>
      <c r="R2513" s="7">
        <f t="shared" si="2694"/>
        <v>0</v>
      </c>
      <c r="S2513" t="str">
        <f t="shared" si="2695"/>
        <v>food</v>
      </c>
      <c r="T2513" t="str">
        <f t="shared" si="2696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ref="K2514:L2514" si="2711">(J2514/60/60/24)+DATE(1970,1,1)</f>
        <v>41971.876863425925</v>
      </c>
      <c r="L2514" s="11">
        <f t="shared" si="2692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693"/>
        <v>0</v>
      </c>
      <c r="R2514" s="7">
        <f t="shared" si="2694"/>
        <v>0</v>
      </c>
      <c r="S2514" t="str">
        <f t="shared" si="2695"/>
        <v>food</v>
      </c>
      <c r="T2514" t="str">
        <f t="shared" si="2696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ref="K2515:L2515" si="2712">(J2515/60/60/24)+DATE(1970,1,1)</f>
        <v>42732.00681712963</v>
      </c>
      <c r="L2515" s="11">
        <f t="shared" si="2692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693"/>
        <v>0</v>
      </c>
      <c r="R2515" s="7">
        <f t="shared" si="2694"/>
        <v>0</v>
      </c>
      <c r="S2515" t="str">
        <f t="shared" si="2695"/>
        <v>food</v>
      </c>
      <c r="T2515" t="str">
        <f t="shared" si="2696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ref="K2516:L2516" si="2713">(J2516/60/60/24)+DATE(1970,1,1)</f>
        <v>41854.389780092592</v>
      </c>
      <c r="L2516" s="11">
        <f t="shared" si="2692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693"/>
        <v>1.7500000000000002</v>
      </c>
      <c r="R2516" s="7">
        <f t="shared" si="2694"/>
        <v>52.5</v>
      </c>
      <c r="S2516" t="str">
        <f t="shared" si="2695"/>
        <v>food</v>
      </c>
      <c r="T2516" t="str">
        <f t="shared" si="2696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ref="K2517:L2517" si="2714">(J2517/60/60/24)+DATE(1970,1,1)</f>
        <v>42027.839733796296</v>
      </c>
      <c r="L2517" s="11">
        <f t="shared" si="2692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693"/>
        <v>18.600000000000001</v>
      </c>
      <c r="R2517" s="7">
        <f t="shared" si="2694"/>
        <v>77.5</v>
      </c>
      <c r="S2517" t="str">
        <f t="shared" si="2695"/>
        <v>food</v>
      </c>
      <c r="T2517" t="str">
        <f t="shared" si="2696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ref="K2518:L2518" si="2715">(J2518/60/60/24)+DATE(1970,1,1)</f>
        <v>41942.653379629628</v>
      </c>
      <c r="L2518" s="11">
        <f t="shared" si="2692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693"/>
        <v>0</v>
      </c>
      <c r="R2518" s="7">
        <f t="shared" si="2694"/>
        <v>0</v>
      </c>
      <c r="S2518" t="str">
        <f t="shared" si="2695"/>
        <v>food</v>
      </c>
      <c r="T2518" t="str">
        <f t="shared" si="2696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ref="K2519:L2519" si="2716">(J2519/60/60/24)+DATE(1970,1,1)</f>
        <v>42052.802430555559</v>
      </c>
      <c r="L2519" s="11">
        <f t="shared" si="2692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693"/>
        <v>9.8166666666666664</v>
      </c>
      <c r="R2519" s="7">
        <f t="shared" si="2694"/>
        <v>53.545454545454547</v>
      </c>
      <c r="S2519" t="str">
        <f t="shared" si="2695"/>
        <v>food</v>
      </c>
      <c r="T2519" t="str">
        <f t="shared" si="2696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ref="K2520:L2520" si="2717">(J2520/60/60/24)+DATE(1970,1,1)</f>
        <v>41926.680879629632</v>
      </c>
      <c r="L2520" s="11">
        <f t="shared" si="2692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693"/>
        <v>0</v>
      </c>
      <c r="R2520" s="7">
        <f t="shared" si="2694"/>
        <v>0</v>
      </c>
      <c r="S2520" t="str">
        <f t="shared" si="2695"/>
        <v>food</v>
      </c>
      <c r="T2520" t="str">
        <f t="shared" si="2696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ref="K2521:L2521" si="2718">(J2521/60/60/24)+DATE(1970,1,1)</f>
        <v>41809.155138888891</v>
      </c>
      <c r="L2521" s="11">
        <f t="shared" si="2692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693"/>
        <v>4.3333333333333335E-2</v>
      </c>
      <c r="R2521" s="7">
        <f t="shared" si="2694"/>
        <v>16.25</v>
      </c>
      <c r="S2521" t="str">
        <f t="shared" si="2695"/>
        <v>food</v>
      </c>
      <c r="T2521" t="str">
        <f t="shared" si="2696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ref="K2522:L2522" si="2719">(J2522/60/60/24)+DATE(1970,1,1)</f>
        <v>42612.600520833337</v>
      </c>
      <c r="L2522" s="11">
        <f t="shared" si="2692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693"/>
        <v>0</v>
      </c>
      <c r="R2522" s="7">
        <f t="shared" si="2694"/>
        <v>0</v>
      </c>
      <c r="S2522" t="str">
        <f t="shared" si="2695"/>
        <v>food</v>
      </c>
      <c r="T2522" t="str">
        <f t="shared" si="2696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ref="K2523:L2523" si="2720">(J2523/60/60/24)+DATE(1970,1,1)</f>
        <v>42269.967835648145</v>
      </c>
      <c r="L2523" s="11">
        <f t="shared" si="2692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693"/>
        <v>109.48792</v>
      </c>
      <c r="R2523" s="7">
        <f t="shared" si="2694"/>
        <v>103.68174242424243</v>
      </c>
      <c r="S2523" t="str">
        <f t="shared" si="2695"/>
        <v>music</v>
      </c>
      <c r="T2523" t="str">
        <f t="shared" si="2696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ref="K2524:L2524" si="2721">(J2524/60/60/24)+DATE(1970,1,1)</f>
        <v>42460.573611111111</v>
      </c>
      <c r="L2524" s="11">
        <f t="shared" si="2692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693"/>
        <v>100</v>
      </c>
      <c r="R2524" s="7">
        <f t="shared" si="2694"/>
        <v>185.18518518518519</v>
      </c>
      <c r="S2524" t="str">
        <f t="shared" si="2695"/>
        <v>music</v>
      </c>
      <c r="T2524" t="str">
        <f t="shared" si="2696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ref="K2525:L2525" si="2722">(J2525/60/60/24)+DATE(1970,1,1)</f>
        <v>41930.975601851853</v>
      </c>
      <c r="L2525" s="11">
        <f t="shared" si="2692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693"/>
        <v>156.44444444444446</v>
      </c>
      <c r="R2525" s="7">
        <f t="shared" si="2694"/>
        <v>54.153846153846153</v>
      </c>
      <c r="S2525" t="str">
        <f t="shared" si="2695"/>
        <v>music</v>
      </c>
      <c r="T2525" t="str">
        <f t="shared" si="2696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ref="K2526:L2526" si="2723">(J2526/60/60/24)+DATE(1970,1,1)</f>
        <v>41961.807372685187</v>
      </c>
      <c r="L2526" s="11">
        <f t="shared" si="2692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693"/>
        <v>101.6</v>
      </c>
      <c r="R2526" s="7">
        <f t="shared" si="2694"/>
        <v>177.2093023255814</v>
      </c>
      <c r="S2526" t="str">
        <f t="shared" si="2695"/>
        <v>music</v>
      </c>
      <c r="T2526" t="str">
        <f t="shared" si="2696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ref="K2527:L2527" si="2724">(J2527/60/60/24)+DATE(1970,1,1)</f>
        <v>41058.844571759262</v>
      </c>
      <c r="L2527" s="11">
        <f t="shared" si="2692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693"/>
        <v>100.325</v>
      </c>
      <c r="R2527" s="7">
        <f t="shared" si="2694"/>
        <v>100.325</v>
      </c>
      <c r="S2527" t="str">
        <f t="shared" si="2695"/>
        <v>music</v>
      </c>
      <c r="T2527" t="str">
        <f t="shared" si="2696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ref="K2528:L2528" si="2725">(J2528/60/60/24)+DATE(1970,1,1)</f>
        <v>41953.091134259259</v>
      </c>
      <c r="L2528" s="11">
        <f t="shared" si="2692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693"/>
        <v>112.94999999999999</v>
      </c>
      <c r="R2528" s="7">
        <f t="shared" si="2694"/>
        <v>136.90909090909091</v>
      </c>
      <c r="S2528" t="str">
        <f t="shared" si="2695"/>
        <v>music</v>
      </c>
      <c r="T2528" t="str">
        <f t="shared" si="2696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ref="K2529:L2529" si="2726">(J2529/60/60/24)+DATE(1970,1,1)</f>
        <v>41546.75105324074</v>
      </c>
      <c r="L2529" s="11">
        <f t="shared" si="2692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693"/>
        <v>102.125</v>
      </c>
      <c r="R2529" s="7">
        <f t="shared" si="2694"/>
        <v>57.535211267605632</v>
      </c>
      <c r="S2529" t="str">
        <f t="shared" si="2695"/>
        <v>music</v>
      </c>
      <c r="T2529" t="str">
        <f t="shared" si="2696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ref="K2530:L2530" si="2727">(J2530/60/60/24)+DATE(1970,1,1)</f>
        <v>42217.834525462968</v>
      </c>
      <c r="L2530" s="11">
        <f t="shared" si="2692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693"/>
        <v>107.24974999999999</v>
      </c>
      <c r="R2530" s="7">
        <f t="shared" si="2694"/>
        <v>52.962839506172834</v>
      </c>
      <c r="S2530" t="str">
        <f t="shared" si="2695"/>
        <v>music</v>
      </c>
      <c r="T2530" t="str">
        <f t="shared" si="2696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ref="K2531:L2531" si="2728">(J2531/60/60/24)+DATE(1970,1,1)</f>
        <v>40948.080729166664</v>
      </c>
      <c r="L2531" s="11">
        <f t="shared" si="2692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693"/>
        <v>104.28333333333333</v>
      </c>
      <c r="R2531" s="7">
        <f t="shared" si="2694"/>
        <v>82.328947368421055</v>
      </c>
      <c r="S2531" t="str">
        <f t="shared" si="2695"/>
        <v>music</v>
      </c>
      <c r="T2531" t="str">
        <f t="shared" si="2696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ref="K2532:L2532" si="2729">(J2532/60/60/24)+DATE(1970,1,1)</f>
        <v>42081.864641203705</v>
      </c>
      <c r="L2532" s="11">
        <f t="shared" si="2692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693"/>
        <v>100</v>
      </c>
      <c r="R2532" s="7">
        <f t="shared" si="2694"/>
        <v>135.41666666666666</v>
      </c>
      <c r="S2532" t="str">
        <f t="shared" si="2695"/>
        <v>music</v>
      </c>
      <c r="T2532" t="str">
        <f t="shared" si="2696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ref="K2533:L2533" si="2730">(J2533/60/60/24)+DATE(1970,1,1)</f>
        <v>42208.680023148147</v>
      </c>
      <c r="L2533" s="11">
        <f t="shared" si="2692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693"/>
        <v>100.4</v>
      </c>
      <c r="R2533" s="7">
        <f t="shared" si="2694"/>
        <v>74.06557377049181</v>
      </c>
      <c r="S2533" t="str">
        <f t="shared" si="2695"/>
        <v>music</v>
      </c>
      <c r="T2533" t="str">
        <f t="shared" si="2696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ref="K2534:L2534" si="2731">(J2534/60/60/24)+DATE(1970,1,1)</f>
        <v>41107.849143518521</v>
      </c>
      <c r="L2534" s="11">
        <f t="shared" si="2692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693"/>
        <v>126.125</v>
      </c>
      <c r="R2534" s="7">
        <f t="shared" si="2694"/>
        <v>84.083333333333329</v>
      </c>
      <c r="S2534" t="str">
        <f t="shared" si="2695"/>
        <v>music</v>
      </c>
      <c r="T2534" t="str">
        <f t="shared" si="2696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ref="K2535:L2535" si="2732">(J2535/60/60/24)+DATE(1970,1,1)</f>
        <v>41304.751284722224</v>
      </c>
      <c r="L2535" s="11">
        <f t="shared" si="2692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693"/>
        <v>110.66666666666667</v>
      </c>
      <c r="R2535" s="7">
        <f t="shared" si="2694"/>
        <v>61.029411764705884</v>
      </c>
      <c r="S2535" t="str">
        <f t="shared" si="2695"/>
        <v>music</v>
      </c>
      <c r="T2535" t="str">
        <f t="shared" si="2696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ref="K2536:L2536" si="2733">(J2536/60/60/24)+DATE(1970,1,1)</f>
        <v>40127.700370370374</v>
      </c>
      <c r="L2536" s="11">
        <f t="shared" si="2692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693"/>
        <v>105</v>
      </c>
      <c r="R2536" s="7">
        <f t="shared" si="2694"/>
        <v>150</v>
      </c>
      <c r="S2536" t="str">
        <f t="shared" si="2695"/>
        <v>music</v>
      </c>
      <c r="T2536" t="str">
        <f t="shared" si="2696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ref="K2537:L2537" si="2734">(J2537/60/60/24)+DATE(1970,1,1)</f>
        <v>41943.791030092594</v>
      </c>
      <c r="L2537" s="11">
        <f t="shared" si="2692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693"/>
        <v>103.77499999999999</v>
      </c>
      <c r="R2537" s="7">
        <f t="shared" si="2694"/>
        <v>266.08974358974359</v>
      </c>
      <c r="S2537" t="str">
        <f t="shared" si="2695"/>
        <v>music</v>
      </c>
      <c r="T2537" t="str">
        <f t="shared" si="2696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ref="K2538:L2538" si="2735">(J2538/60/60/24)+DATE(1970,1,1)</f>
        <v>41464.106087962966</v>
      </c>
      <c r="L2538" s="11">
        <f t="shared" si="2692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693"/>
        <v>115.99999999999999</v>
      </c>
      <c r="R2538" s="7">
        <f t="shared" si="2694"/>
        <v>7.25</v>
      </c>
      <c r="S2538" t="str">
        <f t="shared" si="2695"/>
        <v>music</v>
      </c>
      <c r="T2538" t="str">
        <f t="shared" si="2696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ref="K2539:L2539" si="2736">(J2539/60/60/24)+DATE(1970,1,1)</f>
        <v>40696.648784722223</v>
      </c>
      <c r="L2539" s="11">
        <f t="shared" si="2692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693"/>
        <v>110.00000000000001</v>
      </c>
      <c r="R2539" s="7">
        <f t="shared" si="2694"/>
        <v>100</v>
      </c>
      <c r="S2539" t="str">
        <f t="shared" si="2695"/>
        <v>music</v>
      </c>
      <c r="T2539" t="str">
        <f t="shared" si="2696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ref="K2540:L2540" si="2737">(J2540/60/60/24)+DATE(1970,1,1)</f>
        <v>41298.509965277779</v>
      </c>
      <c r="L2540" s="11">
        <f t="shared" si="2692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693"/>
        <v>113.01761111111111</v>
      </c>
      <c r="R2540" s="7">
        <f t="shared" si="2694"/>
        <v>109.96308108108107</v>
      </c>
      <c r="S2540" t="str">
        <f t="shared" si="2695"/>
        <v>music</v>
      </c>
      <c r="T2540" t="str">
        <f t="shared" si="2696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ref="K2541:L2541" si="2738">(J2541/60/60/24)+DATE(1970,1,1)</f>
        <v>41977.902222222227</v>
      </c>
      <c r="L2541" s="11">
        <f t="shared" si="2692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693"/>
        <v>100.25</v>
      </c>
      <c r="R2541" s="7">
        <f t="shared" si="2694"/>
        <v>169.91525423728814</v>
      </c>
      <c r="S2541" t="str">
        <f t="shared" si="2695"/>
        <v>music</v>
      </c>
      <c r="T2541" t="str">
        <f t="shared" si="2696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ref="K2542:L2542" si="2739">(J2542/60/60/24)+DATE(1970,1,1)</f>
        <v>40785.675011574072</v>
      </c>
      <c r="L2542" s="11">
        <f t="shared" si="2692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693"/>
        <v>103.4</v>
      </c>
      <c r="R2542" s="7">
        <f t="shared" si="2694"/>
        <v>95.740740740740748</v>
      </c>
      <c r="S2542" t="str">
        <f t="shared" si="2695"/>
        <v>music</v>
      </c>
      <c r="T2542" t="str">
        <f t="shared" si="2696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ref="K2543:L2543" si="2740">(J2543/60/60/24)+DATE(1970,1,1)</f>
        <v>41483.449282407404</v>
      </c>
      <c r="L2543" s="11">
        <f t="shared" si="2692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693"/>
        <v>107.02857142857142</v>
      </c>
      <c r="R2543" s="7">
        <f t="shared" si="2694"/>
        <v>59.460317460317462</v>
      </c>
      <c r="S2543" t="str">
        <f t="shared" si="2695"/>
        <v>music</v>
      </c>
      <c r="T2543" t="str">
        <f t="shared" si="2696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ref="K2544:L2544" si="2741">(J2544/60/60/24)+DATE(1970,1,1)</f>
        <v>41509.426585648151</v>
      </c>
      <c r="L2544" s="11">
        <f t="shared" si="2692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693"/>
        <v>103.57142857142858</v>
      </c>
      <c r="R2544" s="7">
        <f t="shared" si="2694"/>
        <v>55.769230769230766</v>
      </c>
      <c r="S2544" t="str">
        <f t="shared" si="2695"/>
        <v>music</v>
      </c>
      <c r="T2544" t="str">
        <f t="shared" si="2696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ref="K2545:L2545" si="2742">(J2545/60/60/24)+DATE(1970,1,1)</f>
        <v>40514.107615740737</v>
      </c>
      <c r="L2545" s="11">
        <f t="shared" si="2692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693"/>
        <v>156.4</v>
      </c>
      <c r="R2545" s="7">
        <f t="shared" si="2694"/>
        <v>30.076923076923077</v>
      </c>
      <c r="S2545" t="str">
        <f t="shared" si="2695"/>
        <v>music</v>
      </c>
      <c r="T2545" t="str">
        <f t="shared" si="2696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ref="K2546:L2546" si="2743">(J2546/60/60/24)+DATE(1970,1,1)</f>
        <v>41068.520474537036</v>
      </c>
      <c r="L2546" s="11">
        <f t="shared" si="2692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693"/>
        <v>100.82</v>
      </c>
      <c r="R2546" s="7">
        <f t="shared" si="2694"/>
        <v>88.438596491228068</v>
      </c>
      <c r="S2546" t="str">
        <f t="shared" si="2695"/>
        <v>music</v>
      </c>
      <c r="T2546" t="str">
        <f t="shared" si="2696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ref="K2547:L2547" si="2744">(J2547/60/60/24)+DATE(1970,1,1)</f>
        <v>42027.13817129629</v>
      </c>
      <c r="L2547" s="11">
        <f t="shared" si="2692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693"/>
        <v>195.3</v>
      </c>
      <c r="R2547" s="7">
        <f t="shared" si="2694"/>
        <v>64.032786885245898</v>
      </c>
      <c r="S2547" t="str">
        <f t="shared" si="2695"/>
        <v>music</v>
      </c>
      <c r="T2547" t="str">
        <f t="shared" si="2696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ref="K2548:L2548" si="2745">(J2548/60/60/24)+DATE(1970,1,1)</f>
        <v>41524.858553240738</v>
      </c>
      <c r="L2548" s="11">
        <f t="shared" si="2692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693"/>
        <v>111.71428571428572</v>
      </c>
      <c r="R2548" s="7">
        <f t="shared" si="2694"/>
        <v>60.153846153846153</v>
      </c>
      <c r="S2548" t="str">
        <f t="shared" si="2695"/>
        <v>music</v>
      </c>
      <c r="T2548" t="str">
        <f t="shared" si="2696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ref="K2549:L2549" si="2746">(J2549/60/60/24)+DATE(1970,1,1)</f>
        <v>40973.773182870369</v>
      </c>
      <c r="L2549" s="11">
        <f t="shared" si="2692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693"/>
        <v>119.85454545454546</v>
      </c>
      <c r="R2549" s="7">
        <f t="shared" si="2694"/>
        <v>49.194029850746269</v>
      </c>
      <c r="S2549" t="str">
        <f t="shared" si="2695"/>
        <v>music</v>
      </c>
      <c r="T2549" t="str">
        <f t="shared" si="2696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ref="K2550:L2550" si="2747">(J2550/60/60/24)+DATE(1970,1,1)</f>
        <v>42618.625428240746</v>
      </c>
      <c r="L2550" s="11">
        <f t="shared" si="2692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693"/>
        <v>101.85</v>
      </c>
      <c r="R2550" s="7">
        <f t="shared" si="2694"/>
        <v>165.16216216216216</v>
      </c>
      <c r="S2550" t="str">
        <f t="shared" si="2695"/>
        <v>music</v>
      </c>
      <c r="T2550" t="str">
        <f t="shared" si="2696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ref="K2551:L2551" si="2748">(J2551/60/60/24)+DATE(1970,1,1)</f>
        <v>41390.757754629631</v>
      </c>
      <c r="L2551" s="11">
        <f t="shared" si="2692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693"/>
        <v>102.80254777070064</v>
      </c>
      <c r="R2551" s="7">
        <f t="shared" si="2694"/>
        <v>43.621621621621621</v>
      </c>
      <c r="S2551" t="str">
        <f t="shared" si="2695"/>
        <v>music</v>
      </c>
      <c r="T2551" t="str">
        <f t="shared" si="2696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ref="K2552:L2552" si="2749">(J2552/60/60/24)+DATE(1970,1,1)</f>
        <v>42228.634328703702</v>
      </c>
      <c r="L2552" s="11">
        <f t="shared" si="2692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693"/>
        <v>100.84615384615385</v>
      </c>
      <c r="R2552" s="7">
        <f t="shared" si="2694"/>
        <v>43.7</v>
      </c>
      <c r="S2552" t="str">
        <f t="shared" si="2695"/>
        <v>music</v>
      </c>
      <c r="T2552" t="str">
        <f t="shared" si="2696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ref="K2553:L2553" si="2750">(J2553/60/60/24)+DATE(1970,1,1)</f>
        <v>40961.252141203702</v>
      </c>
      <c r="L2553" s="11">
        <f t="shared" si="2692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693"/>
        <v>102.73469387755102</v>
      </c>
      <c r="R2553" s="7">
        <f t="shared" si="2694"/>
        <v>67.419642857142861</v>
      </c>
      <c r="S2553" t="str">
        <f t="shared" si="2695"/>
        <v>music</v>
      </c>
      <c r="T2553" t="str">
        <f t="shared" si="2696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ref="K2554:L2554" si="2751">(J2554/60/60/24)+DATE(1970,1,1)</f>
        <v>42769.809965277775</v>
      </c>
      <c r="L2554" s="11">
        <f t="shared" si="2692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693"/>
        <v>106.5</v>
      </c>
      <c r="R2554" s="7">
        <f t="shared" si="2694"/>
        <v>177.5</v>
      </c>
      <c r="S2554" t="str">
        <f t="shared" si="2695"/>
        <v>music</v>
      </c>
      <c r="T2554" t="str">
        <f t="shared" si="2696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ref="K2555:L2555" si="2752">(J2555/60/60/24)+DATE(1970,1,1)</f>
        <v>41113.199155092596</v>
      </c>
      <c r="L2555" s="11">
        <f t="shared" si="2692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693"/>
        <v>155.53333333333333</v>
      </c>
      <c r="R2555" s="7">
        <f t="shared" si="2694"/>
        <v>38.883333333333333</v>
      </c>
      <c r="S2555" t="str">
        <f t="shared" si="2695"/>
        <v>music</v>
      </c>
      <c r="T2555" t="str">
        <f t="shared" si="2696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ref="K2556:L2556" si="2753">(J2556/60/60/24)+DATE(1970,1,1)</f>
        <v>42125.078275462962</v>
      </c>
      <c r="L2556" s="11">
        <f t="shared" si="2692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693"/>
        <v>122.8</v>
      </c>
      <c r="R2556" s="7">
        <f t="shared" si="2694"/>
        <v>54.985074626865675</v>
      </c>
      <c r="S2556" t="str">
        <f t="shared" si="2695"/>
        <v>music</v>
      </c>
      <c r="T2556" t="str">
        <f t="shared" si="2696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ref="K2557:L2557" si="2754">(J2557/60/60/24)+DATE(1970,1,1)</f>
        <v>41026.655011574076</v>
      </c>
      <c r="L2557" s="11">
        <f t="shared" si="2692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693"/>
        <v>107.35</v>
      </c>
      <c r="R2557" s="7">
        <f t="shared" si="2694"/>
        <v>61.342857142857142</v>
      </c>
      <c r="S2557" t="str">
        <f t="shared" si="2695"/>
        <v>music</v>
      </c>
      <c r="T2557" t="str">
        <f t="shared" si="2696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ref="K2558:L2558" si="2755">(J2558/60/60/24)+DATE(1970,1,1)</f>
        <v>41222.991400462961</v>
      </c>
      <c r="L2558" s="11">
        <f t="shared" si="2692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693"/>
        <v>105.50335570469798</v>
      </c>
      <c r="R2558" s="7">
        <f t="shared" si="2694"/>
        <v>23.117647058823529</v>
      </c>
      <c r="S2558" t="str">
        <f t="shared" si="2695"/>
        <v>music</v>
      </c>
      <c r="T2558" t="str">
        <f t="shared" si="2696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ref="K2559:L2559" si="2756">(J2559/60/60/24)+DATE(1970,1,1)</f>
        <v>41744.745208333334</v>
      </c>
      <c r="L2559" s="11">
        <f t="shared" si="2692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693"/>
        <v>118.44444444444444</v>
      </c>
      <c r="R2559" s="7">
        <f t="shared" si="2694"/>
        <v>29.611111111111111</v>
      </c>
      <c r="S2559" t="str">
        <f t="shared" si="2695"/>
        <v>music</v>
      </c>
      <c r="T2559" t="str">
        <f t="shared" si="2696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ref="K2560:L2560" si="2757">(J2560/60/60/24)+DATE(1970,1,1)</f>
        <v>42093.860023148154</v>
      </c>
      <c r="L2560" s="11">
        <f t="shared" si="2692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693"/>
        <v>108.88</v>
      </c>
      <c r="R2560" s="7">
        <f t="shared" si="2694"/>
        <v>75.611111111111114</v>
      </c>
      <c r="S2560" t="str">
        <f t="shared" si="2695"/>
        <v>music</v>
      </c>
      <c r="T2560" t="str">
        <f t="shared" si="2696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ref="K2561:L2561" si="2758">(J2561/60/60/24)+DATE(1970,1,1)</f>
        <v>40829.873657407406</v>
      </c>
      <c r="L2561" s="11">
        <f t="shared" si="2692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693"/>
        <v>111.25</v>
      </c>
      <c r="R2561" s="7">
        <f t="shared" si="2694"/>
        <v>35.6</v>
      </c>
      <c r="S2561" t="str">
        <f t="shared" si="2695"/>
        <v>music</v>
      </c>
      <c r="T2561" t="str">
        <f t="shared" si="2696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ref="K2562:L2562" si="2759">(J2562/60/60/24)+DATE(1970,1,1)</f>
        <v>42039.951087962967</v>
      </c>
      <c r="L2562" s="11">
        <f t="shared" si="2692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693"/>
        <v>100.1</v>
      </c>
      <c r="R2562" s="7">
        <f t="shared" si="2694"/>
        <v>143</v>
      </c>
      <c r="S2562" t="str">
        <f t="shared" si="2695"/>
        <v>music</v>
      </c>
      <c r="T2562" t="str">
        <f t="shared" si="2696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ref="K2563:L2563" si="2760">(J2563/60/60/24)+DATE(1970,1,1)</f>
        <v>42260.528807870374</v>
      </c>
      <c r="L2563" s="11">
        <f t="shared" ref="L2563:L2626" si="2761">(I2563/60/60/24)+DATE(1970,1,1)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762">(E2563/D2563)*100</f>
        <v>0</v>
      </c>
      <c r="R2563" s="7">
        <f t="shared" ref="R2563:R2626" si="2763">IFERROR(E2563/N2563, 0)</f>
        <v>0</v>
      </c>
      <c r="S2563" t="str">
        <f t="shared" ref="S2563:S2626" si="2764">LEFT(P2563, SEARCH("/", P2563,1)-1)</f>
        <v>food</v>
      </c>
      <c r="T2563" t="str">
        <f t="shared" ref="T2563:T2626" si="2765">RIGHT(P2563,LEN(P2563)-SEARCH("/",P2563,SEARCH("/",P2563)))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ref="K2564:L2564" si="2766">(J2564/60/60/24)+DATE(1970,1,1)</f>
        <v>42594.524756944447</v>
      </c>
      <c r="L2564" s="11">
        <f t="shared" si="27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762"/>
        <v>0.75</v>
      </c>
      <c r="R2564" s="7">
        <f t="shared" si="2763"/>
        <v>25</v>
      </c>
      <c r="S2564" t="str">
        <f t="shared" si="2764"/>
        <v>food</v>
      </c>
      <c r="T2564" t="str">
        <f t="shared" si="276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ref="K2565:L2565" si="2767">(J2565/60/60/24)+DATE(1970,1,1)</f>
        <v>42155.139479166668</v>
      </c>
      <c r="L2565" s="11">
        <f t="shared" si="27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762"/>
        <v>0</v>
      </c>
      <c r="R2565" s="7">
        <f t="shared" si="2763"/>
        <v>0</v>
      </c>
      <c r="S2565" t="str">
        <f t="shared" si="2764"/>
        <v>food</v>
      </c>
      <c r="T2565" t="str">
        <f t="shared" si="276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ref="K2566:L2566" si="2768">(J2566/60/60/24)+DATE(1970,1,1)</f>
        <v>41822.040497685186</v>
      </c>
      <c r="L2566" s="11">
        <f t="shared" si="27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762"/>
        <v>0</v>
      </c>
      <c r="R2566" s="7">
        <f t="shared" si="2763"/>
        <v>0</v>
      </c>
      <c r="S2566" t="str">
        <f t="shared" si="2764"/>
        <v>food</v>
      </c>
      <c r="T2566" t="str">
        <f t="shared" si="276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ref="K2567:L2567" si="2769">(J2567/60/60/24)+DATE(1970,1,1)</f>
        <v>42440.650335648148</v>
      </c>
      <c r="L2567" s="11">
        <f t="shared" si="27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762"/>
        <v>1</v>
      </c>
      <c r="R2567" s="7">
        <f t="shared" si="2763"/>
        <v>100</v>
      </c>
      <c r="S2567" t="str">
        <f t="shared" si="2764"/>
        <v>food</v>
      </c>
      <c r="T2567" t="str">
        <f t="shared" si="276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ref="K2568:L2568" si="2770">(J2568/60/60/24)+DATE(1970,1,1)</f>
        <v>41842.980879629627</v>
      </c>
      <c r="L2568" s="11">
        <f t="shared" si="27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762"/>
        <v>0</v>
      </c>
      <c r="R2568" s="7">
        <f t="shared" si="2763"/>
        <v>0</v>
      </c>
      <c r="S2568" t="str">
        <f t="shared" si="2764"/>
        <v>food</v>
      </c>
      <c r="T2568" t="str">
        <f t="shared" si="276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ref="K2569:L2569" si="2771">(J2569/60/60/24)+DATE(1970,1,1)</f>
        <v>42087.878912037035</v>
      </c>
      <c r="L2569" s="11">
        <f t="shared" si="27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762"/>
        <v>0.26666666666666666</v>
      </c>
      <c r="R2569" s="7">
        <f t="shared" si="2763"/>
        <v>60</v>
      </c>
      <c r="S2569" t="str">
        <f t="shared" si="2764"/>
        <v>food</v>
      </c>
      <c r="T2569" t="str">
        <f t="shared" si="276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ref="K2570:L2570" si="2772">(J2570/60/60/24)+DATE(1970,1,1)</f>
        <v>42584.666597222225</v>
      </c>
      <c r="L2570" s="11">
        <f t="shared" si="27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762"/>
        <v>0.5</v>
      </c>
      <c r="R2570" s="7">
        <f t="shared" si="2763"/>
        <v>50</v>
      </c>
      <c r="S2570" t="str">
        <f t="shared" si="2764"/>
        <v>food</v>
      </c>
      <c r="T2570" t="str">
        <f t="shared" si="276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ref="K2571:L2571" si="2773">(J2571/60/60/24)+DATE(1970,1,1)</f>
        <v>42234.105462962965</v>
      </c>
      <c r="L2571" s="11">
        <f t="shared" si="27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762"/>
        <v>2.2307692307692308</v>
      </c>
      <c r="R2571" s="7">
        <f t="shared" si="2763"/>
        <v>72.5</v>
      </c>
      <c r="S2571" t="str">
        <f t="shared" si="2764"/>
        <v>food</v>
      </c>
      <c r="T2571" t="str">
        <f t="shared" si="276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ref="K2572:L2572" si="2774">(J2572/60/60/24)+DATE(1970,1,1)</f>
        <v>42744.903182870374</v>
      </c>
      <c r="L2572" s="11">
        <f t="shared" si="27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762"/>
        <v>0.84285714285714297</v>
      </c>
      <c r="R2572" s="7">
        <f t="shared" si="2763"/>
        <v>29.5</v>
      </c>
      <c r="S2572" t="str">
        <f t="shared" si="2764"/>
        <v>food</v>
      </c>
      <c r="T2572" t="str">
        <f t="shared" si="276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ref="K2573:L2573" si="2775">(J2573/60/60/24)+DATE(1970,1,1)</f>
        <v>42449.341678240744</v>
      </c>
      <c r="L2573" s="11">
        <f t="shared" si="27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762"/>
        <v>0.25</v>
      </c>
      <c r="R2573" s="7">
        <f t="shared" si="2763"/>
        <v>62.5</v>
      </c>
      <c r="S2573" t="str">
        <f t="shared" si="2764"/>
        <v>food</v>
      </c>
      <c r="T2573" t="str">
        <f t="shared" si="276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ref="K2574:L2574" si="2776">(J2574/60/60/24)+DATE(1970,1,1)</f>
        <v>42077.119409722218</v>
      </c>
      <c r="L2574" s="11">
        <f t="shared" si="27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762"/>
        <v>0</v>
      </c>
      <c r="R2574" s="7">
        <f t="shared" si="2763"/>
        <v>0</v>
      </c>
      <c r="S2574" t="str">
        <f t="shared" si="2764"/>
        <v>food</v>
      </c>
      <c r="T2574" t="str">
        <f t="shared" si="276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ref="K2575:L2575" si="2777">(J2575/60/60/24)+DATE(1970,1,1)</f>
        <v>41829.592002314814</v>
      </c>
      <c r="L2575" s="11">
        <f t="shared" si="27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762"/>
        <v>0</v>
      </c>
      <c r="R2575" s="7">
        <f t="shared" si="2763"/>
        <v>0</v>
      </c>
      <c r="S2575" t="str">
        <f t="shared" si="2764"/>
        <v>food</v>
      </c>
      <c r="T2575" t="str">
        <f t="shared" si="276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ref="K2576:L2576" si="2778">(J2576/60/60/24)+DATE(1970,1,1)</f>
        <v>42487.825752314813</v>
      </c>
      <c r="L2576" s="11">
        <f t="shared" si="27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762"/>
        <v>0</v>
      </c>
      <c r="R2576" s="7">
        <f t="shared" si="2763"/>
        <v>0</v>
      </c>
      <c r="S2576" t="str">
        <f t="shared" si="2764"/>
        <v>food</v>
      </c>
      <c r="T2576" t="str">
        <f t="shared" si="276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ref="K2577:L2577" si="2779">(J2577/60/60/24)+DATE(1970,1,1)</f>
        <v>41986.108726851846</v>
      </c>
      <c r="L2577" s="11">
        <f t="shared" si="27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762"/>
        <v>0</v>
      </c>
      <c r="R2577" s="7">
        <f t="shared" si="2763"/>
        <v>0</v>
      </c>
      <c r="S2577" t="str">
        <f t="shared" si="2764"/>
        <v>food</v>
      </c>
      <c r="T2577" t="str">
        <f t="shared" si="276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ref="K2578:L2578" si="2780">(J2578/60/60/24)+DATE(1970,1,1)</f>
        <v>42060.00980324074</v>
      </c>
      <c r="L2578" s="11">
        <f t="shared" si="27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762"/>
        <v>0</v>
      </c>
      <c r="R2578" s="7">
        <f t="shared" si="2763"/>
        <v>0</v>
      </c>
      <c r="S2578" t="str">
        <f t="shared" si="2764"/>
        <v>food</v>
      </c>
      <c r="T2578" t="str">
        <f t="shared" si="276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ref="K2579:L2579" si="2781">(J2579/60/60/24)+DATE(1970,1,1)</f>
        <v>41830.820567129631</v>
      </c>
      <c r="L2579" s="11">
        <f t="shared" si="27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762"/>
        <v>0</v>
      </c>
      <c r="R2579" s="7">
        <f t="shared" si="2763"/>
        <v>0</v>
      </c>
      <c r="S2579" t="str">
        <f t="shared" si="2764"/>
        <v>food</v>
      </c>
      <c r="T2579" t="str">
        <f t="shared" si="276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ref="K2580:L2580" si="2782">(J2580/60/60/24)+DATE(1970,1,1)</f>
        <v>42238.022905092599</v>
      </c>
      <c r="L2580" s="11">
        <f t="shared" si="27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762"/>
        <v>0</v>
      </c>
      <c r="R2580" s="7">
        <f t="shared" si="2763"/>
        <v>0</v>
      </c>
      <c r="S2580" t="str">
        <f t="shared" si="2764"/>
        <v>food</v>
      </c>
      <c r="T2580" t="str">
        <f t="shared" si="276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ref="K2581:L2581" si="2783">(J2581/60/60/24)+DATE(1970,1,1)</f>
        <v>41837.829895833333</v>
      </c>
      <c r="L2581" s="11">
        <f t="shared" si="27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762"/>
        <v>0.13849999999999998</v>
      </c>
      <c r="R2581" s="7">
        <f t="shared" si="2763"/>
        <v>23.083333333333332</v>
      </c>
      <c r="S2581" t="str">
        <f t="shared" si="2764"/>
        <v>food</v>
      </c>
      <c r="T2581" t="str">
        <f t="shared" si="276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ref="K2582:L2582" si="2784">(J2582/60/60/24)+DATE(1970,1,1)</f>
        <v>42110.326423611114</v>
      </c>
      <c r="L2582" s="11">
        <f t="shared" si="2761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762"/>
        <v>0.6</v>
      </c>
      <c r="R2582" s="7">
        <f t="shared" si="2763"/>
        <v>25.5</v>
      </c>
      <c r="S2582" t="str">
        <f t="shared" si="2764"/>
        <v>food</v>
      </c>
      <c r="T2582" t="str">
        <f t="shared" si="276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ref="K2583:L2583" si="2785">(J2583/60/60/24)+DATE(1970,1,1)</f>
        <v>42294.628449074073</v>
      </c>
      <c r="L2583" s="11">
        <f t="shared" si="27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762"/>
        <v>10.6</v>
      </c>
      <c r="R2583" s="7">
        <f t="shared" si="2763"/>
        <v>48.18181818181818</v>
      </c>
      <c r="S2583" t="str">
        <f t="shared" si="2764"/>
        <v>food</v>
      </c>
      <c r="T2583" t="str">
        <f t="shared" si="276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ref="K2584:L2584" si="2786">(J2584/60/60/24)+DATE(1970,1,1)</f>
        <v>42642.988819444443</v>
      </c>
      <c r="L2584" s="11">
        <f t="shared" si="27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762"/>
        <v>1.1111111111111111E-3</v>
      </c>
      <c r="R2584" s="7">
        <f t="shared" si="2763"/>
        <v>1</v>
      </c>
      <c r="S2584" t="str">
        <f t="shared" si="2764"/>
        <v>food</v>
      </c>
      <c r="T2584" t="str">
        <f t="shared" si="276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ref="K2585:L2585" si="2787">(J2585/60/60/24)+DATE(1970,1,1)</f>
        <v>42019.76944444445</v>
      </c>
      <c r="L2585" s="11">
        <f t="shared" si="27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762"/>
        <v>0.5</v>
      </c>
      <c r="R2585" s="7">
        <f t="shared" si="2763"/>
        <v>1</v>
      </c>
      <c r="S2585" t="str">
        <f t="shared" si="2764"/>
        <v>food</v>
      </c>
      <c r="T2585" t="str">
        <f t="shared" si="276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ref="K2586:L2586" si="2788">(J2586/60/60/24)+DATE(1970,1,1)</f>
        <v>42140.173252314817</v>
      </c>
      <c r="L2586" s="11">
        <f t="shared" si="27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762"/>
        <v>0</v>
      </c>
      <c r="R2586" s="7">
        <f t="shared" si="2763"/>
        <v>0</v>
      </c>
      <c r="S2586" t="str">
        <f t="shared" si="2764"/>
        <v>food</v>
      </c>
      <c r="T2586" t="str">
        <f t="shared" si="276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ref="K2587:L2587" si="2789">(J2587/60/60/24)+DATE(1970,1,1)</f>
        <v>41795.963333333333</v>
      </c>
      <c r="L2587" s="11">
        <f t="shared" si="27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762"/>
        <v>0.16666666666666669</v>
      </c>
      <c r="R2587" s="7">
        <f t="shared" si="2763"/>
        <v>50</v>
      </c>
      <c r="S2587" t="str">
        <f t="shared" si="2764"/>
        <v>food</v>
      </c>
      <c r="T2587" t="str">
        <f t="shared" si="276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ref="K2588:L2588" si="2790">(J2588/60/60/24)+DATE(1970,1,1)</f>
        <v>42333.330277777779</v>
      </c>
      <c r="L2588" s="11">
        <f t="shared" si="27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762"/>
        <v>0.16666666666666669</v>
      </c>
      <c r="R2588" s="7">
        <f t="shared" si="2763"/>
        <v>5</v>
      </c>
      <c r="S2588" t="str">
        <f t="shared" si="2764"/>
        <v>food</v>
      </c>
      <c r="T2588" t="str">
        <f t="shared" si="276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ref="K2589:L2589" si="2791">(J2589/60/60/24)+DATE(1970,1,1)</f>
        <v>42338.675381944442</v>
      </c>
      <c r="L2589" s="11">
        <f t="shared" si="27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762"/>
        <v>2.4340000000000002</v>
      </c>
      <c r="R2589" s="7">
        <f t="shared" si="2763"/>
        <v>202.83333333333334</v>
      </c>
      <c r="S2589" t="str">
        <f t="shared" si="2764"/>
        <v>food</v>
      </c>
      <c r="T2589" t="str">
        <f t="shared" si="276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ref="K2590:L2590" si="2792">(J2590/60/60/24)+DATE(1970,1,1)</f>
        <v>42042.676226851851</v>
      </c>
      <c r="L2590" s="11">
        <f t="shared" si="27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762"/>
        <v>3.8833333333333329</v>
      </c>
      <c r="R2590" s="7">
        <f t="shared" si="2763"/>
        <v>29.125</v>
      </c>
      <c r="S2590" t="str">
        <f t="shared" si="2764"/>
        <v>food</v>
      </c>
      <c r="T2590" t="str">
        <f t="shared" si="276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ref="K2591:L2591" si="2793">(J2591/60/60/24)+DATE(1970,1,1)</f>
        <v>42422.536192129628</v>
      </c>
      <c r="L2591" s="11">
        <f t="shared" si="27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762"/>
        <v>0.01</v>
      </c>
      <c r="R2591" s="7">
        <f t="shared" si="2763"/>
        <v>5</v>
      </c>
      <c r="S2591" t="str">
        <f t="shared" si="2764"/>
        <v>food</v>
      </c>
      <c r="T2591" t="str">
        <f t="shared" si="276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ref="K2592:L2592" si="2794">(J2592/60/60/24)+DATE(1970,1,1)</f>
        <v>42388.589085648149</v>
      </c>
      <c r="L2592" s="11">
        <f t="shared" si="27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762"/>
        <v>0</v>
      </c>
      <c r="R2592" s="7">
        <f t="shared" si="2763"/>
        <v>0</v>
      </c>
      <c r="S2592" t="str">
        <f t="shared" si="2764"/>
        <v>food</v>
      </c>
      <c r="T2592" t="str">
        <f t="shared" si="276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ref="K2593:L2593" si="2795">(J2593/60/60/24)+DATE(1970,1,1)</f>
        <v>42382.906527777777</v>
      </c>
      <c r="L2593" s="11">
        <f t="shared" si="27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762"/>
        <v>1.7333333333333332</v>
      </c>
      <c r="R2593" s="7">
        <f t="shared" si="2763"/>
        <v>13</v>
      </c>
      <c r="S2593" t="str">
        <f t="shared" si="2764"/>
        <v>food</v>
      </c>
      <c r="T2593" t="str">
        <f t="shared" si="276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ref="K2594:L2594" si="2796">(J2594/60/60/24)+DATE(1970,1,1)</f>
        <v>41887.801168981481</v>
      </c>
      <c r="L2594" s="11">
        <f t="shared" si="27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762"/>
        <v>0.16666666666666669</v>
      </c>
      <c r="R2594" s="7">
        <f t="shared" si="2763"/>
        <v>50</v>
      </c>
      <c r="S2594" t="str">
        <f t="shared" si="2764"/>
        <v>food</v>
      </c>
      <c r="T2594" t="str">
        <f t="shared" si="276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ref="K2595:L2595" si="2797">(J2595/60/60/24)+DATE(1970,1,1)</f>
        <v>42089.84520833334</v>
      </c>
      <c r="L2595" s="11">
        <f t="shared" si="27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762"/>
        <v>0</v>
      </c>
      <c r="R2595" s="7">
        <f t="shared" si="2763"/>
        <v>0</v>
      </c>
      <c r="S2595" t="str">
        <f t="shared" si="2764"/>
        <v>food</v>
      </c>
      <c r="T2595" t="str">
        <f t="shared" si="276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ref="K2596:L2596" si="2798">(J2596/60/60/24)+DATE(1970,1,1)</f>
        <v>41828.967916666668</v>
      </c>
      <c r="L2596" s="11">
        <f t="shared" si="27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762"/>
        <v>1.25E-3</v>
      </c>
      <c r="R2596" s="7">
        <f t="shared" si="2763"/>
        <v>1</v>
      </c>
      <c r="S2596" t="str">
        <f t="shared" si="2764"/>
        <v>food</v>
      </c>
      <c r="T2596" t="str">
        <f t="shared" si="276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ref="K2597:L2597" si="2799">(J2597/60/60/24)+DATE(1970,1,1)</f>
        <v>42760.244212962964</v>
      </c>
      <c r="L2597" s="11">
        <f t="shared" si="27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762"/>
        <v>12.166666666666668</v>
      </c>
      <c r="R2597" s="7">
        <f t="shared" si="2763"/>
        <v>96.05263157894737</v>
      </c>
      <c r="S2597" t="str">
        <f t="shared" si="2764"/>
        <v>food</v>
      </c>
      <c r="T2597" t="str">
        <f t="shared" si="276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ref="K2598:L2598" si="2800">(J2598/60/60/24)+DATE(1970,1,1)</f>
        <v>41828.664456018516</v>
      </c>
      <c r="L2598" s="11">
        <f t="shared" si="27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762"/>
        <v>23.588571428571427</v>
      </c>
      <c r="R2598" s="7">
        <f t="shared" si="2763"/>
        <v>305.77777777777777</v>
      </c>
      <c r="S2598" t="str">
        <f t="shared" si="2764"/>
        <v>food</v>
      </c>
      <c r="T2598" t="str">
        <f t="shared" si="276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ref="K2599:L2599" si="2801">(J2599/60/60/24)+DATE(1970,1,1)</f>
        <v>42510.341631944444</v>
      </c>
      <c r="L2599" s="11">
        <f t="shared" si="27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762"/>
        <v>5.6666666666666661</v>
      </c>
      <c r="R2599" s="7">
        <f t="shared" si="2763"/>
        <v>12.142857142857142</v>
      </c>
      <c r="S2599" t="str">
        <f t="shared" si="2764"/>
        <v>food</v>
      </c>
      <c r="T2599" t="str">
        <f t="shared" si="276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ref="K2600:L2600" si="2802">(J2600/60/60/24)+DATE(1970,1,1)</f>
        <v>42240.840289351851</v>
      </c>
      <c r="L2600" s="11">
        <f t="shared" si="27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762"/>
        <v>39</v>
      </c>
      <c r="R2600" s="7">
        <f t="shared" si="2763"/>
        <v>83.571428571428569</v>
      </c>
      <c r="S2600" t="str">
        <f t="shared" si="2764"/>
        <v>food</v>
      </c>
      <c r="T2600" t="str">
        <f t="shared" si="276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ref="K2601:L2601" si="2803">(J2601/60/60/24)+DATE(1970,1,1)</f>
        <v>41809.754016203704</v>
      </c>
      <c r="L2601" s="11">
        <f t="shared" si="27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762"/>
        <v>0.99546510341776351</v>
      </c>
      <c r="R2601" s="7">
        <f t="shared" si="2763"/>
        <v>18</v>
      </c>
      <c r="S2601" t="str">
        <f t="shared" si="2764"/>
        <v>food</v>
      </c>
      <c r="T2601" t="str">
        <f t="shared" si="276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ref="K2602:L2602" si="2804">(J2602/60/60/24)+DATE(1970,1,1)</f>
        <v>42394.900462962964</v>
      </c>
      <c r="L2602" s="11">
        <f t="shared" si="27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762"/>
        <v>6.9320000000000004</v>
      </c>
      <c r="R2602" s="7">
        <f t="shared" si="2763"/>
        <v>115.53333333333333</v>
      </c>
      <c r="S2602" t="str">
        <f t="shared" si="2764"/>
        <v>food</v>
      </c>
      <c r="T2602" t="str">
        <f t="shared" si="276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ref="K2603:L2603" si="2805">(J2603/60/60/24)+DATE(1970,1,1)</f>
        <v>41150.902187499996</v>
      </c>
      <c r="L2603" s="11">
        <f t="shared" si="27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762"/>
        <v>661.4</v>
      </c>
      <c r="R2603" s="7">
        <f t="shared" si="2763"/>
        <v>21.900662251655628</v>
      </c>
      <c r="S2603" t="str">
        <f t="shared" si="2764"/>
        <v>technology</v>
      </c>
      <c r="T2603" t="str">
        <f t="shared" si="276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ref="K2604:L2604" si="2806">(J2604/60/60/24)+DATE(1970,1,1)</f>
        <v>41915.747314814813</v>
      </c>
      <c r="L2604" s="11">
        <f t="shared" si="27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762"/>
        <v>326.0916666666667</v>
      </c>
      <c r="R2604" s="7">
        <f t="shared" si="2763"/>
        <v>80.022494887525568</v>
      </c>
      <c r="S2604" t="str">
        <f t="shared" si="2764"/>
        <v>technology</v>
      </c>
      <c r="T2604" t="str">
        <f t="shared" si="276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ref="K2605:L2605" si="2807">(J2605/60/60/24)+DATE(1970,1,1)</f>
        <v>41617.912662037037</v>
      </c>
      <c r="L2605" s="11">
        <f t="shared" si="27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762"/>
        <v>101.48571428571429</v>
      </c>
      <c r="R2605" s="7">
        <f t="shared" si="2763"/>
        <v>35.520000000000003</v>
      </c>
      <c r="S2605" t="str">
        <f t="shared" si="2764"/>
        <v>technology</v>
      </c>
      <c r="T2605" t="str">
        <f t="shared" si="276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ref="K2606:L2606" si="2808">(J2606/60/60/24)+DATE(1970,1,1)</f>
        <v>40998.051192129627</v>
      </c>
      <c r="L2606" s="11">
        <f t="shared" si="27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762"/>
        <v>104.21799999999999</v>
      </c>
      <c r="R2606" s="7">
        <f t="shared" si="2763"/>
        <v>64.933333333333323</v>
      </c>
      <c r="S2606" t="str">
        <f t="shared" si="2764"/>
        <v>technology</v>
      </c>
      <c r="T2606" t="str">
        <f t="shared" si="276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ref="K2607:L2607" si="2809">(J2607/60/60/24)+DATE(1970,1,1)</f>
        <v>42508.541550925926</v>
      </c>
      <c r="L2607" s="11">
        <f t="shared" si="27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762"/>
        <v>107.42157000000002</v>
      </c>
      <c r="R2607" s="7">
        <f t="shared" si="2763"/>
        <v>60.965703745743475</v>
      </c>
      <c r="S2607" t="str">
        <f t="shared" si="2764"/>
        <v>technology</v>
      </c>
      <c r="T2607" t="str">
        <f t="shared" si="276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ref="K2608:L2608" si="2810">(J2608/60/60/24)+DATE(1970,1,1)</f>
        <v>41726.712754629632</v>
      </c>
      <c r="L2608" s="11">
        <f t="shared" si="27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762"/>
        <v>110.05454545454545</v>
      </c>
      <c r="R2608" s="7">
        <f t="shared" si="2763"/>
        <v>31.444155844155844</v>
      </c>
      <c r="S2608" t="str">
        <f t="shared" si="2764"/>
        <v>technology</v>
      </c>
      <c r="T2608" t="str">
        <f t="shared" si="276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ref="K2609:L2609" si="2811">(J2609/60/60/24)+DATE(1970,1,1)</f>
        <v>42184.874675925923</v>
      </c>
      <c r="L2609" s="11">
        <f t="shared" si="27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762"/>
        <v>407.7</v>
      </c>
      <c r="R2609" s="7">
        <f t="shared" si="2763"/>
        <v>81.949748743718587</v>
      </c>
      <c r="S2609" t="str">
        <f t="shared" si="2764"/>
        <v>technology</v>
      </c>
      <c r="T2609" t="str">
        <f t="shared" si="276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ref="K2610:L2610" si="2812">(J2610/60/60/24)+DATE(1970,1,1)</f>
        <v>42767.801712962959</v>
      </c>
      <c r="L2610" s="11">
        <f t="shared" si="2761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762"/>
        <v>223.92500000000001</v>
      </c>
      <c r="R2610" s="7">
        <f t="shared" si="2763"/>
        <v>58.92763157894737</v>
      </c>
      <c r="S2610" t="str">
        <f t="shared" si="2764"/>
        <v>technology</v>
      </c>
      <c r="T2610" t="str">
        <f t="shared" si="276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ref="K2611:L2611" si="2813">(J2611/60/60/24)+DATE(1970,1,1)</f>
        <v>41075.237858796296</v>
      </c>
      <c r="L2611" s="11">
        <f t="shared" si="27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762"/>
        <v>303.80111428571428</v>
      </c>
      <c r="R2611" s="7">
        <f t="shared" si="2763"/>
        <v>157.29347633136095</v>
      </c>
      <c r="S2611" t="str">
        <f t="shared" si="2764"/>
        <v>technology</v>
      </c>
      <c r="T2611" t="str">
        <f t="shared" si="276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ref="K2612:L2612" si="2814">(J2612/60/60/24)+DATE(1970,1,1)</f>
        <v>42564.881076388891</v>
      </c>
      <c r="L2612" s="11">
        <f t="shared" si="27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762"/>
        <v>141.3251043268175</v>
      </c>
      <c r="R2612" s="7">
        <f t="shared" si="2763"/>
        <v>55.758509532062391</v>
      </c>
      <c r="S2612" t="str">
        <f t="shared" si="2764"/>
        <v>technology</v>
      </c>
      <c r="T2612" t="str">
        <f t="shared" si="276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ref="K2613:L2613" si="2815">(J2613/60/60/24)+DATE(1970,1,1)</f>
        <v>42704.335810185185</v>
      </c>
      <c r="L2613" s="11">
        <f t="shared" si="27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762"/>
        <v>2790.6363636363635</v>
      </c>
      <c r="R2613" s="7">
        <f t="shared" si="2763"/>
        <v>83.802893802893806</v>
      </c>
      <c r="S2613" t="str">
        <f t="shared" si="2764"/>
        <v>technology</v>
      </c>
      <c r="T2613" t="str">
        <f t="shared" si="276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ref="K2614:L2614" si="2816">(J2614/60/60/24)+DATE(1970,1,1)</f>
        <v>41982.143171296295</v>
      </c>
      <c r="L2614" s="11">
        <f t="shared" si="27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762"/>
        <v>171.76130000000001</v>
      </c>
      <c r="R2614" s="7">
        <f t="shared" si="2763"/>
        <v>58.422210884353746</v>
      </c>
      <c r="S2614" t="str">
        <f t="shared" si="2764"/>
        <v>technology</v>
      </c>
      <c r="T2614" t="str">
        <f t="shared" si="276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ref="K2615:L2615" si="2817">(J2615/60/60/24)+DATE(1970,1,1)</f>
        <v>41143.81821759259</v>
      </c>
      <c r="L2615" s="11">
        <f t="shared" si="27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762"/>
        <v>101.01333333333334</v>
      </c>
      <c r="R2615" s="7">
        <f t="shared" si="2763"/>
        <v>270.57142857142856</v>
      </c>
      <c r="S2615" t="str">
        <f t="shared" si="2764"/>
        <v>technology</v>
      </c>
      <c r="T2615" t="str">
        <f t="shared" si="276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ref="K2616:L2616" si="2818">(J2616/60/60/24)+DATE(1970,1,1)</f>
        <v>41730.708472222221</v>
      </c>
      <c r="L2616" s="11">
        <f t="shared" si="27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762"/>
        <v>102</v>
      </c>
      <c r="R2616" s="7">
        <f t="shared" si="2763"/>
        <v>107.1</v>
      </c>
      <c r="S2616" t="str">
        <f t="shared" si="2764"/>
        <v>technology</v>
      </c>
      <c r="T2616" t="str">
        <f t="shared" si="276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ref="K2617:L2617" si="2819">(J2617/60/60/24)+DATE(1970,1,1)</f>
        <v>42453.49726851852</v>
      </c>
      <c r="L2617" s="11">
        <f t="shared" si="2761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762"/>
        <v>169.76511744127936</v>
      </c>
      <c r="R2617" s="7">
        <f t="shared" si="2763"/>
        <v>47.180555555555557</v>
      </c>
      <c r="S2617" t="str">
        <f t="shared" si="2764"/>
        <v>technology</v>
      </c>
      <c r="T2617" t="str">
        <f t="shared" si="276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ref="K2618:L2618" si="2820">(J2618/60/60/24)+DATE(1970,1,1)</f>
        <v>42211.99454861111</v>
      </c>
      <c r="L2618" s="11">
        <f t="shared" si="27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762"/>
        <v>114.53400000000001</v>
      </c>
      <c r="R2618" s="7">
        <f t="shared" si="2763"/>
        <v>120.30882352941177</v>
      </c>
      <c r="S2618" t="str">
        <f t="shared" si="2764"/>
        <v>technology</v>
      </c>
      <c r="T2618" t="str">
        <f t="shared" si="276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ref="K2619:L2619" si="2821">(J2619/60/60/24)+DATE(1970,1,1)</f>
        <v>41902.874432870369</v>
      </c>
      <c r="L2619" s="11">
        <f t="shared" si="27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762"/>
        <v>877.6</v>
      </c>
      <c r="R2619" s="7">
        <f t="shared" si="2763"/>
        <v>27.59748427672956</v>
      </c>
      <c r="S2619" t="str">
        <f t="shared" si="2764"/>
        <v>technology</v>
      </c>
      <c r="T2619" t="str">
        <f t="shared" si="276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ref="K2620:L2620" si="2822">(J2620/60/60/24)+DATE(1970,1,1)</f>
        <v>42279.792372685188</v>
      </c>
      <c r="L2620" s="11">
        <f t="shared" si="27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762"/>
        <v>105.38666666666667</v>
      </c>
      <c r="R2620" s="7">
        <f t="shared" si="2763"/>
        <v>205.2987012987013</v>
      </c>
      <c r="S2620" t="str">
        <f t="shared" si="2764"/>
        <v>technology</v>
      </c>
      <c r="T2620" t="str">
        <f t="shared" si="276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ref="K2621:L2621" si="2823">(J2621/60/60/24)+DATE(1970,1,1)</f>
        <v>42273.884305555555</v>
      </c>
      <c r="L2621" s="11">
        <f t="shared" si="27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762"/>
        <v>188.39999999999998</v>
      </c>
      <c r="R2621" s="7">
        <f t="shared" si="2763"/>
        <v>35.547169811320757</v>
      </c>
      <c r="S2621" t="str">
        <f t="shared" si="2764"/>
        <v>technology</v>
      </c>
      <c r="T2621" t="str">
        <f t="shared" si="276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ref="K2622:L2622" si="2824">(J2622/60/60/24)+DATE(1970,1,1)</f>
        <v>42251.16715277778</v>
      </c>
      <c r="L2622" s="11">
        <f t="shared" si="27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762"/>
        <v>143.65230769230772</v>
      </c>
      <c r="R2622" s="7">
        <f t="shared" si="2763"/>
        <v>74.639488409272587</v>
      </c>
      <c r="S2622" t="str">
        <f t="shared" si="2764"/>
        <v>technology</v>
      </c>
      <c r="T2622" t="str">
        <f t="shared" si="276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ref="K2623:L2623" si="2825">(J2623/60/60/24)+DATE(1970,1,1)</f>
        <v>42115.74754629629</v>
      </c>
      <c r="L2623" s="11">
        <f t="shared" si="27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762"/>
        <v>145.88</v>
      </c>
      <c r="R2623" s="7">
        <f t="shared" si="2763"/>
        <v>47.058064516129029</v>
      </c>
      <c r="S2623" t="str">
        <f t="shared" si="2764"/>
        <v>technology</v>
      </c>
      <c r="T2623" t="str">
        <f t="shared" si="276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ref="K2624:L2624" si="2826">(J2624/60/60/24)+DATE(1970,1,1)</f>
        <v>42689.74324074074</v>
      </c>
      <c r="L2624" s="11">
        <f t="shared" si="27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762"/>
        <v>131.184</v>
      </c>
      <c r="R2624" s="7">
        <f t="shared" si="2763"/>
        <v>26.591351351351353</v>
      </c>
      <c r="S2624" t="str">
        <f t="shared" si="2764"/>
        <v>technology</v>
      </c>
      <c r="T2624" t="str">
        <f t="shared" si="276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ref="K2625:L2625" si="2827">(J2625/60/60/24)+DATE(1970,1,1)</f>
        <v>42692.256550925929</v>
      </c>
      <c r="L2625" s="11">
        <f t="shared" si="27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762"/>
        <v>113.99999999999999</v>
      </c>
      <c r="R2625" s="7">
        <f t="shared" si="2763"/>
        <v>36.774193548387096</v>
      </c>
      <c r="S2625" t="str">
        <f t="shared" si="2764"/>
        <v>technology</v>
      </c>
      <c r="T2625" t="str">
        <f t="shared" si="276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ref="K2626:L2626" si="2828">(J2626/60/60/24)+DATE(1970,1,1)</f>
        <v>41144.42155092593</v>
      </c>
      <c r="L2626" s="11">
        <f t="shared" si="27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762"/>
        <v>1379.4206249999997</v>
      </c>
      <c r="R2626" s="7">
        <f t="shared" si="2763"/>
        <v>31.820544982698959</v>
      </c>
      <c r="S2626" t="str">
        <f t="shared" si="2764"/>
        <v>technology</v>
      </c>
      <c r="T2626" t="str">
        <f t="shared" si="276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ref="K2627:L2627" si="2829">(J2627/60/60/24)+DATE(1970,1,1)</f>
        <v>42658.810277777782</v>
      </c>
      <c r="L2627" s="11">
        <f t="shared" ref="L2627:L2690" si="2830">(I2627/60/60/24)+DATE(1970,1,1)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831">(E2627/D2627)*100</f>
        <v>956</v>
      </c>
      <c r="R2627" s="7">
        <f t="shared" ref="R2627:R2690" si="2832">IFERROR(E2627/N2627, 0)</f>
        <v>27.576923076923077</v>
      </c>
      <c r="S2627" t="str">
        <f t="shared" ref="S2627:S2690" si="2833">LEFT(P2627, SEARCH("/", P2627,1)-1)</f>
        <v>technology</v>
      </c>
      <c r="T2627" t="str">
        <f t="shared" ref="T2627:T2690" si="2834">RIGHT(P2627,LEN(P2627)-SEARCH("/",P2627,SEARCH("/",P2627)))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ref="K2628:L2628" si="2835">(J2628/60/60/24)+DATE(1970,1,1)</f>
        <v>42128.628113425926</v>
      </c>
      <c r="L2628" s="11">
        <f t="shared" si="2830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831"/>
        <v>112.00000000000001</v>
      </c>
      <c r="R2628" s="7">
        <f t="shared" si="2832"/>
        <v>56</v>
      </c>
      <c r="S2628" t="str">
        <f t="shared" si="2833"/>
        <v>technology</v>
      </c>
      <c r="T2628" t="str">
        <f t="shared" si="2834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ref="K2629:L2629" si="2836">(J2629/60/60/24)+DATE(1970,1,1)</f>
        <v>42304.829409722224</v>
      </c>
      <c r="L2629" s="11">
        <f t="shared" si="2830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831"/>
        <v>646.66666666666663</v>
      </c>
      <c r="R2629" s="7">
        <f t="shared" si="2832"/>
        <v>21.555555555555557</v>
      </c>
      <c r="S2629" t="str">
        <f t="shared" si="2833"/>
        <v>technology</v>
      </c>
      <c r="T2629" t="str">
        <f t="shared" si="2834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ref="K2630:L2630" si="2837">(J2630/60/60/24)+DATE(1970,1,1)</f>
        <v>41953.966053240743</v>
      </c>
      <c r="L2630" s="11">
        <f t="shared" si="2830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831"/>
        <v>110.36948748510132</v>
      </c>
      <c r="R2630" s="7">
        <f t="shared" si="2832"/>
        <v>44.095238095238095</v>
      </c>
      <c r="S2630" t="str">
        <f t="shared" si="2833"/>
        <v>technology</v>
      </c>
      <c r="T2630" t="str">
        <f t="shared" si="2834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ref="K2631:L2631" si="2838">(J2631/60/60/24)+DATE(1970,1,1)</f>
        <v>42108.538449074069</v>
      </c>
      <c r="L2631" s="11">
        <f t="shared" si="2830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831"/>
        <v>127.74000000000001</v>
      </c>
      <c r="R2631" s="7">
        <f t="shared" si="2832"/>
        <v>63.87</v>
      </c>
      <c r="S2631" t="str">
        <f t="shared" si="2833"/>
        <v>technology</v>
      </c>
      <c r="T2631" t="str">
        <f t="shared" si="2834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ref="K2632:L2632" si="2839">(J2632/60/60/24)+DATE(1970,1,1)</f>
        <v>42524.105462962965</v>
      </c>
      <c r="L2632" s="11">
        <f t="shared" si="2830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831"/>
        <v>157.9</v>
      </c>
      <c r="R2632" s="7">
        <f t="shared" si="2832"/>
        <v>38.987654320987652</v>
      </c>
      <c r="S2632" t="str">
        <f t="shared" si="2833"/>
        <v>technology</v>
      </c>
      <c r="T2632" t="str">
        <f t="shared" si="2834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ref="K2633:L2633" si="2840">(J2633/60/60/24)+DATE(1970,1,1)</f>
        <v>42218.169293981482</v>
      </c>
      <c r="L2633" s="11">
        <f t="shared" si="2830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831"/>
        <v>114.66525000000001</v>
      </c>
      <c r="R2633" s="7">
        <f t="shared" si="2832"/>
        <v>80.185489510489504</v>
      </c>
      <c r="S2633" t="str">
        <f t="shared" si="2833"/>
        <v>technology</v>
      </c>
      <c r="T2633" t="str">
        <f t="shared" si="2834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ref="K2634:L2634" si="2841">(J2634/60/60/24)+DATE(1970,1,1)</f>
        <v>42494.061793981484</v>
      </c>
      <c r="L2634" s="11">
        <f t="shared" si="2830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831"/>
        <v>137.00934579439252</v>
      </c>
      <c r="R2634" s="7">
        <f t="shared" si="2832"/>
        <v>34.904761904761905</v>
      </c>
      <c r="S2634" t="str">
        <f t="shared" si="2833"/>
        <v>technology</v>
      </c>
      <c r="T2634" t="str">
        <f t="shared" si="2834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ref="K2635:L2635" si="2842">(J2635/60/60/24)+DATE(1970,1,1)</f>
        <v>41667.823287037041</v>
      </c>
      <c r="L2635" s="11">
        <f t="shared" si="2830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831"/>
        <v>354.62</v>
      </c>
      <c r="R2635" s="7">
        <f t="shared" si="2832"/>
        <v>89.100502512562812</v>
      </c>
      <c r="S2635" t="str">
        <f t="shared" si="2833"/>
        <v>technology</v>
      </c>
      <c r="T2635" t="str">
        <f t="shared" si="2834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ref="K2636:L2636" si="2843">(J2636/60/60/24)+DATE(1970,1,1)</f>
        <v>42612.656493055561</v>
      </c>
      <c r="L2636" s="11">
        <f t="shared" si="2830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831"/>
        <v>106.02150537634409</v>
      </c>
      <c r="R2636" s="7">
        <f t="shared" si="2832"/>
        <v>39.44</v>
      </c>
      <c r="S2636" t="str">
        <f t="shared" si="2833"/>
        <v>technology</v>
      </c>
      <c r="T2636" t="str">
        <f t="shared" si="2834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ref="K2637:L2637" si="2844">(J2637/60/60/24)+DATE(1970,1,1)</f>
        <v>42037.950937500005</v>
      </c>
      <c r="L2637" s="11">
        <f t="shared" si="2830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831"/>
        <v>100</v>
      </c>
      <c r="R2637" s="7">
        <f t="shared" si="2832"/>
        <v>136.9047619047619</v>
      </c>
      <c r="S2637" t="str">
        <f t="shared" si="2833"/>
        <v>technology</v>
      </c>
      <c r="T2637" t="str">
        <f t="shared" si="2834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ref="K2638:L2638" si="2845">(J2638/60/60/24)+DATE(1970,1,1)</f>
        <v>42636.614745370374</v>
      </c>
      <c r="L2638" s="11">
        <f t="shared" si="2830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831"/>
        <v>187.3</v>
      </c>
      <c r="R2638" s="7">
        <f t="shared" si="2832"/>
        <v>37.46</v>
      </c>
      <c r="S2638" t="str">
        <f t="shared" si="2833"/>
        <v>technology</v>
      </c>
      <c r="T2638" t="str">
        <f t="shared" si="2834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ref="K2639:L2639" si="2846">(J2639/60/60/24)+DATE(1970,1,1)</f>
        <v>42639.549479166672</v>
      </c>
      <c r="L2639" s="11">
        <f t="shared" si="2830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831"/>
        <v>166.2</v>
      </c>
      <c r="R2639" s="7">
        <f t="shared" si="2832"/>
        <v>31.96153846153846</v>
      </c>
      <c r="S2639" t="str">
        <f t="shared" si="2833"/>
        <v>technology</v>
      </c>
      <c r="T2639" t="str">
        <f t="shared" si="2834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ref="K2640:L2640" si="2847">(J2640/60/60/24)+DATE(1970,1,1)</f>
        <v>41989.913136574076</v>
      </c>
      <c r="L2640" s="11">
        <f t="shared" si="2830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831"/>
        <v>101.72910662824208</v>
      </c>
      <c r="R2640" s="7">
        <f t="shared" si="2832"/>
        <v>25.214285714285715</v>
      </c>
      <c r="S2640" t="str">
        <f t="shared" si="2833"/>
        <v>technology</v>
      </c>
      <c r="T2640" t="str">
        <f t="shared" si="2834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ref="K2641:L2641" si="2848">(J2641/60/60/24)+DATE(1970,1,1)</f>
        <v>42024.86513888889</v>
      </c>
      <c r="L2641" s="11">
        <f t="shared" si="2830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831"/>
        <v>164</v>
      </c>
      <c r="R2641" s="7">
        <f t="shared" si="2832"/>
        <v>10.040816326530612</v>
      </c>
      <c r="S2641" t="str">
        <f t="shared" si="2833"/>
        <v>technology</v>
      </c>
      <c r="T2641" t="str">
        <f t="shared" si="2834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ref="K2642:L2642" si="2849">(J2642/60/60/24)+DATE(1970,1,1)</f>
        <v>42103.160578703704</v>
      </c>
      <c r="L2642" s="11">
        <f t="shared" si="2830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831"/>
        <v>105.66666666666666</v>
      </c>
      <c r="R2642" s="7">
        <f t="shared" si="2832"/>
        <v>45.94202898550725</v>
      </c>
      <c r="S2642" t="str">
        <f t="shared" si="2833"/>
        <v>technology</v>
      </c>
      <c r="T2642" t="str">
        <f t="shared" si="2834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ref="K2643:L2643" si="2850">(J2643/60/60/24)+DATE(1970,1,1)</f>
        <v>41880.827118055553</v>
      </c>
      <c r="L2643" s="11">
        <f t="shared" si="2830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831"/>
        <v>1</v>
      </c>
      <c r="R2643" s="7">
        <f t="shared" si="2832"/>
        <v>15</v>
      </c>
      <c r="S2643" t="str">
        <f t="shared" si="2833"/>
        <v>technology</v>
      </c>
      <c r="T2643" t="str">
        <f t="shared" si="2834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ref="K2644:L2644" si="2851">(J2644/60/60/24)+DATE(1970,1,1)</f>
        <v>42536.246620370366</v>
      </c>
      <c r="L2644" s="11">
        <f t="shared" si="2830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831"/>
        <v>0</v>
      </c>
      <c r="R2644" s="7">
        <f t="shared" si="2832"/>
        <v>0</v>
      </c>
      <c r="S2644" t="str">
        <f t="shared" si="2833"/>
        <v>technology</v>
      </c>
      <c r="T2644" t="str">
        <f t="shared" si="2834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ref="K2645:L2645" si="2852">(J2645/60/60/24)+DATE(1970,1,1)</f>
        <v>42689.582349537035</v>
      </c>
      <c r="L2645" s="11">
        <f t="shared" si="2830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831"/>
        <v>33.559730999999999</v>
      </c>
      <c r="R2645" s="7">
        <f t="shared" si="2832"/>
        <v>223.58248500999335</v>
      </c>
      <c r="S2645" t="str">
        <f t="shared" si="2833"/>
        <v>technology</v>
      </c>
      <c r="T2645" t="str">
        <f t="shared" si="2834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ref="K2646:L2646" si="2853">(J2646/60/60/24)+DATE(1970,1,1)</f>
        <v>42774.792071759264</v>
      </c>
      <c r="L2646" s="11">
        <f t="shared" si="2830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831"/>
        <v>2.0529999999999999</v>
      </c>
      <c r="R2646" s="7">
        <f t="shared" si="2832"/>
        <v>39.480769230769234</v>
      </c>
      <c r="S2646" t="str">
        <f t="shared" si="2833"/>
        <v>technology</v>
      </c>
      <c r="T2646" t="str">
        <f t="shared" si="2834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ref="K2647:L2647" si="2854">(J2647/60/60/24)+DATE(1970,1,1)</f>
        <v>41921.842627314814</v>
      </c>
      <c r="L2647" s="11">
        <f t="shared" si="2830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831"/>
        <v>10.5</v>
      </c>
      <c r="R2647" s="7">
        <f t="shared" si="2832"/>
        <v>91.304347826086953</v>
      </c>
      <c r="S2647" t="str">
        <f t="shared" si="2833"/>
        <v>technology</v>
      </c>
      <c r="T2647" t="str">
        <f t="shared" si="2834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ref="K2648:L2648" si="2855">(J2648/60/60/24)+DATE(1970,1,1)</f>
        <v>42226.313298611116</v>
      </c>
      <c r="L2648" s="11">
        <f t="shared" si="2830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831"/>
        <v>8.4172840000000004</v>
      </c>
      <c r="R2648" s="7">
        <f t="shared" si="2832"/>
        <v>78.666205607476627</v>
      </c>
      <c r="S2648" t="str">
        <f t="shared" si="2833"/>
        <v>technology</v>
      </c>
      <c r="T2648" t="str">
        <f t="shared" si="2834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ref="K2649:L2649" si="2856">(J2649/60/60/24)+DATE(1970,1,1)</f>
        <v>42200.261793981481</v>
      </c>
      <c r="L2649" s="11">
        <f t="shared" si="2830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831"/>
        <v>1.44</v>
      </c>
      <c r="R2649" s="7">
        <f t="shared" si="2832"/>
        <v>12</v>
      </c>
      <c r="S2649" t="str">
        <f t="shared" si="2833"/>
        <v>technology</v>
      </c>
      <c r="T2649" t="str">
        <f t="shared" si="2834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ref="K2650:L2650" si="2857">(J2650/60/60/24)+DATE(1970,1,1)</f>
        <v>42408.714814814812</v>
      </c>
      <c r="L2650" s="11">
        <f t="shared" si="2830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831"/>
        <v>0.88333333333333341</v>
      </c>
      <c r="R2650" s="7">
        <f t="shared" si="2832"/>
        <v>17.666666666666668</v>
      </c>
      <c r="S2650" t="str">
        <f t="shared" si="2833"/>
        <v>technology</v>
      </c>
      <c r="T2650" t="str">
        <f t="shared" si="2834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ref="K2651:L2651" si="2858">(J2651/60/60/24)+DATE(1970,1,1)</f>
        <v>42341.99700231482</v>
      </c>
      <c r="L2651" s="11">
        <f t="shared" si="2830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831"/>
        <v>9.920000000000001E-2</v>
      </c>
      <c r="R2651" s="7">
        <f t="shared" si="2832"/>
        <v>41.333333333333336</v>
      </c>
      <c r="S2651" t="str">
        <f t="shared" si="2833"/>
        <v>technology</v>
      </c>
      <c r="T2651" t="str">
        <f t="shared" si="2834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ref="K2652:L2652" si="2859">(J2652/60/60/24)+DATE(1970,1,1)</f>
        <v>42695.624340277776</v>
      </c>
      <c r="L2652" s="11">
        <f t="shared" si="2830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831"/>
        <v>0.59666666666666668</v>
      </c>
      <c r="R2652" s="7">
        <f t="shared" si="2832"/>
        <v>71.599999999999994</v>
      </c>
      <c r="S2652" t="str">
        <f t="shared" si="2833"/>
        <v>technology</v>
      </c>
      <c r="T2652" t="str">
        <f t="shared" si="2834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ref="K2653:L2653" si="2860">(J2653/60/60/24)+DATE(1970,1,1)</f>
        <v>42327.805659722217</v>
      </c>
      <c r="L2653" s="11">
        <f t="shared" si="2830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831"/>
        <v>1.8689285714285715</v>
      </c>
      <c r="R2653" s="7">
        <f t="shared" si="2832"/>
        <v>307.8235294117647</v>
      </c>
      <c r="S2653" t="str">
        <f t="shared" si="2833"/>
        <v>technology</v>
      </c>
      <c r="T2653" t="str">
        <f t="shared" si="2834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ref="K2654:L2654" si="2861">(J2654/60/60/24)+DATE(1970,1,1)</f>
        <v>41953.158854166672</v>
      </c>
      <c r="L2654" s="11">
        <f t="shared" si="2830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831"/>
        <v>0.88500000000000001</v>
      </c>
      <c r="R2654" s="7">
        <f t="shared" si="2832"/>
        <v>80.454545454545453</v>
      </c>
      <c r="S2654" t="str">
        <f t="shared" si="2833"/>
        <v>technology</v>
      </c>
      <c r="T2654" t="str">
        <f t="shared" si="2834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ref="K2655:L2655" si="2862">(J2655/60/60/24)+DATE(1970,1,1)</f>
        <v>41771.651932870373</v>
      </c>
      <c r="L2655" s="11">
        <f t="shared" si="2830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831"/>
        <v>11.52156862745098</v>
      </c>
      <c r="R2655" s="7">
        <f t="shared" si="2832"/>
        <v>83.942857142857136</v>
      </c>
      <c r="S2655" t="str">
        <f t="shared" si="2833"/>
        <v>technology</v>
      </c>
      <c r="T2655" t="str">
        <f t="shared" si="2834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ref="K2656:L2656" si="2863">(J2656/60/60/24)+DATE(1970,1,1)</f>
        <v>42055.600995370376</v>
      </c>
      <c r="L2656" s="11">
        <f t="shared" si="2830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831"/>
        <v>5.1000000000000004E-2</v>
      </c>
      <c r="R2656" s="7">
        <f t="shared" si="2832"/>
        <v>8.5</v>
      </c>
      <c r="S2656" t="str">
        <f t="shared" si="2833"/>
        <v>technology</v>
      </c>
      <c r="T2656" t="str">
        <f t="shared" si="2834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ref="K2657:L2657" si="2864">(J2657/60/60/24)+DATE(1970,1,1)</f>
        <v>42381.866284722222</v>
      </c>
      <c r="L2657" s="11">
        <f t="shared" si="2830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831"/>
        <v>21.033333333333335</v>
      </c>
      <c r="R2657" s="7">
        <f t="shared" si="2832"/>
        <v>73.372093023255815</v>
      </c>
      <c r="S2657" t="str">
        <f t="shared" si="2833"/>
        <v>technology</v>
      </c>
      <c r="T2657" t="str">
        <f t="shared" si="2834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ref="K2658:L2658" si="2865">(J2658/60/60/24)+DATE(1970,1,1)</f>
        <v>42767.688518518517</v>
      </c>
      <c r="L2658" s="11">
        <f t="shared" si="2830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831"/>
        <v>11.436666666666667</v>
      </c>
      <c r="R2658" s="7">
        <f t="shared" si="2832"/>
        <v>112.86184210526316</v>
      </c>
      <c r="S2658" t="str">
        <f t="shared" si="2833"/>
        <v>technology</v>
      </c>
      <c r="T2658" t="str">
        <f t="shared" si="2834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ref="K2659:L2659" si="2866">(J2659/60/60/24)+DATE(1970,1,1)</f>
        <v>42551.928854166668</v>
      </c>
      <c r="L2659" s="11">
        <f t="shared" si="2830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831"/>
        <v>18.737933333333334</v>
      </c>
      <c r="R2659" s="7">
        <f t="shared" si="2832"/>
        <v>95.277627118644077</v>
      </c>
      <c r="S2659" t="str">
        <f t="shared" si="2833"/>
        <v>technology</v>
      </c>
      <c r="T2659" t="str">
        <f t="shared" si="2834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ref="K2660:L2660" si="2867">(J2660/60/60/24)+DATE(1970,1,1)</f>
        <v>42551.884189814817</v>
      </c>
      <c r="L2660" s="11">
        <f t="shared" si="2830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831"/>
        <v>9.285714285714286E-2</v>
      </c>
      <c r="R2660" s="7">
        <f t="shared" si="2832"/>
        <v>22.75</v>
      </c>
      <c r="S2660" t="str">
        <f t="shared" si="2833"/>
        <v>technology</v>
      </c>
      <c r="T2660" t="str">
        <f t="shared" si="2834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ref="K2661:L2661" si="2868">(J2661/60/60/24)+DATE(1970,1,1)</f>
        <v>42082.069560185191</v>
      </c>
      <c r="L2661" s="11">
        <f t="shared" si="2830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831"/>
        <v>2.7204081632653061</v>
      </c>
      <c r="R2661" s="7">
        <f t="shared" si="2832"/>
        <v>133.30000000000001</v>
      </c>
      <c r="S2661" t="str">
        <f t="shared" si="2833"/>
        <v>technology</v>
      </c>
      <c r="T2661" t="str">
        <f t="shared" si="2834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ref="K2662:L2662" si="2869">(J2662/60/60/24)+DATE(1970,1,1)</f>
        <v>42272.713171296295</v>
      </c>
      <c r="L2662" s="11">
        <f t="shared" si="2830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831"/>
        <v>9.5000000000000001E-2</v>
      </c>
      <c r="R2662" s="7">
        <f t="shared" si="2832"/>
        <v>3.8</v>
      </c>
      <c r="S2662" t="str">
        <f t="shared" si="2833"/>
        <v>technology</v>
      </c>
      <c r="T2662" t="str">
        <f t="shared" si="2834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ref="K2663:L2663" si="2870">(J2663/60/60/24)+DATE(1970,1,1)</f>
        <v>41542.958449074074</v>
      </c>
      <c r="L2663" s="11">
        <f t="shared" si="2830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831"/>
        <v>102.89999999999999</v>
      </c>
      <c r="R2663" s="7">
        <f t="shared" si="2832"/>
        <v>85.75</v>
      </c>
      <c r="S2663" t="str">
        <f t="shared" si="2833"/>
        <v>technology</v>
      </c>
      <c r="T2663" t="str">
        <f t="shared" si="2834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ref="K2664:L2664" si="2871">(J2664/60/60/24)+DATE(1970,1,1)</f>
        <v>42207.746678240743</v>
      </c>
      <c r="L2664" s="11">
        <f t="shared" si="2830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831"/>
        <v>106.80000000000001</v>
      </c>
      <c r="R2664" s="7">
        <f t="shared" si="2832"/>
        <v>267</v>
      </c>
      <c r="S2664" t="str">
        <f t="shared" si="2833"/>
        <v>technology</v>
      </c>
      <c r="T2664" t="str">
        <f t="shared" si="2834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ref="K2665:L2665" si="2872">(J2665/60/60/24)+DATE(1970,1,1)</f>
        <v>42222.622766203705</v>
      </c>
      <c r="L2665" s="11">
        <f t="shared" si="2830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831"/>
        <v>104.59625</v>
      </c>
      <c r="R2665" s="7">
        <f t="shared" si="2832"/>
        <v>373.55803571428572</v>
      </c>
      <c r="S2665" t="str">
        <f t="shared" si="2833"/>
        <v>technology</v>
      </c>
      <c r="T2665" t="str">
        <f t="shared" si="2834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ref="K2666:L2666" si="2873">(J2666/60/60/24)+DATE(1970,1,1)</f>
        <v>42313.02542824074</v>
      </c>
      <c r="L2666" s="11">
        <f t="shared" si="2830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831"/>
        <v>103.42857142857143</v>
      </c>
      <c r="R2666" s="7">
        <f t="shared" si="2832"/>
        <v>174.03846153846155</v>
      </c>
      <c r="S2666" t="str">
        <f t="shared" si="2833"/>
        <v>technology</v>
      </c>
      <c r="T2666" t="str">
        <f t="shared" si="2834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ref="K2667:L2667" si="2874">(J2667/60/60/24)+DATE(1970,1,1)</f>
        <v>42083.895532407405</v>
      </c>
      <c r="L2667" s="11">
        <f t="shared" si="2830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831"/>
        <v>123.14285714285715</v>
      </c>
      <c r="R2667" s="7">
        <f t="shared" si="2832"/>
        <v>93.695652173913047</v>
      </c>
      <c r="S2667" t="str">
        <f t="shared" si="2833"/>
        <v>technology</v>
      </c>
      <c r="T2667" t="str">
        <f t="shared" si="2834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ref="K2668:L2668" si="2875">(J2668/60/60/24)+DATE(1970,1,1)</f>
        <v>42235.764340277776</v>
      </c>
      <c r="L2668" s="11">
        <f t="shared" si="2830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831"/>
        <v>159.29509999999999</v>
      </c>
      <c r="R2668" s="7">
        <f t="shared" si="2832"/>
        <v>77.327718446601949</v>
      </c>
      <c r="S2668" t="str">
        <f t="shared" si="2833"/>
        <v>technology</v>
      </c>
      <c r="T2668" t="str">
        <f t="shared" si="2834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ref="K2669:L2669" si="2876">(J2669/60/60/24)+DATE(1970,1,1)</f>
        <v>42380.926111111112</v>
      </c>
      <c r="L2669" s="11">
        <f t="shared" si="2830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831"/>
        <v>110.66666666666667</v>
      </c>
      <c r="R2669" s="7">
        <f t="shared" si="2832"/>
        <v>92.222222222222229</v>
      </c>
      <c r="S2669" t="str">
        <f t="shared" si="2833"/>
        <v>technology</v>
      </c>
      <c r="T2669" t="str">
        <f t="shared" si="2834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ref="K2670:L2670" si="2877">(J2670/60/60/24)+DATE(1970,1,1)</f>
        <v>42275.588715277772</v>
      </c>
      <c r="L2670" s="11">
        <f t="shared" si="2830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831"/>
        <v>170.70000000000002</v>
      </c>
      <c r="R2670" s="7">
        <f t="shared" si="2832"/>
        <v>60.964285714285715</v>
      </c>
      <c r="S2670" t="str">
        <f t="shared" si="2833"/>
        <v>technology</v>
      </c>
      <c r="T2670" t="str">
        <f t="shared" si="2834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ref="K2671:L2671" si="2878">(J2671/60/60/24)+DATE(1970,1,1)</f>
        <v>42319.035833333335</v>
      </c>
      <c r="L2671" s="11">
        <f t="shared" si="2830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831"/>
        <v>125.125</v>
      </c>
      <c r="R2671" s="7">
        <f t="shared" si="2832"/>
        <v>91</v>
      </c>
      <c r="S2671" t="str">
        <f t="shared" si="2833"/>
        <v>technology</v>
      </c>
      <c r="T2671" t="str">
        <f t="shared" si="2834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ref="K2672:L2672" si="2879">(J2672/60/60/24)+DATE(1970,1,1)</f>
        <v>41821.020601851851</v>
      </c>
      <c r="L2672" s="11">
        <f t="shared" si="2830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831"/>
        <v>6.4158609339642041</v>
      </c>
      <c r="R2672" s="7">
        <f t="shared" si="2832"/>
        <v>41.583333333333336</v>
      </c>
      <c r="S2672" t="str">
        <f t="shared" si="2833"/>
        <v>technology</v>
      </c>
      <c r="T2672" t="str">
        <f t="shared" si="2834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ref="K2673:L2673" si="2880">(J2673/60/60/24)+DATE(1970,1,1)</f>
        <v>41962.749027777783</v>
      </c>
      <c r="L2673" s="11">
        <f t="shared" si="2830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831"/>
        <v>11.343999999999999</v>
      </c>
      <c r="R2673" s="7">
        <f t="shared" si="2832"/>
        <v>33.761904761904759</v>
      </c>
      <c r="S2673" t="str">
        <f t="shared" si="2833"/>
        <v>technology</v>
      </c>
      <c r="T2673" t="str">
        <f t="shared" si="2834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ref="K2674:L2674" si="2881">(J2674/60/60/24)+DATE(1970,1,1)</f>
        <v>42344.884143518517</v>
      </c>
      <c r="L2674" s="11">
        <f t="shared" si="2830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831"/>
        <v>33.19</v>
      </c>
      <c r="R2674" s="7">
        <f t="shared" si="2832"/>
        <v>70.61702127659575</v>
      </c>
      <c r="S2674" t="str">
        <f t="shared" si="2833"/>
        <v>technology</v>
      </c>
      <c r="T2674" t="str">
        <f t="shared" si="2834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ref="K2675:L2675" si="2882">(J2675/60/60/24)+DATE(1970,1,1)</f>
        <v>41912.541655092595</v>
      </c>
      <c r="L2675" s="11">
        <f t="shared" si="2830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831"/>
        <v>27.58</v>
      </c>
      <c r="R2675" s="7">
        <f t="shared" si="2832"/>
        <v>167.15151515151516</v>
      </c>
      <c r="S2675" t="str">
        <f t="shared" si="2833"/>
        <v>technology</v>
      </c>
      <c r="T2675" t="str">
        <f t="shared" si="2834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ref="K2676:L2676" si="2883">(J2676/60/60/24)+DATE(1970,1,1)</f>
        <v>42529.632754629631</v>
      </c>
      <c r="L2676" s="11">
        <f t="shared" si="2830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831"/>
        <v>62.839999999999996</v>
      </c>
      <c r="R2676" s="7">
        <f t="shared" si="2832"/>
        <v>128.61988304093566</v>
      </c>
      <c r="S2676" t="str">
        <f t="shared" si="2833"/>
        <v>technology</v>
      </c>
      <c r="T2676" t="str">
        <f t="shared" si="2834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ref="K2677:L2677" si="2884">(J2677/60/60/24)+DATE(1970,1,1)</f>
        <v>41923.857511574075</v>
      </c>
      <c r="L2677" s="11">
        <f t="shared" si="2830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831"/>
        <v>7.5880000000000001</v>
      </c>
      <c r="R2677" s="7">
        <f t="shared" si="2832"/>
        <v>65.41379310344827</v>
      </c>
      <c r="S2677" t="str">
        <f t="shared" si="2833"/>
        <v>technology</v>
      </c>
      <c r="T2677" t="str">
        <f t="shared" si="2834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ref="K2678:L2678" si="2885">(J2678/60/60/24)+DATE(1970,1,1)</f>
        <v>42482.624699074076</v>
      </c>
      <c r="L2678" s="11">
        <f t="shared" si="2830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831"/>
        <v>50.38095238095238</v>
      </c>
      <c r="R2678" s="7">
        <f t="shared" si="2832"/>
        <v>117.55555555555556</v>
      </c>
      <c r="S2678" t="str">
        <f t="shared" si="2833"/>
        <v>technology</v>
      </c>
      <c r="T2678" t="str">
        <f t="shared" si="2834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ref="K2679:L2679" si="2886">(J2679/60/60/24)+DATE(1970,1,1)</f>
        <v>41793.029432870368</v>
      </c>
      <c r="L2679" s="11">
        <f t="shared" si="2830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831"/>
        <v>17.512820512820511</v>
      </c>
      <c r="R2679" s="7">
        <f t="shared" si="2832"/>
        <v>126.48148148148148</v>
      </c>
      <c r="S2679" t="str">
        <f t="shared" si="2833"/>
        <v>technology</v>
      </c>
      <c r="T2679" t="str">
        <f t="shared" si="2834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ref="K2680:L2680" si="2887">(J2680/60/60/24)+DATE(1970,1,1)</f>
        <v>42241.798206018517</v>
      </c>
      <c r="L2680" s="11">
        <f t="shared" si="2830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831"/>
        <v>1.375E-2</v>
      </c>
      <c r="R2680" s="7">
        <f t="shared" si="2832"/>
        <v>550</v>
      </c>
      <c r="S2680" t="str">
        <f t="shared" si="2833"/>
        <v>technology</v>
      </c>
      <c r="T2680" t="str">
        <f t="shared" si="2834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ref="K2681:L2681" si="2888">(J2681/60/60/24)+DATE(1970,1,1)</f>
        <v>42033.001087962963</v>
      </c>
      <c r="L2681" s="11">
        <f t="shared" si="2830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831"/>
        <v>0.33</v>
      </c>
      <c r="R2681" s="7">
        <f t="shared" si="2832"/>
        <v>44</v>
      </c>
      <c r="S2681" t="str">
        <f t="shared" si="2833"/>
        <v>technology</v>
      </c>
      <c r="T2681" t="str">
        <f t="shared" si="2834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ref="K2682:L2682" si="2889">(J2682/60/60/24)+DATE(1970,1,1)</f>
        <v>42436.211701388893</v>
      </c>
      <c r="L2682" s="11">
        <f t="shared" si="2830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831"/>
        <v>0.86250000000000004</v>
      </c>
      <c r="R2682" s="7">
        <f t="shared" si="2832"/>
        <v>69</v>
      </c>
      <c r="S2682" t="str">
        <f t="shared" si="2833"/>
        <v>technology</v>
      </c>
      <c r="T2682" t="str">
        <f t="shared" si="2834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ref="K2683:L2683" si="2890">(J2683/60/60/24)+DATE(1970,1,1)</f>
        <v>41805.895254629628</v>
      </c>
      <c r="L2683" s="11">
        <f t="shared" si="2830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831"/>
        <v>0.6875</v>
      </c>
      <c r="R2683" s="7">
        <f t="shared" si="2832"/>
        <v>27.5</v>
      </c>
      <c r="S2683" t="str">
        <f t="shared" si="2833"/>
        <v>food</v>
      </c>
      <c r="T2683" t="str">
        <f t="shared" si="2834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ref="K2684:L2684" si="2891">(J2684/60/60/24)+DATE(1970,1,1)</f>
        <v>41932.871990740743</v>
      </c>
      <c r="L2684" s="11">
        <f t="shared" si="2830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831"/>
        <v>28.299999999999997</v>
      </c>
      <c r="R2684" s="7">
        <f t="shared" si="2832"/>
        <v>84.9</v>
      </c>
      <c r="S2684" t="str">
        <f t="shared" si="2833"/>
        <v>food</v>
      </c>
      <c r="T2684" t="str">
        <f t="shared" si="2834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ref="K2685:L2685" si="2892">(J2685/60/60/24)+DATE(1970,1,1)</f>
        <v>42034.75509259259</v>
      </c>
      <c r="L2685" s="11">
        <f t="shared" si="2830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831"/>
        <v>0.24</v>
      </c>
      <c r="R2685" s="7">
        <f t="shared" si="2832"/>
        <v>12</v>
      </c>
      <c r="S2685" t="str">
        <f t="shared" si="2833"/>
        <v>food</v>
      </c>
      <c r="T2685" t="str">
        <f t="shared" si="2834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ref="K2686:L2686" si="2893">(J2686/60/60/24)+DATE(1970,1,1)</f>
        <v>41820.914641203701</v>
      </c>
      <c r="L2686" s="11">
        <f t="shared" si="2830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831"/>
        <v>1.1428571428571428</v>
      </c>
      <c r="R2686" s="7">
        <f t="shared" si="2832"/>
        <v>200</v>
      </c>
      <c r="S2686" t="str">
        <f t="shared" si="2833"/>
        <v>food</v>
      </c>
      <c r="T2686" t="str">
        <f t="shared" si="2834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ref="K2687:L2687" si="2894">(J2687/60/60/24)+DATE(1970,1,1)</f>
        <v>42061.69594907407</v>
      </c>
      <c r="L2687" s="11">
        <f t="shared" si="2830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831"/>
        <v>0.02</v>
      </c>
      <c r="R2687" s="7">
        <f t="shared" si="2832"/>
        <v>10</v>
      </c>
      <c r="S2687" t="str">
        <f t="shared" si="2833"/>
        <v>food</v>
      </c>
      <c r="T2687" t="str">
        <f t="shared" si="2834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ref="K2688:L2688" si="2895">(J2688/60/60/24)+DATE(1970,1,1)</f>
        <v>41892.974803240737</v>
      </c>
      <c r="L2688" s="11">
        <f t="shared" si="2830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831"/>
        <v>0</v>
      </c>
      <c r="R2688" s="7">
        <f t="shared" si="2832"/>
        <v>0</v>
      </c>
      <c r="S2688" t="str">
        <f t="shared" si="2833"/>
        <v>food</v>
      </c>
      <c r="T2688" t="str">
        <f t="shared" si="2834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ref="K2689:L2689" si="2896">(J2689/60/60/24)+DATE(1970,1,1)</f>
        <v>42154.64025462963</v>
      </c>
      <c r="L2689" s="11">
        <f t="shared" si="2830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831"/>
        <v>0</v>
      </c>
      <c r="R2689" s="7">
        <f t="shared" si="2832"/>
        <v>0</v>
      </c>
      <c r="S2689" t="str">
        <f t="shared" si="2833"/>
        <v>food</v>
      </c>
      <c r="T2689" t="str">
        <f t="shared" si="2834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ref="K2690:L2690" si="2897">(J2690/60/60/24)+DATE(1970,1,1)</f>
        <v>42028.118865740747</v>
      </c>
      <c r="L2690" s="11">
        <f t="shared" si="2830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831"/>
        <v>0.14799999999999999</v>
      </c>
      <c r="R2690" s="7">
        <f t="shared" si="2832"/>
        <v>5.2857142857142856</v>
      </c>
      <c r="S2690" t="str">
        <f t="shared" si="2833"/>
        <v>food</v>
      </c>
      <c r="T2690" t="str">
        <f t="shared" si="2834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ref="K2691:L2691" si="2898">(J2691/60/60/24)+DATE(1970,1,1)</f>
        <v>42551.961689814809</v>
      </c>
      <c r="L2691" s="11">
        <f t="shared" ref="L2691:L2754" si="2899">(I2691/60/60/24)+DATE(1970,1,1)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900">(E2691/D2691)*100</f>
        <v>2.8571428571428571E-3</v>
      </c>
      <c r="R2691" s="7">
        <f t="shared" ref="R2691:R2754" si="2901">IFERROR(E2691/N2691, 0)</f>
        <v>1</v>
      </c>
      <c r="S2691" t="str">
        <f t="shared" ref="S2691:S2754" si="2902">LEFT(P2691, SEARCH("/", P2691,1)-1)</f>
        <v>food</v>
      </c>
      <c r="T2691" t="str">
        <f t="shared" ref="T2691:T2754" si="2903">RIGHT(P2691,LEN(P2691)-SEARCH("/",P2691,SEARCH("/",P2691)))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ref="K2692:L2692" si="2904">(J2692/60/60/24)+DATE(1970,1,1)</f>
        <v>42113.105046296296</v>
      </c>
      <c r="L2692" s="11">
        <f t="shared" si="289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900"/>
        <v>10.7325</v>
      </c>
      <c r="R2692" s="7">
        <f t="shared" si="2901"/>
        <v>72.762711864406782</v>
      </c>
      <c r="S2692" t="str">
        <f t="shared" si="2902"/>
        <v>food</v>
      </c>
      <c r="T2692" t="str">
        <f t="shared" si="2903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ref="K2693:L2693" si="2905">(J2693/60/60/24)+DATE(1970,1,1)</f>
        <v>42089.724039351851</v>
      </c>
      <c r="L2693" s="11">
        <f t="shared" si="289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900"/>
        <v>5.3846153846153842E-2</v>
      </c>
      <c r="R2693" s="7">
        <f t="shared" si="2901"/>
        <v>17.5</v>
      </c>
      <c r="S2693" t="str">
        <f t="shared" si="2902"/>
        <v>food</v>
      </c>
      <c r="T2693" t="str">
        <f t="shared" si="2903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ref="K2694:L2694" si="2906">(J2694/60/60/24)+DATE(1970,1,1)</f>
        <v>42058.334027777775</v>
      </c>
      <c r="L2694" s="11">
        <f t="shared" si="289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900"/>
        <v>0.7142857142857143</v>
      </c>
      <c r="R2694" s="7">
        <f t="shared" si="2901"/>
        <v>25</v>
      </c>
      <c r="S2694" t="str">
        <f t="shared" si="2902"/>
        <v>food</v>
      </c>
      <c r="T2694" t="str">
        <f t="shared" si="2903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ref="K2695:L2695" si="2907">(J2695/60/60/24)+DATE(1970,1,1)</f>
        <v>41834.138495370367</v>
      </c>
      <c r="L2695" s="11">
        <f t="shared" si="289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900"/>
        <v>0.8</v>
      </c>
      <c r="R2695" s="7">
        <f t="shared" si="2901"/>
        <v>13.333333333333334</v>
      </c>
      <c r="S2695" t="str">
        <f t="shared" si="2902"/>
        <v>food</v>
      </c>
      <c r="T2695" t="str">
        <f t="shared" si="2903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ref="K2696:L2696" si="2908">(J2696/60/60/24)+DATE(1970,1,1)</f>
        <v>41878.140497685185</v>
      </c>
      <c r="L2696" s="11">
        <f t="shared" si="289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900"/>
        <v>3.3333333333333335E-3</v>
      </c>
      <c r="R2696" s="7">
        <f t="shared" si="2901"/>
        <v>1</v>
      </c>
      <c r="S2696" t="str">
        <f t="shared" si="2902"/>
        <v>food</v>
      </c>
      <c r="T2696" t="str">
        <f t="shared" si="2903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ref="K2697:L2697" si="2909">(J2697/60/60/24)+DATE(1970,1,1)</f>
        <v>42048.181921296295</v>
      </c>
      <c r="L2697" s="11">
        <f t="shared" si="289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900"/>
        <v>0.47333333333333333</v>
      </c>
      <c r="R2697" s="7">
        <f t="shared" si="2901"/>
        <v>23.666666666666668</v>
      </c>
      <c r="S2697" t="str">
        <f t="shared" si="2902"/>
        <v>food</v>
      </c>
      <c r="T2697" t="str">
        <f t="shared" si="2903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ref="K2698:L2698" si="2910">(J2698/60/60/24)+DATE(1970,1,1)</f>
        <v>41964.844444444447</v>
      </c>
      <c r="L2698" s="11">
        <f t="shared" si="289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900"/>
        <v>5.65</v>
      </c>
      <c r="R2698" s="7">
        <f t="shared" si="2901"/>
        <v>89.21052631578948</v>
      </c>
      <c r="S2698" t="str">
        <f t="shared" si="2902"/>
        <v>food</v>
      </c>
      <c r="T2698" t="str">
        <f t="shared" si="2903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ref="K2699:L2699" si="2911">(J2699/60/60/24)+DATE(1970,1,1)</f>
        <v>42187.940081018518</v>
      </c>
      <c r="L2699" s="11">
        <f t="shared" si="289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900"/>
        <v>26.35217391304348</v>
      </c>
      <c r="R2699" s="7">
        <f t="shared" si="2901"/>
        <v>116.55769230769231</v>
      </c>
      <c r="S2699" t="str">
        <f t="shared" si="2902"/>
        <v>food</v>
      </c>
      <c r="T2699" t="str">
        <f t="shared" si="2903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ref="K2700:L2700" si="2912">(J2700/60/60/24)+DATE(1970,1,1)</f>
        <v>41787.898240740738</v>
      </c>
      <c r="L2700" s="11">
        <f t="shared" si="289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900"/>
        <v>0.325125</v>
      </c>
      <c r="R2700" s="7">
        <f t="shared" si="2901"/>
        <v>13.005000000000001</v>
      </c>
      <c r="S2700" t="str">
        <f t="shared" si="2902"/>
        <v>food</v>
      </c>
      <c r="T2700" t="str">
        <f t="shared" si="2903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ref="K2701:L2701" si="2913">(J2701/60/60/24)+DATE(1970,1,1)</f>
        <v>41829.896562499998</v>
      </c>
      <c r="L2701" s="11">
        <f t="shared" si="289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900"/>
        <v>0</v>
      </c>
      <c r="R2701" s="7">
        <f t="shared" si="2901"/>
        <v>0</v>
      </c>
      <c r="S2701" t="str">
        <f t="shared" si="2902"/>
        <v>food</v>
      </c>
      <c r="T2701" t="str">
        <f t="shared" si="2903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ref="K2702:L2702" si="2914">(J2702/60/60/24)+DATE(1970,1,1)</f>
        <v>41870.87467592593</v>
      </c>
      <c r="L2702" s="11">
        <f t="shared" si="289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900"/>
        <v>0.7000700070007001</v>
      </c>
      <c r="R2702" s="7">
        <f t="shared" si="2901"/>
        <v>17.5</v>
      </c>
      <c r="S2702" t="str">
        <f t="shared" si="2902"/>
        <v>food</v>
      </c>
      <c r="T2702" t="str">
        <f t="shared" si="2903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ref="K2703:L2703" si="2915">(J2703/60/60/24)+DATE(1970,1,1)</f>
        <v>42801.774699074071</v>
      </c>
      <c r="L2703" s="11">
        <f t="shared" si="289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900"/>
        <v>46.176470588235297</v>
      </c>
      <c r="R2703" s="7">
        <f t="shared" si="2901"/>
        <v>34.130434782608695</v>
      </c>
      <c r="S2703" t="str">
        <f t="shared" si="2902"/>
        <v>theater</v>
      </c>
      <c r="T2703" t="str">
        <f t="shared" si="2903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ref="K2704:L2704" si="2916">(J2704/60/60/24)+DATE(1970,1,1)</f>
        <v>42800.801817129628</v>
      </c>
      <c r="L2704" s="11">
        <f t="shared" si="289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900"/>
        <v>34.410000000000004</v>
      </c>
      <c r="R2704" s="7">
        <f t="shared" si="2901"/>
        <v>132.34615384615384</v>
      </c>
      <c r="S2704" t="str">
        <f t="shared" si="2902"/>
        <v>theater</v>
      </c>
      <c r="T2704" t="str">
        <f t="shared" si="2903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ref="K2705:L2705" si="2917">(J2705/60/60/24)+DATE(1970,1,1)</f>
        <v>42756.690162037034</v>
      </c>
      <c r="L2705" s="11">
        <f t="shared" si="289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900"/>
        <v>103.75000000000001</v>
      </c>
      <c r="R2705" s="7">
        <f t="shared" si="2901"/>
        <v>922.22222222222217</v>
      </c>
      <c r="S2705" t="str">
        <f t="shared" si="2902"/>
        <v>theater</v>
      </c>
      <c r="T2705" t="str">
        <f t="shared" si="2903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ref="K2706:L2706" si="2918">(J2706/60/60/24)+DATE(1970,1,1)</f>
        <v>42787.862430555557</v>
      </c>
      <c r="L2706" s="11">
        <f t="shared" si="289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900"/>
        <v>6.0263157894736841</v>
      </c>
      <c r="R2706" s="7">
        <f t="shared" si="2901"/>
        <v>163.57142857142858</v>
      </c>
      <c r="S2706" t="str">
        <f t="shared" si="2902"/>
        <v>theater</v>
      </c>
      <c r="T2706" t="str">
        <f t="shared" si="2903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ref="K2707:L2707" si="2919">(J2707/60/60/24)+DATE(1970,1,1)</f>
        <v>42773.916180555556</v>
      </c>
      <c r="L2707" s="11">
        <f t="shared" si="289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900"/>
        <v>10.539393939393939</v>
      </c>
      <c r="R2707" s="7">
        <f t="shared" si="2901"/>
        <v>217.375</v>
      </c>
      <c r="S2707" t="str">
        <f t="shared" si="2902"/>
        <v>theater</v>
      </c>
      <c r="T2707" t="str">
        <f t="shared" si="2903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ref="K2708:L2708" si="2920">(J2708/60/60/24)+DATE(1970,1,1)</f>
        <v>41899.294942129629</v>
      </c>
      <c r="L2708" s="11">
        <f t="shared" si="289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900"/>
        <v>112.29714285714284</v>
      </c>
      <c r="R2708" s="7">
        <f t="shared" si="2901"/>
        <v>149.44486692015209</v>
      </c>
      <c r="S2708" t="str">
        <f t="shared" si="2902"/>
        <v>theater</v>
      </c>
      <c r="T2708" t="str">
        <f t="shared" si="2903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ref="K2709:L2709" si="2921">(J2709/60/60/24)+DATE(1970,1,1)</f>
        <v>41391.782905092594</v>
      </c>
      <c r="L2709" s="11">
        <f t="shared" si="289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900"/>
        <v>350.84462500000001</v>
      </c>
      <c r="R2709" s="7">
        <f t="shared" si="2901"/>
        <v>71.237487309644663</v>
      </c>
      <c r="S2709" t="str">
        <f t="shared" si="2902"/>
        <v>theater</v>
      </c>
      <c r="T2709" t="str">
        <f t="shared" si="2903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ref="K2710:L2710" si="2922">(J2710/60/60/24)+DATE(1970,1,1)</f>
        <v>42512.698217592595</v>
      </c>
      <c r="L2710" s="11">
        <f t="shared" si="289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900"/>
        <v>233.21535</v>
      </c>
      <c r="R2710" s="7">
        <f t="shared" si="2901"/>
        <v>44.464318398474738</v>
      </c>
      <c r="S2710" t="str">
        <f t="shared" si="2902"/>
        <v>theater</v>
      </c>
      <c r="T2710" t="str">
        <f t="shared" si="2903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ref="K2711:L2711" si="2923">(J2711/60/60/24)+DATE(1970,1,1)</f>
        <v>42612.149780092594</v>
      </c>
      <c r="L2711" s="11">
        <f t="shared" si="289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900"/>
        <v>101.60599999999999</v>
      </c>
      <c r="R2711" s="7">
        <f t="shared" si="2901"/>
        <v>164.94480519480518</v>
      </c>
      <c r="S2711" t="str">
        <f t="shared" si="2902"/>
        <v>theater</v>
      </c>
      <c r="T2711" t="str">
        <f t="shared" si="2903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ref="K2712:L2712" si="2924">(J2712/60/60/24)+DATE(1970,1,1)</f>
        <v>41828.229490740741</v>
      </c>
      <c r="L2712" s="11">
        <f t="shared" si="289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900"/>
        <v>153.90035000000003</v>
      </c>
      <c r="R2712" s="7">
        <f t="shared" si="2901"/>
        <v>84.871516544117654</v>
      </c>
      <c r="S2712" t="str">
        <f t="shared" si="2902"/>
        <v>theater</v>
      </c>
      <c r="T2712" t="str">
        <f t="shared" si="2903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ref="K2713:L2713" si="2925">(J2713/60/60/24)+DATE(1970,1,1)</f>
        <v>41780.745254629634</v>
      </c>
      <c r="L2713" s="11">
        <f t="shared" si="289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900"/>
        <v>100.7161125319693</v>
      </c>
      <c r="R2713" s="7">
        <f t="shared" si="2901"/>
        <v>53.945205479452056</v>
      </c>
      <c r="S2713" t="str">
        <f t="shared" si="2902"/>
        <v>theater</v>
      </c>
      <c r="T2713" t="str">
        <f t="shared" si="2903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ref="K2714:L2714" si="2926">(J2714/60/60/24)+DATE(1970,1,1)</f>
        <v>41432.062037037038</v>
      </c>
      <c r="L2714" s="11">
        <f t="shared" si="2899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900"/>
        <v>131.38181818181818</v>
      </c>
      <c r="R2714" s="7">
        <f t="shared" si="2901"/>
        <v>50.531468531468533</v>
      </c>
      <c r="S2714" t="str">
        <f t="shared" si="2902"/>
        <v>theater</v>
      </c>
      <c r="T2714" t="str">
        <f t="shared" si="2903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ref="K2715:L2715" si="2927">(J2715/60/60/24)+DATE(1970,1,1)</f>
        <v>42322.653749999998</v>
      </c>
      <c r="L2715" s="11">
        <f t="shared" si="289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900"/>
        <v>102.24133333333334</v>
      </c>
      <c r="R2715" s="7">
        <f t="shared" si="2901"/>
        <v>108.00140845070422</v>
      </c>
      <c r="S2715" t="str">
        <f t="shared" si="2902"/>
        <v>theater</v>
      </c>
      <c r="T2715" t="str">
        <f t="shared" si="2903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ref="K2716:L2716" si="2928">(J2716/60/60/24)+DATE(1970,1,1)</f>
        <v>42629.655046296291</v>
      </c>
      <c r="L2716" s="11">
        <f t="shared" si="289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900"/>
        <v>116.35599999999999</v>
      </c>
      <c r="R2716" s="7">
        <f t="shared" si="2901"/>
        <v>95.373770491803285</v>
      </c>
      <c r="S2716" t="str">
        <f t="shared" si="2902"/>
        <v>theater</v>
      </c>
      <c r="T2716" t="str">
        <f t="shared" si="2903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ref="K2717:L2717" si="2929">(J2717/60/60/24)+DATE(1970,1,1)</f>
        <v>42387.398472222223</v>
      </c>
      <c r="L2717" s="11">
        <f t="shared" si="289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900"/>
        <v>264.62241666666665</v>
      </c>
      <c r="R2717" s="7">
        <f t="shared" si="2901"/>
        <v>57.631016333938291</v>
      </c>
      <c r="S2717" t="str">
        <f t="shared" si="2902"/>
        <v>theater</v>
      </c>
      <c r="T2717" t="str">
        <f t="shared" si="2903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ref="K2718:L2718" si="2930">(J2718/60/60/24)+DATE(1970,1,1)</f>
        <v>42255.333252314813</v>
      </c>
      <c r="L2718" s="11">
        <f t="shared" si="289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900"/>
        <v>119.98010000000001</v>
      </c>
      <c r="R2718" s="7">
        <f t="shared" si="2901"/>
        <v>64.160481283422456</v>
      </c>
      <c r="S2718" t="str">
        <f t="shared" si="2902"/>
        <v>theater</v>
      </c>
      <c r="T2718" t="str">
        <f t="shared" si="2903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ref="K2719:L2719" si="2931">(J2719/60/60/24)+DATE(1970,1,1)</f>
        <v>41934.914918981485</v>
      </c>
      <c r="L2719" s="11">
        <f t="shared" si="289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900"/>
        <v>120.10400000000001</v>
      </c>
      <c r="R2719" s="7">
        <f t="shared" si="2901"/>
        <v>92.387692307692305</v>
      </c>
      <c r="S2719" t="str">
        <f t="shared" si="2902"/>
        <v>theater</v>
      </c>
      <c r="T2719" t="str">
        <f t="shared" si="2903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ref="K2720:L2720" si="2932">(J2720/60/60/24)+DATE(1970,1,1)</f>
        <v>42465.596585648149</v>
      </c>
      <c r="L2720" s="11">
        <f t="shared" si="289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900"/>
        <v>103.58333333333334</v>
      </c>
      <c r="R2720" s="7">
        <f t="shared" si="2901"/>
        <v>125.97972972972973</v>
      </c>
      <c r="S2720" t="str">
        <f t="shared" si="2902"/>
        <v>theater</v>
      </c>
      <c r="T2720" t="str">
        <f t="shared" si="2903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ref="K2721:L2721" si="2933">(J2721/60/60/24)+DATE(1970,1,1)</f>
        <v>42418.031180555554</v>
      </c>
      <c r="L2721" s="11">
        <f t="shared" si="289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900"/>
        <v>108.83333333333334</v>
      </c>
      <c r="R2721" s="7">
        <f t="shared" si="2901"/>
        <v>94.637681159420296</v>
      </c>
      <c r="S2721" t="str">
        <f t="shared" si="2902"/>
        <v>theater</v>
      </c>
      <c r="T2721" t="str">
        <f t="shared" si="2903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ref="K2722:L2722" si="2934">(J2722/60/60/24)+DATE(1970,1,1)</f>
        <v>42655.465891203698</v>
      </c>
      <c r="L2722" s="11">
        <f t="shared" si="289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900"/>
        <v>118.12400000000001</v>
      </c>
      <c r="R2722" s="7">
        <f t="shared" si="2901"/>
        <v>170.69942196531792</v>
      </c>
      <c r="S2722" t="str">
        <f t="shared" si="2902"/>
        <v>theater</v>
      </c>
      <c r="T2722" t="str">
        <f t="shared" si="2903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ref="K2723:L2723" si="2935">(J2723/60/60/24)+DATE(1970,1,1)</f>
        <v>41493.543958333335</v>
      </c>
      <c r="L2723" s="11">
        <f t="shared" si="289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900"/>
        <v>1462</v>
      </c>
      <c r="R2723" s="7">
        <f t="shared" si="2901"/>
        <v>40.762081784386616</v>
      </c>
      <c r="S2723" t="str">
        <f t="shared" si="2902"/>
        <v>technology</v>
      </c>
      <c r="T2723" t="str">
        <f t="shared" si="2903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ref="K2724:L2724" si="2936">(J2724/60/60/24)+DATE(1970,1,1)</f>
        <v>42704.857094907406</v>
      </c>
      <c r="L2724" s="11">
        <f t="shared" si="289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900"/>
        <v>252.54</v>
      </c>
      <c r="R2724" s="7">
        <f t="shared" si="2901"/>
        <v>68.254054054054052</v>
      </c>
      <c r="S2724" t="str">
        <f t="shared" si="2902"/>
        <v>technology</v>
      </c>
      <c r="T2724" t="str">
        <f t="shared" si="2903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ref="K2725:L2725" si="2937">(J2725/60/60/24)+DATE(1970,1,1)</f>
        <v>41944.83898148148</v>
      </c>
      <c r="L2725" s="11">
        <f t="shared" si="289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900"/>
        <v>140.05000000000001</v>
      </c>
      <c r="R2725" s="7">
        <f t="shared" si="2901"/>
        <v>95.48863636363636</v>
      </c>
      <c r="S2725" t="str">
        <f t="shared" si="2902"/>
        <v>technology</v>
      </c>
      <c r="T2725" t="str">
        <f t="shared" si="2903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ref="K2726:L2726" si="2938">(J2726/60/60/24)+DATE(1970,1,1)</f>
        <v>42199.32707175926</v>
      </c>
      <c r="L2726" s="11">
        <f t="shared" si="289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900"/>
        <v>296.87520259319291</v>
      </c>
      <c r="R2726" s="7">
        <f t="shared" si="2901"/>
        <v>7.1902649656526005</v>
      </c>
      <c r="S2726" t="str">
        <f t="shared" si="2902"/>
        <v>technology</v>
      </c>
      <c r="T2726" t="str">
        <f t="shared" si="2903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ref="K2727:L2727" si="2939">(J2727/60/60/24)+DATE(1970,1,1)</f>
        <v>42745.744618055556</v>
      </c>
      <c r="L2727" s="11">
        <f t="shared" si="289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900"/>
        <v>144.54249999999999</v>
      </c>
      <c r="R2727" s="7">
        <f t="shared" si="2901"/>
        <v>511.65486725663715</v>
      </c>
      <c r="S2727" t="str">
        <f t="shared" si="2902"/>
        <v>technology</v>
      </c>
      <c r="T2727" t="str">
        <f t="shared" si="2903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ref="K2728:L2728" si="2940">(J2728/60/60/24)+DATE(1970,1,1)</f>
        <v>42452.579988425925</v>
      </c>
      <c r="L2728" s="11">
        <f t="shared" si="289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900"/>
        <v>105.745</v>
      </c>
      <c r="R2728" s="7">
        <f t="shared" si="2901"/>
        <v>261.74504950495049</v>
      </c>
      <c r="S2728" t="str">
        <f t="shared" si="2902"/>
        <v>technology</v>
      </c>
      <c r="T2728" t="str">
        <f t="shared" si="2903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ref="K2729:L2729" si="2941">(J2729/60/60/24)+DATE(1970,1,1)</f>
        <v>42198.676655092597</v>
      </c>
      <c r="L2729" s="11">
        <f t="shared" si="289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900"/>
        <v>493.21000000000004</v>
      </c>
      <c r="R2729" s="7">
        <f t="shared" si="2901"/>
        <v>69.760961810466767</v>
      </c>
      <c r="S2729" t="str">
        <f t="shared" si="2902"/>
        <v>technology</v>
      </c>
      <c r="T2729" t="str">
        <f t="shared" si="2903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ref="K2730:L2730" si="2942">(J2730/60/60/24)+DATE(1970,1,1)</f>
        <v>42333.59993055556</v>
      </c>
      <c r="L2730" s="11">
        <f t="shared" si="289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900"/>
        <v>201.82666666666668</v>
      </c>
      <c r="R2730" s="7">
        <f t="shared" si="2901"/>
        <v>77.229591836734699</v>
      </c>
      <c r="S2730" t="str">
        <f t="shared" si="2902"/>
        <v>technology</v>
      </c>
      <c r="T2730" t="str">
        <f t="shared" si="2903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ref="K2731:L2731" si="2943">(J2731/60/60/24)+DATE(1970,1,1)</f>
        <v>42095.240706018521</v>
      </c>
      <c r="L2731" s="11">
        <f t="shared" si="289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900"/>
        <v>104.44</v>
      </c>
      <c r="R2731" s="7">
        <f t="shared" si="2901"/>
        <v>340.56521739130437</v>
      </c>
      <c r="S2731" t="str">
        <f t="shared" si="2902"/>
        <v>technology</v>
      </c>
      <c r="T2731" t="str">
        <f t="shared" si="2903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ref="K2732:L2732" si="2944">(J2732/60/60/24)+DATE(1970,1,1)</f>
        <v>41351.541377314818</v>
      </c>
      <c r="L2732" s="11">
        <f t="shared" si="289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900"/>
        <v>170.29262962962963</v>
      </c>
      <c r="R2732" s="7">
        <f t="shared" si="2901"/>
        <v>67.417903225806455</v>
      </c>
      <c r="S2732" t="str">
        <f t="shared" si="2902"/>
        <v>technology</v>
      </c>
      <c r="T2732" t="str">
        <f t="shared" si="2903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ref="K2733:L2733" si="2945">(J2733/60/60/24)+DATE(1970,1,1)</f>
        <v>41872.525717592594</v>
      </c>
      <c r="L2733" s="11">
        <f t="shared" si="289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900"/>
        <v>104.30333333333333</v>
      </c>
      <c r="R2733" s="7">
        <f t="shared" si="2901"/>
        <v>845.70270270270271</v>
      </c>
      <c r="S2733" t="str">
        <f t="shared" si="2902"/>
        <v>technology</v>
      </c>
      <c r="T2733" t="str">
        <f t="shared" si="2903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ref="K2734:L2734" si="2946">(J2734/60/60/24)+DATE(1970,1,1)</f>
        <v>41389.808194444442</v>
      </c>
      <c r="L2734" s="11">
        <f t="shared" si="2899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900"/>
        <v>118.25000000000001</v>
      </c>
      <c r="R2734" s="7">
        <f t="shared" si="2901"/>
        <v>97.191780821917803</v>
      </c>
      <c r="S2734" t="str">
        <f t="shared" si="2902"/>
        <v>technology</v>
      </c>
      <c r="T2734" t="str">
        <f t="shared" si="2903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ref="K2735:L2735" si="2947">(J2735/60/60/24)+DATE(1970,1,1)</f>
        <v>42044.272847222222</v>
      </c>
      <c r="L2735" s="11">
        <f t="shared" si="289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900"/>
        <v>107.538</v>
      </c>
      <c r="R2735" s="7">
        <f t="shared" si="2901"/>
        <v>451.84033613445376</v>
      </c>
      <c r="S2735" t="str">
        <f t="shared" si="2902"/>
        <v>technology</v>
      </c>
      <c r="T2735" t="str">
        <f t="shared" si="2903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ref="K2736:L2736" si="2948">(J2736/60/60/24)+DATE(1970,1,1)</f>
        <v>42626.668888888889</v>
      </c>
      <c r="L2736" s="11">
        <f t="shared" si="289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900"/>
        <v>2260300</v>
      </c>
      <c r="R2736" s="7">
        <f t="shared" si="2901"/>
        <v>138.66871165644173</v>
      </c>
      <c r="S2736" t="str">
        <f t="shared" si="2902"/>
        <v>technology</v>
      </c>
      <c r="T2736" t="str">
        <f t="shared" si="2903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ref="K2737:L2737" si="2949">(J2737/60/60/24)+DATE(1970,1,1)</f>
        <v>41316.120949074073</v>
      </c>
      <c r="L2737" s="11">
        <f t="shared" si="289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900"/>
        <v>978.13466666666682</v>
      </c>
      <c r="R2737" s="7">
        <f t="shared" si="2901"/>
        <v>21.640147492625371</v>
      </c>
      <c r="S2737" t="str">
        <f t="shared" si="2902"/>
        <v>technology</v>
      </c>
      <c r="T2737" t="str">
        <f t="shared" si="2903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ref="K2738:L2738" si="2950">(J2738/60/60/24)+DATE(1970,1,1)</f>
        <v>41722.666354166664</v>
      </c>
      <c r="L2738" s="11">
        <f t="shared" si="289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900"/>
        <v>122.9</v>
      </c>
      <c r="R2738" s="7">
        <f t="shared" si="2901"/>
        <v>169.51724137931035</v>
      </c>
      <c r="S2738" t="str">
        <f t="shared" si="2902"/>
        <v>technology</v>
      </c>
      <c r="T2738" t="str">
        <f t="shared" si="2903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ref="K2739:L2739" si="2951">(J2739/60/60/24)+DATE(1970,1,1)</f>
        <v>41611.917673611111</v>
      </c>
      <c r="L2739" s="11">
        <f t="shared" si="289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900"/>
        <v>246.0608</v>
      </c>
      <c r="R2739" s="7">
        <f t="shared" si="2901"/>
        <v>161.88210526315791</v>
      </c>
      <c r="S2739" t="str">
        <f t="shared" si="2902"/>
        <v>technology</v>
      </c>
      <c r="T2739" t="str">
        <f t="shared" si="2903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ref="K2740:L2740" si="2952">(J2740/60/60/24)+DATE(1970,1,1)</f>
        <v>42620.143564814818</v>
      </c>
      <c r="L2740" s="11">
        <f t="shared" si="289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900"/>
        <v>147.94</v>
      </c>
      <c r="R2740" s="7">
        <f t="shared" si="2901"/>
        <v>493.13333333333333</v>
      </c>
      <c r="S2740" t="str">
        <f t="shared" si="2902"/>
        <v>technology</v>
      </c>
      <c r="T2740" t="str">
        <f t="shared" si="2903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ref="K2741:L2741" si="2953">(J2741/60/60/24)+DATE(1970,1,1)</f>
        <v>41719.887928240743</v>
      </c>
      <c r="L2741" s="11">
        <f t="shared" si="289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900"/>
        <v>384.09090909090907</v>
      </c>
      <c r="R2741" s="7">
        <f t="shared" si="2901"/>
        <v>22.120418848167539</v>
      </c>
      <c r="S2741" t="str">
        <f t="shared" si="2902"/>
        <v>technology</v>
      </c>
      <c r="T2741" t="str">
        <f t="shared" si="2903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ref="K2742:L2742" si="2954">(J2742/60/60/24)+DATE(1970,1,1)</f>
        <v>42045.031851851847</v>
      </c>
      <c r="L2742" s="11">
        <f t="shared" si="289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900"/>
        <v>103.33333333333334</v>
      </c>
      <c r="R2742" s="7">
        <f t="shared" si="2901"/>
        <v>18.235294117647058</v>
      </c>
      <c r="S2742" t="str">
        <f t="shared" si="2902"/>
        <v>technology</v>
      </c>
      <c r="T2742" t="str">
        <f t="shared" si="2903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ref="K2743:L2743" si="2955">(J2743/60/60/24)+DATE(1970,1,1)</f>
        <v>41911.657430555555</v>
      </c>
      <c r="L2743" s="11">
        <f t="shared" si="289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900"/>
        <v>0.43750000000000006</v>
      </c>
      <c r="R2743" s="7">
        <f t="shared" si="2901"/>
        <v>8.75</v>
      </c>
      <c r="S2743" t="str">
        <f t="shared" si="2902"/>
        <v>publishing</v>
      </c>
      <c r="T2743" t="str">
        <f t="shared" si="2903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ref="K2744:L2744" si="2956">(J2744/60/60/24)+DATE(1970,1,1)</f>
        <v>41030.719756944447</v>
      </c>
      <c r="L2744" s="11">
        <f t="shared" si="289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900"/>
        <v>29.24</v>
      </c>
      <c r="R2744" s="7">
        <f t="shared" si="2901"/>
        <v>40.611111111111114</v>
      </c>
      <c r="S2744" t="str">
        <f t="shared" si="2902"/>
        <v>publishing</v>
      </c>
      <c r="T2744" t="str">
        <f t="shared" si="2903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ref="K2745:L2745" si="2957">(J2745/60/60/24)+DATE(1970,1,1)</f>
        <v>42632.328784722224</v>
      </c>
      <c r="L2745" s="11">
        <f t="shared" si="289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900"/>
        <v>0</v>
      </c>
      <c r="R2745" s="7">
        <f t="shared" si="2901"/>
        <v>0</v>
      </c>
      <c r="S2745" t="str">
        <f t="shared" si="2902"/>
        <v>publishing</v>
      </c>
      <c r="T2745" t="str">
        <f t="shared" si="2903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ref="K2746:L2746" si="2958">(J2746/60/60/24)+DATE(1970,1,1)</f>
        <v>40938.062476851854</v>
      </c>
      <c r="L2746" s="11">
        <f t="shared" si="289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900"/>
        <v>5.21875</v>
      </c>
      <c r="R2746" s="7">
        <f t="shared" si="2901"/>
        <v>37.954545454545453</v>
      </c>
      <c r="S2746" t="str">
        <f t="shared" si="2902"/>
        <v>publishing</v>
      </c>
      <c r="T2746" t="str">
        <f t="shared" si="2903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ref="K2747:L2747" si="2959">(J2747/60/60/24)+DATE(1970,1,1)</f>
        <v>41044.988055555557</v>
      </c>
      <c r="L2747" s="11">
        <f t="shared" si="289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900"/>
        <v>21.887499999999999</v>
      </c>
      <c r="R2747" s="7">
        <f t="shared" si="2901"/>
        <v>35.734693877551024</v>
      </c>
      <c r="S2747" t="str">
        <f t="shared" si="2902"/>
        <v>publishing</v>
      </c>
      <c r="T2747" t="str">
        <f t="shared" si="2903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ref="K2748:L2748" si="2960">(J2748/60/60/24)+DATE(1970,1,1)</f>
        <v>41850.781377314815</v>
      </c>
      <c r="L2748" s="11">
        <f t="shared" si="289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900"/>
        <v>26.700000000000003</v>
      </c>
      <c r="R2748" s="7">
        <f t="shared" si="2901"/>
        <v>42.157894736842103</v>
      </c>
      <c r="S2748" t="str">
        <f t="shared" si="2902"/>
        <v>publishing</v>
      </c>
      <c r="T2748" t="str">
        <f t="shared" si="2903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ref="K2749:L2749" si="2961">(J2749/60/60/24)+DATE(1970,1,1)</f>
        <v>41044.64811342593</v>
      </c>
      <c r="L2749" s="11">
        <f t="shared" si="289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900"/>
        <v>28.000000000000004</v>
      </c>
      <c r="R2749" s="7">
        <f t="shared" si="2901"/>
        <v>35</v>
      </c>
      <c r="S2749" t="str">
        <f t="shared" si="2902"/>
        <v>publishing</v>
      </c>
      <c r="T2749" t="str">
        <f t="shared" si="2903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ref="K2750:L2750" si="2962">(J2750/60/60/24)+DATE(1970,1,1)</f>
        <v>42585.7106712963</v>
      </c>
      <c r="L2750" s="11">
        <f t="shared" si="289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900"/>
        <v>1.06</v>
      </c>
      <c r="R2750" s="7">
        <f t="shared" si="2901"/>
        <v>13.25</v>
      </c>
      <c r="S2750" t="str">
        <f t="shared" si="2902"/>
        <v>publishing</v>
      </c>
      <c r="T2750" t="str">
        <f t="shared" si="2903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ref="K2751:L2751" si="2963">(J2751/60/60/24)+DATE(1970,1,1)</f>
        <v>42068.799039351856</v>
      </c>
      <c r="L2751" s="11">
        <f t="shared" si="289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900"/>
        <v>1.0999999999999999</v>
      </c>
      <c r="R2751" s="7">
        <f t="shared" si="2901"/>
        <v>55</v>
      </c>
      <c r="S2751" t="str">
        <f t="shared" si="2902"/>
        <v>publishing</v>
      </c>
      <c r="T2751" t="str">
        <f t="shared" si="2903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ref="K2752:L2752" si="2964">(J2752/60/60/24)+DATE(1970,1,1)</f>
        <v>41078.899826388886</v>
      </c>
      <c r="L2752" s="11">
        <f t="shared" si="289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900"/>
        <v>0</v>
      </c>
      <c r="R2752" s="7">
        <f t="shared" si="2901"/>
        <v>0</v>
      </c>
      <c r="S2752" t="str">
        <f t="shared" si="2902"/>
        <v>publishing</v>
      </c>
      <c r="T2752" t="str">
        <f t="shared" si="2903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ref="K2753:L2753" si="2965">(J2753/60/60/24)+DATE(1970,1,1)</f>
        <v>41747.887060185189</v>
      </c>
      <c r="L2753" s="11">
        <f t="shared" si="289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900"/>
        <v>0</v>
      </c>
      <c r="R2753" s="7">
        <f t="shared" si="2901"/>
        <v>0</v>
      </c>
      <c r="S2753" t="str">
        <f t="shared" si="2902"/>
        <v>publishing</v>
      </c>
      <c r="T2753" t="str">
        <f t="shared" si="2903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ref="K2754:L2754" si="2966">(J2754/60/60/24)+DATE(1970,1,1)</f>
        <v>40855.765092592592</v>
      </c>
      <c r="L2754" s="11">
        <f t="shared" si="289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900"/>
        <v>11.458333333333332</v>
      </c>
      <c r="R2754" s="7">
        <f t="shared" si="2901"/>
        <v>39.285714285714285</v>
      </c>
      <c r="S2754" t="str">
        <f t="shared" si="2902"/>
        <v>publishing</v>
      </c>
      <c r="T2754" t="str">
        <f t="shared" si="2903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ref="K2755:L2755" si="2967">(J2755/60/60/24)+DATE(1970,1,1)</f>
        <v>41117.900729166664</v>
      </c>
      <c r="L2755" s="11">
        <f t="shared" ref="L2755:L2818" si="2968">(I2755/60/60/24)+DATE(1970,1,1)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969">(E2755/D2755)*100</f>
        <v>19</v>
      </c>
      <c r="R2755" s="7">
        <f t="shared" ref="R2755:R2818" si="2970">IFERROR(E2755/N2755, 0)</f>
        <v>47.5</v>
      </c>
      <c r="S2755" t="str">
        <f t="shared" ref="S2755:S2818" si="2971">LEFT(P2755, SEARCH("/", P2755,1)-1)</f>
        <v>publishing</v>
      </c>
      <c r="T2755" t="str">
        <f t="shared" ref="T2755:T2818" si="2972">RIGHT(P2755,LEN(P2755)-SEARCH("/",P2755,SEARCH("/",P2755)))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ref="K2756:L2756" si="2973">(J2756/60/60/24)+DATE(1970,1,1)</f>
        <v>41863.636006944449</v>
      </c>
      <c r="L2756" s="11">
        <f t="shared" si="2968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969"/>
        <v>0</v>
      </c>
      <c r="R2756" s="7">
        <f t="shared" si="2970"/>
        <v>0</v>
      </c>
      <c r="S2756" t="str">
        <f t="shared" si="2971"/>
        <v>publishing</v>
      </c>
      <c r="T2756" t="str">
        <f t="shared" si="2972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ref="K2757:L2757" si="2974">(J2757/60/60/24)+DATE(1970,1,1)</f>
        <v>42072.790821759263</v>
      </c>
      <c r="L2757" s="11">
        <f t="shared" si="2968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969"/>
        <v>52</v>
      </c>
      <c r="R2757" s="7">
        <f t="shared" si="2970"/>
        <v>17.333333333333332</v>
      </c>
      <c r="S2757" t="str">
        <f t="shared" si="2971"/>
        <v>publishing</v>
      </c>
      <c r="T2757" t="str">
        <f t="shared" si="2972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ref="K2758:L2758" si="2975">(J2758/60/60/24)+DATE(1970,1,1)</f>
        <v>41620.90047453704</v>
      </c>
      <c r="L2758" s="11">
        <f t="shared" si="2968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969"/>
        <v>10.48</v>
      </c>
      <c r="R2758" s="7">
        <f t="shared" si="2970"/>
        <v>31.757575757575758</v>
      </c>
      <c r="S2758" t="str">
        <f t="shared" si="2971"/>
        <v>publishing</v>
      </c>
      <c r="T2758" t="str">
        <f t="shared" si="2972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ref="K2759:L2759" si="2976">(J2759/60/60/24)+DATE(1970,1,1)</f>
        <v>42573.65662037037</v>
      </c>
      <c r="L2759" s="11">
        <f t="shared" si="2968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969"/>
        <v>0.66666666666666674</v>
      </c>
      <c r="R2759" s="7">
        <f t="shared" si="2970"/>
        <v>5</v>
      </c>
      <c r="S2759" t="str">
        <f t="shared" si="2971"/>
        <v>publishing</v>
      </c>
      <c r="T2759" t="str">
        <f t="shared" si="2972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ref="K2760:L2760" si="2977">(J2760/60/60/24)+DATE(1970,1,1)</f>
        <v>42639.441932870366</v>
      </c>
      <c r="L2760" s="11">
        <f t="shared" si="2968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969"/>
        <v>11.700000000000001</v>
      </c>
      <c r="R2760" s="7">
        <f t="shared" si="2970"/>
        <v>39</v>
      </c>
      <c r="S2760" t="str">
        <f t="shared" si="2971"/>
        <v>publishing</v>
      </c>
      <c r="T2760" t="str">
        <f t="shared" si="2972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ref="K2761:L2761" si="2978">(J2761/60/60/24)+DATE(1970,1,1)</f>
        <v>42524.36650462963</v>
      </c>
      <c r="L2761" s="11">
        <f t="shared" si="2968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969"/>
        <v>10.5</v>
      </c>
      <c r="R2761" s="7">
        <f t="shared" si="2970"/>
        <v>52.5</v>
      </c>
      <c r="S2761" t="str">
        <f t="shared" si="2971"/>
        <v>publishing</v>
      </c>
      <c r="T2761" t="str">
        <f t="shared" si="2972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ref="K2762:L2762" si="2979">(J2762/60/60/24)+DATE(1970,1,1)</f>
        <v>41415.461319444446</v>
      </c>
      <c r="L2762" s="11">
        <f t="shared" si="2968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969"/>
        <v>0</v>
      </c>
      <c r="R2762" s="7">
        <f t="shared" si="2970"/>
        <v>0</v>
      </c>
      <c r="S2762" t="str">
        <f t="shared" si="2971"/>
        <v>publishing</v>
      </c>
      <c r="T2762" t="str">
        <f t="shared" si="2972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ref="K2763:L2763" si="2980">(J2763/60/60/24)+DATE(1970,1,1)</f>
        <v>41247.063576388886</v>
      </c>
      <c r="L2763" s="11">
        <f t="shared" si="2968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969"/>
        <v>0.72</v>
      </c>
      <c r="R2763" s="7">
        <f t="shared" si="2970"/>
        <v>9</v>
      </c>
      <c r="S2763" t="str">
        <f t="shared" si="2971"/>
        <v>publishing</v>
      </c>
      <c r="T2763" t="str">
        <f t="shared" si="2972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ref="K2764:L2764" si="2981">(J2764/60/60/24)+DATE(1970,1,1)</f>
        <v>40927.036979166667</v>
      </c>
      <c r="L2764" s="11">
        <f t="shared" si="2968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969"/>
        <v>0.76923076923076927</v>
      </c>
      <c r="R2764" s="7">
        <f t="shared" si="2970"/>
        <v>25</v>
      </c>
      <c r="S2764" t="str">
        <f t="shared" si="2971"/>
        <v>publishing</v>
      </c>
      <c r="T2764" t="str">
        <f t="shared" si="2972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ref="K2765:L2765" si="2982">(J2765/60/60/24)+DATE(1970,1,1)</f>
        <v>41373.579675925925</v>
      </c>
      <c r="L2765" s="11">
        <f t="shared" si="2968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969"/>
        <v>0.22842639593908631</v>
      </c>
      <c r="R2765" s="7">
        <f t="shared" si="2970"/>
        <v>30</v>
      </c>
      <c r="S2765" t="str">
        <f t="shared" si="2971"/>
        <v>publishing</v>
      </c>
      <c r="T2765" t="str">
        <f t="shared" si="2972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ref="K2766:L2766" si="2983">(J2766/60/60/24)+DATE(1970,1,1)</f>
        <v>41030.292025462964</v>
      </c>
      <c r="L2766" s="11">
        <f t="shared" si="2968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969"/>
        <v>1.125</v>
      </c>
      <c r="R2766" s="7">
        <f t="shared" si="2970"/>
        <v>11.25</v>
      </c>
      <c r="S2766" t="str">
        <f t="shared" si="2971"/>
        <v>publishing</v>
      </c>
      <c r="T2766" t="str">
        <f t="shared" si="2972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ref="K2767:L2767" si="2984">(J2767/60/60/24)+DATE(1970,1,1)</f>
        <v>41194.579027777778</v>
      </c>
      <c r="L2767" s="11">
        <f t="shared" si="2968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969"/>
        <v>0</v>
      </c>
      <c r="R2767" s="7">
        <f t="shared" si="2970"/>
        <v>0</v>
      </c>
      <c r="S2767" t="str">
        <f t="shared" si="2971"/>
        <v>publishing</v>
      </c>
      <c r="T2767" t="str">
        <f t="shared" si="2972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ref="K2768:L2768" si="2985">(J2768/60/60/24)+DATE(1970,1,1)</f>
        <v>40736.668032407404</v>
      </c>
      <c r="L2768" s="11">
        <f t="shared" si="2968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969"/>
        <v>2</v>
      </c>
      <c r="R2768" s="7">
        <f t="shared" si="2970"/>
        <v>25</v>
      </c>
      <c r="S2768" t="str">
        <f t="shared" si="2971"/>
        <v>publishing</v>
      </c>
      <c r="T2768" t="str">
        <f t="shared" si="2972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ref="K2769:L2769" si="2986">(J2769/60/60/24)+DATE(1970,1,1)</f>
        <v>42172.958912037036</v>
      </c>
      <c r="L2769" s="11">
        <f t="shared" si="2968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969"/>
        <v>0.85000000000000009</v>
      </c>
      <c r="R2769" s="7">
        <f t="shared" si="2970"/>
        <v>11.333333333333334</v>
      </c>
      <c r="S2769" t="str">
        <f t="shared" si="2971"/>
        <v>publishing</v>
      </c>
      <c r="T2769" t="str">
        <f t="shared" si="2972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ref="K2770:L2770" si="2987">(J2770/60/60/24)+DATE(1970,1,1)</f>
        <v>40967.614849537036</v>
      </c>
      <c r="L2770" s="11">
        <f t="shared" si="2968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969"/>
        <v>14.314285714285715</v>
      </c>
      <c r="R2770" s="7">
        <f t="shared" si="2970"/>
        <v>29.470588235294116</v>
      </c>
      <c r="S2770" t="str">
        <f t="shared" si="2971"/>
        <v>publishing</v>
      </c>
      <c r="T2770" t="str">
        <f t="shared" si="2972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ref="K2771:L2771" si="2988">(J2771/60/60/24)+DATE(1970,1,1)</f>
        <v>41745.826273148145</v>
      </c>
      <c r="L2771" s="11">
        <f t="shared" si="2968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969"/>
        <v>0.25</v>
      </c>
      <c r="R2771" s="7">
        <f t="shared" si="2970"/>
        <v>1</v>
      </c>
      <c r="S2771" t="str">
        <f t="shared" si="2971"/>
        <v>publishing</v>
      </c>
      <c r="T2771" t="str">
        <f t="shared" si="2972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ref="K2772:L2772" si="2989">(J2772/60/60/24)+DATE(1970,1,1)</f>
        <v>41686.705208333333</v>
      </c>
      <c r="L2772" s="11">
        <f t="shared" si="2968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969"/>
        <v>10.411249999999999</v>
      </c>
      <c r="R2772" s="7">
        <f t="shared" si="2970"/>
        <v>63.098484848484851</v>
      </c>
      <c r="S2772" t="str">
        <f t="shared" si="2971"/>
        <v>publishing</v>
      </c>
      <c r="T2772" t="str">
        <f t="shared" si="2972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ref="K2773:L2773" si="2990">(J2773/60/60/24)+DATE(1970,1,1)</f>
        <v>41257.531712962962</v>
      </c>
      <c r="L2773" s="11">
        <f t="shared" si="2968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969"/>
        <v>0</v>
      </c>
      <c r="R2773" s="7">
        <f t="shared" si="2970"/>
        <v>0</v>
      </c>
      <c r="S2773" t="str">
        <f t="shared" si="2971"/>
        <v>publishing</v>
      </c>
      <c r="T2773" t="str">
        <f t="shared" si="2972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ref="K2774:L2774" si="2991">(J2774/60/60/24)+DATE(1970,1,1)</f>
        <v>41537.869143518517</v>
      </c>
      <c r="L2774" s="11">
        <f t="shared" si="2968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969"/>
        <v>0</v>
      </c>
      <c r="R2774" s="7">
        <f t="shared" si="2970"/>
        <v>0</v>
      </c>
      <c r="S2774" t="str">
        <f t="shared" si="2971"/>
        <v>publishing</v>
      </c>
      <c r="T2774" t="str">
        <f t="shared" si="2972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ref="K2775:L2775" si="2992">(J2775/60/60/24)+DATE(1970,1,1)</f>
        <v>42474.86482638889</v>
      </c>
      <c r="L2775" s="11">
        <f t="shared" si="2968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969"/>
        <v>0.18867924528301888</v>
      </c>
      <c r="R2775" s="7">
        <f t="shared" si="2970"/>
        <v>1</v>
      </c>
      <c r="S2775" t="str">
        <f t="shared" si="2971"/>
        <v>publishing</v>
      </c>
      <c r="T2775" t="str">
        <f t="shared" si="2972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ref="K2776:L2776" si="2993">(J2776/60/60/24)+DATE(1970,1,1)</f>
        <v>41311.126481481479</v>
      </c>
      <c r="L2776" s="11">
        <f t="shared" si="2968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969"/>
        <v>14.249999999999998</v>
      </c>
      <c r="R2776" s="7">
        <f t="shared" si="2970"/>
        <v>43.846153846153847</v>
      </c>
      <c r="S2776" t="str">
        <f t="shared" si="2971"/>
        <v>publishing</v>
      </c>
      <c r="T2776" t="str">
        <f t="shared" si="2972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ref="K2777:L2777" si="2994">(J2777/60/60/24)+DATE(1970,1,1)</f>
        <v>40863.013356481482</v>
      </c>
      <c r="L2777" s="11">
        <f t="shared" si="2968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969"/>
        <v>3</v>
      </c>
      <c r="R2777" s="7">
        <f t="shared" si="2970"/>
        <v>75</v>
      </c>
      <c r="S2777" t="str">
        <f t="shared" si="2971"/>
        <v>publishing</v>
      </c>
      <c r="T2777" t="str">
        <f t="shared" si="2972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ref="K2778:L2778" si="2995">(J2778/60/60/24)+DATE(1970,1,1)</f>
        <v>42136.297175925924</v>
      </c>
      <c r="L2778" s="11">
        <f t="shared" si="2968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969"/>
        <v>7.8809523809523814</v>
      </c>
      <c r="R2778" s="7">
        <f t="shared" si="2970"/>
        <v>45.972222222222221</v>
      </c>
      <c r="S2778" t="str">
        <f t="shared" si="2971"/>
        <v>publishing</v>
      </c>
      <c r="T2778" t="str">
        <f t="shared" si="2972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ref="K2779:L2779" si="2996">(J2779/60/60/24)+DATE(1970,1,1)</f>
        <v>42172.669027777782</v>
      </c>
      <c r="L2779" s="11">
        <f t="shared" si="2968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969"/>
        <v>0.33333333333333337</v>
      </c>
      <c r="R2779" s="7">
        <f t="shared" si="2970"/>
        <v>10</v>
      </c>
      <c r="S2779" t="str">
        <f t="shared" si="2971"/>
        <v>publishing</v>
      </c>
      <c r="T2779" t="str">
        <f t="shared" si="2972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ref="K2780:L2780" si="2997">(J2780/60/60/24)+DATE(1970,1,1)</f>
        <v>41846.978078703702</v>
      </c>
      <c r="L2780" s="11">
        <f t="shared" si="2968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969"/>
        <v>25.545454545454543</v>
      </c>
      <c r="R2780" s="7">
        <f t="shared" si="2970"/>
        <v>93.666666666666671</v>
      </c>
      <c r="S2780" t="str">
        <f t="shared" si="2971"/>
        <v>publishing</v>
      </c>
      <c r="T2780" t="str">
        <f t="shared" si="2972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ref="K2781:L2781" si="2998">(J2781/60/60/24)+DATE(1970,1,1)</f>
        <v>42300.585891203707</v>
      </c>
      <c r="L2781" s="11">
        <f t="shared" si="2968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969"/>
        <v>2.12</v>
      </c>
      <c r="R2781" s="7">
        <f t="shared" si="2970"/>
        <v>53</v>
      </c>
      <c r="S2781" t="str">
        <f t="shared" si="2971"/>
        <v>publishing</v>
      </c>
      <c r="T2781" t="str">
        <f t="shared" si="2972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ref="K2782:L2782" si="2999">(J2782/60/60/24)+DATE(1970,1,1)</f>
        <v>42774.447777777779</v>
      </c>
      <c r="L2782" s="11">
        <f t="shared" si="2968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969"/>
        <v>0</v>
      </c>
      <c r="R2782" s="7">
        <f t="shared" si="2970"/>
        <v>0</v>
      </c>
      <c r="S2782" t="str">
        <f t="shared" si="2971"/>
        <v>publishing</v>
      </c>
      <c r="T2782" t="str">
        <f t="shared" si="2972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ref="K2783:L2783" si="3000">(J2783/60/60/24)+DATE(1970,1,1)</f>
        <v>42018.94159722222</v>
      </c>
      <c r="L2783" s="11">
        <f t="shared" si="2968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969"/>
        <v>105.28</v>
      </c>
      <c r="R2783" s="7">
        <f t="shared" si="2970"/>
        <v>47</v>
      </c>
      <c r="S2783" t="str">
        <f t="shared" si="2971"/>
        <v>theater</v>
      </c>
      <c r="T2783" t="str">
        <f t="shared" si="2972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ref="K2784:L2784" si="3001">(J2784/60/60/24)+DATE(1970,1,1)</f>
        <v>42026.924976851849</v>
      </c>
      <c r="L2784" s="11">
        <f t="shared" si="2968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969"/>
        <v>120</v>
      </c>
      <c r="R2784" s="7">
        <f t="shared" si="2970"/>
        <v>66.666666666666671</v>
      </c>
      <c r="S2784" t="str">
        <f t="shared" si="2971"/>
        <v>theater</v>
      </c>
      <c r="T2784" t="str">
        <f t="shared" si="2972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ref="K2785:L2785" si="3002">(J2785/60/60/24)+DATE(1970,1,1)</f>
        <v>42103.535254629634</v>
      </c>
      <c r="L2785" s="11">
        <f t="shared" si="2968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969"/>
        <v>114.5</v>
      </c>
      <c r="R2785" s="7">
        <f t="shared" si="2970"/>
        <v>18.770491803278688</v>
      </c>
      <c r="S2785" t="str">
        <f t="shared" si="2971"/>
        <v>theater</v>
      </c>
      <c r="T2785" t="str">
        <f t="shared" si="2972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ref="K2786:L2786" si="3003">(J2786/60/60/24)+DATE(1970,1,1)</f>
        <v>41920.787534722222</v>
      </c>
      <c r="L2786" s="11">
        <f t="shared" si="2968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969"/>
        <v>119</v>
      </c>
      <c r="R2786" s="7">
        <f t="shared" si="2970"/>
        <v>66.111111111111114</v>
      </c>
      <c r="S2786" t="str">
        <f t="shared" si="2971"/>
        <v>theater</v>
      </c>
      <c r="T2786" t="str">
        <f t="shared" si="2972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ref="K2787:L2787" si="3004">(J2787/60/60/24)+DATE(1970,1,1)</f>
        <v>42558.189432870371</v>
      </c>
      <c r="L2787" s="11">
        <f t="shared" si="2968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969"/>
        <v>104.67999999999999</v>
      </c>
      <c r="R2787" s="7">
        <f t="shared" si="2970"/>
        <v>36.859154929577464</v>
      </c>
      <c r="S2787" t="str">
        <f t="shared" si="2971"/>
        <v>theater</v>
      </c>
      <c r="T2787" t="str">
        <f t="shared" si="2972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ref="K2788:L2788" si="3005">(J2788/60/60/24)+DATE(1970,1,1)</f>
        <v>41815.569212962961</v>
      </c>
      <c r="L2788" s="11">
        <f t="shared" si="2968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969"/>
        <v>117.83999999999999</v>
      </c>
      <c r="R2788" s="7">
        <f t="shared" si="2970"/>
        <v>39.810810810810814</v>
      </c>
      <c r="S2788" t="str">
        <f t="shared" si="2971"/>
        <v>theater</v>
      </c>
      <c r="T2788" t="str">
        <f t="shared" si="2972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ref="K2789:L2789" si="3006">(J2789/60/60/24)+DATE(1970,1,1)</f>
        <v>41808.198518518519</v>
      </c>
      <c r="L2789" s="11">
        <f t="shared" si="2968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969"/>
        <v>119.7</v>
      </c>
      <c r="R2789" s="7">
        <f t="shared" si="2970"/>
        <v>31.5</v>
      </c>
      <c r="S2789" t="str">
        <f t="shared" si="2971"/>
        <v>theater</v>
      </c>
      <c r="T2789" t="str">
        <f t="shared" si="2972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ref="K2790:L2790" si="3007">(J2790/60/60/24)+DATE(1970,1,1)</f>
        <v>42550.701886574068</v>
      </c>
      <c r="L2790" s="11">
        <f t="shared" si="2968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969"/>
        <v>102.49999999999999</v>
      </c>
      <c r="R2790" s="7">
        <f t="shared" si="2970"/>
        <v>102.5</v>
      </c>
      <c r="S2790" t="str">
        <f t="shared" si="2971"/>
        <v>theater</v>
      </c>
      <c r="T2790" t="str">
        <f t="shared" si="2972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ref="K2791:L2791" si="3008">(J2791/60/60/24)+DATE(1970,1,1)</f>
        <v>42056.013124999998</v>
      </c>
      <c r="L2791" s="11">
        <f t="shared" si="2968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969"/>
        <v>101.16666666666667</v>
      </c>
      <c r="R2791" s="7">
        <f t="shared" si="2970"/>
        <v>126.45833333333333</v>
      </c>
      <c r="S2791" t="str">
        <f t="shared" si="2971"/>
        <v>theater</v>
      </c>
      <c r="T2791" t="str">
        <f t="shared" si="2972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ref="K2792:L2792" si="3009">(J2792/60/60/24)+DATE(1970,1,1)</f>
        <v>42016.938692129625</v>
      </c>
      <c r="L2792" s="11">
        <f t="shared" si="2968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969"/>
        <v>105.33333333333333</v>
      </c>
      <c r="R2792" s="7">
        <f t="shared" si="2970"/>
        <v>47.878787878787875</v>
      </c>
      <c r="S2792" t="str">
        <f t="shared" si="2971"/>
        <v>theater</v>
      </c>
      <c r="T2792" t="str">
        <f t="shared" si="2972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ref="K2793:L2793" si="3010">(J2793/60/60/24)+DATE(1970,1,1)</f>
        <v>42591.899988425925</v>
      </c>
      <c r="L2793" s="11">
        <f t="shared" si="2968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969"/>
        <v>102.49999999999999</v>
      </c>
      <c r="R2793" s="7">
        <f t="shared" si="2970"/>
        <v>73.214285714285708</v>
      </c>
      <c r="S2793" t="str">
        <f t="shared" si="2971"/>
        <v>theater</v>
      </c>
      <c r="T2793" t="str">
        <f t="shared" si="2972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ref="K2794:L2794" si="3011">(J2794/60/60/24)+DATE(1970,1,1)</f>
        <v>42183.231006944443</v>
      </c>
      <c r="L2794" s="11">
        <f t="shared" si="2968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969"/>
        <v>107.60000000000001</v>
      </c>
      <c r="R2794" s="7">
        <f t="shared" si="2970"/>
        <v>89.666666666666671</v>
      </c>
      <c r="S2794" t="str">
        <f t="shared" si="2971"/>
        <v>theater</v>
      </c>
      <c r="T2794" t="str">
        <f t="shared" si="2972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ref="K2795:L2795" si="3012">(J2795/60/60/24)+DATE(1970,1,1)</f>
        <v>42176.419039351851</v>
      </c>
      <c r="L2795" s="11">
        <f t="shared" si="2968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969"/>
        <v>110.5675</v>
      </c>
      <c r="R2795" s="7">
        <f t="shared" si="2970"/>
        <v>151.4623287671233</v>
      </c>
      <c r="S2795" t="str">
        <f t="shared" si="2971"/>
        <v>theater</v>
      </c>
      <c r="T2795" t="str">
        <f t="shared" si="2972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ref="K2796:L2796" si="3013">(J2796/60/60/24)+DATE(1970,1,1)</f>
        <v>42416.691655092596</v>
      </c>
      <c r="L2796" s="11">
        <f t="shared" si="2968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969"/>
        <v>150</v>
      </c>
      <c r="R2796" s="7">
        <f t="shared" si="2970"/>
        <v>25</v>
      </c>
      <c r="S2796" t="str">
        <f t="shared" si="2971"/>
        <v>theater</v>
      </c>
      <c r="T2796" t="str">
        <f t="shared" si="2972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ref="K2797:L2797" si="3014">(J2797/60/60/24)+DATE(1970,1,1)</f>
        <v>41780.525937500002</v>
      </c>
      <c r="L2797" s="11">
        <f t="shared" si="2968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969"/>
        <v>104.28571428571429</v>
      </c>
      <c r="R2797" s="7">
        <f t="shared" si="2970"/>
        <v>36.5</v>
      </c>
      <c r="S2797" t="str">
        <f t="shared" si="2971"/>
        <v>theater</v>
      </c>
      <c r="T2797" t="str">
        <f t="shared" si="2972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ref="K2798:L2798" si="3015">(J2798/60/60/24)+DATE(1970,1,1)</f>
        <v>41795.528101851851</v>
      </c>
      <c r="L2798" s="11">
        <f t="shared" si="2968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969"/>
        <v>115.5</v>
      </c>
      <c r="R2798" s="7">
        <f t="shared" si="2970"/>
        <v>44</v>
      </c>
      <c r="S2798" t="str">
        <f t="shared" si="2971"/>
        <v>theater</v>
      </c>
      <c r="T2798" t="str">
        <f t="shared" si="2972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ref="K2799:L2799" si="3016">(J2799/60/60/24)+DATE(1970,1,1)</f>
        <v>41798.94027777778</v>
      </c>
      <c r="L2799" s="11">
        <f t="shared" si="2968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969"/>
        <v>102.64512500000001</v>
      </c>
      <c r="R2799" s="7">
        <f t="shared" si="2970"/>
        <v>87.357553191489373</v>
      </c>
      <c r="S2799" t="str">
        <f t="shared" si="2971"/>
        <v>theater</v>
      </c>
      <c r="T2799" t="str">
        <f t="shared" si="2972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ref="K2800:L2800" si="3017">(J2800/60/60/24)+DATE(1970,1,1)</f>
        <v>42201.675011574072</v>
      </c>
      <c r="L2800" s="11">
        <f t="shared" si="2968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969"/>
        <v>101.4</v>
      </c>
      <c r="R2800" s="7">
        <f t="shared" si="2970"/>
        <v>36.474820143884891</v>
      </c>
      <c r="S2800" t="str">
        <f t="shared" si="2971"/>
        <v>theater</v>
      </c>
      <c r="T2800" t="str">
        <f t="shared" si="2972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ref="K2801:L2801" si="3018">(J2801/60/60/24)+DATE(1970,1,1)</f>
        <v>42507.264699074076</v>
      </c>
      <c r="L2801" s="11">
        <f t="shared" si="2968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969"/>
        <v>116.6348</v>
      </c>
      <c r="R2801" s="7">
        <f t="shared" si="2970"/>
        <v>44.859538461538463</v>
      </c>
      <c r="S2801" t="str">
        <f t="shared" si="2971"/>
        <v>theater</v>
      </c>
      <c r="T2801" t="str">
        <f t="shared" si="2972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ref="K2802:L2802" si="3019">(J2802/60/60/24)+DATE(1970,1,1)</f>
        <v>41948.552847222221</v>
      </c>
      <c r="L2802" s="11">
        <f t="shared" si="2968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969"/>
        <v>133</v>
      </c>
      <c r="R2802" s="7">
        <f t="shared" si="2970"/>
        <v>42.903225806451616</v>
      </c>
      <c r="S2802" t="str">
        <f t="shared" si="2971"/>
        <v>theater</v>
      </c>
      <c r="T2802" t="str">
        <f t="shared" si="2972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ref="K2803:L2803" si="3020">(J2803/60/60/24)+DATE(1970,1,1)</f>
        <v>41900.243159722224</v>
      </c>
      <c r="L2803" s="11">
        <f t="shared" si="2968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969"/>
        <v>133.20000000000002</v>
      </c>
      <c r="R2803" s="7">
        <f t="shared" si="2970"/>
        <v>51.230769230769234</v>
      </c>
      <c r="S2803" t="str">
        <f t="shared" si="2971"/>
        <v>theater</v>
      </c>
      <c r="T2803" t="str">
        <f t="shared" si="2972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ref="K2804:L2804" si="3021">(J2804/60/60/24)+DATE(1970,1,1)</f>
        <v>42192.64707175926</v>
      </c>
      <c r="L2804" s="11">
        <f t="shared" si="2968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969"/>
        <v>101.83333333333333</v>
      </c>
      <c r="R2804" s="7">
        <f t="shared" si="2970"/>
        <v>33.944444444444443</v>
      </c>
      <c r="S2804" t="str">
        <f t="shared" si="2971"/>
        <v>theater</v>
      </c>
      <c r="T2804" t="str">
        <f t="shared" si="2972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ref="K2805:L2805" si="3022">(J2805/60/60/24)+DATE(1970,1,1)</f>
        <v>42158.065694444449</v>
      </c>
      <c r="L2805" s="11">
        <f t="shared" si="2968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969"/>
        <v>127.95</v>
      </c>
      <c r="R2805" s="7">
        <f t="shared" si="2970"/>
        <v>90.744680851063833</v>
      </c>
      <c r="S2805" t="str">
        <f t="shared" si="2971"/>
        <v>theater</v>
      </c>
      <c r="T2805" t="str">
        <f t="shared" si="2972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ref="K2806:L2806" si="3023">(J2806/60/60/24)+DATE(1970,1,1)</f>
        <v>41881.453587962962</v>
      </c>
      <c r="L2806" s="11">
        <f t="shared" si="2968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969"/>
        <v>114.99999999999999</v>
      </c>
      <c r="R2806" s="7">
        <f t="shared" si="2970"/>
        <v>50</v>
      </c>
      <c r="S2806" t="str">
        <f t="shared" si="2971"/>
        <v>theater</v>
      </c>
      <c r="T2806" t="str">
        <f t="shared" si="2972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ref="K2807:L2807" si="3024">(J2807/60/60/24)+DATE(1970,1,1)</f>
        <v>42213.505474537036</v>
      </c>
      <c r="L2807" s="11">
        <f t="shared" si="2968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969"/>
        <v>110.00000000000001</v>
      </c>
      <c r="R2807" s="7">
        <f t="shared" si="2970"/>
        <v>24.444444444444443</v>
      </c>
      <c r="S2807" t="str">
        <f t="shared" si="2971"/>
        <v>theater</v>
      </c>
      <c r="T2807" t="str">
        <f t="shared" si="2972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ref="K2808:L2808" si="3025">(J2808/60/60/24)+DATE(1970,1,1)</f>
        <v>42185.267245370371</v>
      </c>
      <c r="L2808" s="11">
        <f t="shared" si="2968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969"/>
        <v>112.1</v>
      </c>
      <c r="R2808" s="7">
        <f t="shared" si="2970"/>
        <v>44.25</v>
      </c>
      <c r="S2808" t="str">
        <f t="shared" si="2971"/>
        <v>theater</v>
      </c>
      <c r="T2808" t="str">
        <f t="shared" si="2972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ref="K2809:L2809" si="3026">(J2809/60/60/24)+DATE(1970,1,1)</f>
        <v>42154.873124999998</v>
      </c>
      <c r="L2809" s="11">
        <f t="shared" si="2968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969"/>
        <v>126</v>
      </c>
      <c r="R2809" s="7">
        <f t="shared" si="2970"/>
        <v>67.741935483870961</v>
      </c>
      <c r="S2809" t="str">
        <f t="shared" si="2971"/>
        <v>theater</v>
      </c>
      <c r="T2809" t="str">
        <f t="shared" si="2972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ref="K2810:L2810" si="3027">(J2810/60/60/24)+DATE(1970,1,1)</f>
        <v>42208.84646990741</v>
      </c>
      <c r="L2810" s="11">
        <f t="shared" si="2968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969"/>
        <v>100.24444444444444</v>
      </c>
      <c r="R2810" s="7">
        <f t="shared" si="2970"/>
        <v>65.376811594202906</v>
      </c>
      <c r="S2810" t="str">
        <f t="shared" si="2971"/>
        <v>theater</v>
      </c>
      <c r="T2810" t="str">
        <f t="shared" si="2972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ref="K2811:L2811" si="3028">(J2811/60/60/24)+DATE(1970,1,1)</f>
        <v>42451.496817129635</v>
      </c>
      <c r="L2811" s="11">
        <f t="shared" si="2968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969"/>
        <v>102.4</v>
      </c>
      <c r="R2811" s="7">
        <f t="shared" si="2970"/>
        <v>121.9047619047619</v>
      </c>
      <c r="S2811" t="str">
        <f t="shared" si="2971"/>
        <v>theater</v>
      </c>
      <c r="T2811" t="str">
        <f t="shared" si="2972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ref="K2812:L2812" si="3029">(J2812/60/60/24)+DATE(1970,1,1)</f>
        <v>41759.13962962963</v>
      </c>
      <c r="L2812" s="11">
        <f t="shared" si="2968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969"/>
        <v>108.2</v>
      </c>
      <c r="R2812" s="7">
        <f t="shared" si="2970"/>
        <v>47.456140350877192</v>
      </c>
      <c r="S2812" t="str">
        <f t="shared" si="2971"/>
        <v>theater</v>
      </c>
      <c r="T2812" t="str">
        <f t="shared" si="2972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ref="K2813:L2813" si="3030">(J2813/60/60/24)+DATE(1970,1,1)</f>
        <v>42028.496562500004</v>
      </c>
      <c r="L2813" s="11">
        <f t="shared" si="2968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969"/>
        <v>100.27</v>
      </c>
      <c r="R2813" s="7">
        <f t="shared" si="2970"/>
        <v>92.842592592592595</v>
      </c>
      <c r="S2813" t="str">
        <f t="shared" si="2971"/>
        <v>theater</v>
      </c>
      <c r="T2813" t="str">
        <f t="shared" si="2972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ref="K2814:L2814" si="3031">(J2814/60/60/24)+DATE(1970,1,1)</f>
        <v>42054.74418981481</v>
      </c>
      <c r="L2814" s="11">
        <f t="shared" si="2968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969"/>
        <v>113.3</v>
      </c>
      <c r="R2814" s="7">
        <f t="shared" si="2970"/>
        <v>68.253012048192772</v>
      </c>
      <c r="S2814" t="str">
        <f t="shared" si="2971"/>
        <v>theater</v>
      </c>
      <c r="T2814" t="str">
        <f t="shared" si="2972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ref="K2815:L2815" si="3032">(J2815/60/60/24)+DATE(1970,1,1)</f>
        <v>42693.742604166662</v>
      </c>
      <c r="L2815" s="11">
        <f t="shared" si="2968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969"/>
        <v>127.57571428571428</v>
      </c>
      <c r="R2815" s="7">
        <f t="shared" si="2970"/>
        <v>37.209583333333335</v>
      </c>
      <c r="S2815" t="str">
        <f t="shared" si="2971"/>
        <v>theater</v>
      </c>
      <c r="T2815" t="str">
        <f t="shared" si="2972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ref="K2816:L2816" si="3033">(J2816/60/60/24)+DATE(1970,1,1)</f>
        <v>42103.399479166663</v>
      </c>
      <c r="L2816" s="11">
        <f t="shared" si="2968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969"/>
        <v>107.73333333333332</v>
      </c>
      <c r="R2816" s="7">
        <f t="shared" si="2970"/>
        <v>25.25</v>
      </c>
      <c r="S2816" t="str">
        <f t="shared" si="2971"/>
        <v>theater</v>
      </c>
      <c r="T2816" t="str">
        <f t="shared" si="2972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ref="K2817:L2817" si="3034">(J2817/60/60/24)+DATE(1970,1,1)</f>
        <v>42559.776724537034</v>
      </c>
      <c r="L2817" s="11">
        <f t="shared" si="2968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969"/>
        <v>242</v>
      </c>
      <c r="R2817" s="7">
        <f t="shared" si="2970"/>
        <v>43.214285714285715</v>
      </c>
      <c r="S2817" t="str">
        <f t="shared" si="2971"/>
        <v>theater</v>
      </c>
      <c r="T2817" t="str">
        <f t="shared" si="2972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ref="K2818:L2818" si="3035">(J2818/60/60/24)+DATE(1970,1,1)</f>
        <v>42188.467499999999</v>
      </c>
      <c r="L2818" s="11">
        <f t="shared" si="2968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969"/>
        <v>141.56666666666666</v>
      </c>
      <c r="R2818" s="7">
        <f t="shared" si="2970"/>
        <v>25.130177514792898</v>
      </c>
      <c r="S2818" t="str">
        <f t="shared" si="2971"/>
        <v>theater</v>
      </c>
      <c r="T2818" t="str">
        <f t="shared" si="2972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ref="K2819:L2819" si="3036">(J2819/60/60/24)+DATE(1970,1,1)</f>
        <v>42023.634976851856</v>
      </c>
      <c r="L2819" s="11">
        <f t="shared" ref="L2819:L2882" si="3037">(I2819/60/60/24)+DATE(1970,1,1)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3038">(E2819/D2819)*100</f>
        <v>130</v>
      </c>
      <c r="R2819" s="7">
        <f t="shared" ref="R2819:R2882" si="3039">IFERROR(E2819/N2819, 0)</f>
        <v>23.636363636363637</v>
      </c>
      <c r="S2819" t="str">
        <f t="shared" ref="S2819:S2882" si="3040">LEFT(P2819, SEARCH("/", P2819,1)-1)</f>
        <v>theater</v>
      </c>
      <c r="T2819" t="str">
        <f t="shared" ref="T2819:T2882" si="3041">RIGHT(P2819,LEN(P2819)-SEARCH("/",P2819,SEARCH("/",P2819)))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ref="K2820:L2820" si="3042">(J2820/60/60/24)+DATE(1970,1,1)</f>
        <v>42250.598217592589</v>
      </c>
      <c r="L2820" s="11">
        <f t="shared" si="303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3038"/>
        <v>106.03</v>
      </c>
      <c r="R2820" s="7">
        <f t="shared" si="3039"/>
        <v>103.95098039215686</v>
      </c>
      <c r="S2820" t="str">
        <f t="shared" si="3040"/>
        <v>theater</v>
      </c>
      <c r="T2820" t="str">
        <f t="shared" si="3041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ref="K2821:L2821" si="3043">(J2821/60/60/24)+DATE(1970,1,1)</f>
        <v>42139.525567129633</v>
      </c>
      <c r="L2821" s="11">
        <f t="shared" si="303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3038"/>
        <v>104.80000000000001</v>
      </c>
      <c r="R2821" s="7">
        <f t="shared" si="3039"/>
        <v>50.384615384615387</v>
      </c>
      <c r="S2821" t="str">
        <f t="shared" si="3040"/>
        <v>theater</v>
      </c>
      <c r="T2821" t="str">
        <f t="shared" si="3041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ref="K2822:L2822" si="3044">(J2822/60/60/24)+DATE(1970,1,1)</f>
        <v>42401.610983796301</v>
      </c>
      <c r="L2822" s="11">
        <f t="shared" si="3037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3038"/>
        <v>136</v>
      </c>
      <c r="R2822" s="7">
        <f t="shared" si="3039"/>
        <v>13.6</v>
      </c>
      <c r="S2822" t="str">
        <f t="shared" si="3040"/>
        <v>theater</v>
      </c>
      <c r="T2822" t="str">
        <f t="shared" si="3041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ref="K2823:L2823" si="3045">(J2823/60/60/24)+DATE(1970,1,1)</f>
        <v>41875.922858796301</v>
      </c>
      <c r="L2823" s="11">
        <f t="shared" si="303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3038"/>
        <v>100</v>
      </c>
      <c r="R2823" s="7">
        <f t="shared" si="3039"/>
        <v>28.571428571428573</v>
      </c>
      <c r="S2823" t="str">
        <f t="shared" si="3040"/>
        <v>theater</v>
      </c>
      <c r="T2823" t="str">
        <f t="shared" si="3041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ref="K2824:L2824" si="3046">(J2824/60/60/24)+DATE(1970,1,1)</f>
        <v>42060.683935185181</v>
      </c>
      <c r="L2824" s="11">
        <f t="shared" si="303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3038"/>
        <v>100</v>
      </c>
      <c r="R2824" s="7">
        <f t="shared" si="3039"/>
        <v>63.829787234042556</v>
      </c>
      <c r="S2824" t="str">
        <f t="shared" si="3040"/>
        <v>theater</v>
      </c>
      <c r="T2824" t="str">
        <f t="shared" si="3041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ref="K2825:L2825" si="3047">(J2825/60/60/24)+DATE(1970,1,1)</f>
        <v>42067.011643518519</v>
      </c>
      <c r="L2825" s="11">
        <f t="shared" si="303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3038"/>
        <v>124</v>
      </c>
      <c r="R2825" s="7">
        <f t="shared" si="3039"/>
        <v>8.8571428571428577</v>
      </c>
      <c r="S2825" t="str">
        <f t="shared" si="3040"/>
        <v>theater</v>
      </c>
      <c r="T2825" t="str">
        <f t="shared" si="3041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ref="K2826:L2826" si="3048">(J2826/60/60/24)+DATE(1970,1,1)</f>
        <v>42136.270787037036</v>
      </c>
      <c r="L2826" s="11">
        <f t="shared" si="303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3038"/>
        <v>116.92307692307693</v>
      </c>
      <c r="R2826" s="7">
        <f t="shared" si="3039"/>
        <v>50.666666666666664</v>
      </c>
      <c r="S2826" t="str">
        <f t="shared" si="3040"/>
        <v>theater</v>
      </c>
      <c r="T2826" t="str">
        <f t="shared" si="3041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ref="K2827:L2827" si="3049">(J2827/60/60/24)+DATE(1970,1,1)</f>
        <v>42312.792662037042</v>
      </c>
      <c r="L2827" s="11">
        <f t="shared" si="303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3038"/>
        <v>103.33333333333334</v>
      </c>
      <c r="R2827" s="7">
        <f t="shared" si="3039"/>
        <v>60.784313725490193</v>
      </c>
      <c r="S2827" t="str">
        <f t="shared" si="3040"/>
        <v>theater</v>
      </c>
      <c r="T2827" t="str">
        <f t="shared" si="3041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ref="K2828:L2828" si="3050">(J2828/60/60/24)+DATE(1970,1,1)</f>
        <v>42171.034861111111</v>
      </c>
      <c r="L2828" s="11">
        <f t="shared" si="303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3038"/>
        <v>107.74999999999999</v>
      </c>
      <c r="R2828" s="7">
        <f t="shared" si="3039"/>
        <v>113.42105263157895</v>
      </c>
      <c r="S2828" t="str">
        <f t="shared" si="3040"/>
        <v>theater</v>
      </c>
      <c r="T2828" t="str">
        <f t="shared" si="3041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ref="K2829:L2829" si="3051">(J2829/60/60/24)+DATE(1970,1,1)</f>
        <v>42494.683634259258</v>
      </c>
      <c r="L2829" s="11">
        <f t="shared" si="3037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3038"/>
        <v>120.24999999999999</v>
      </c>
      <c r="R2829" s="7">
        <f t="shared" si="3039"/>
        <v>104.56521739130434</v>
      </c>
      <c r="S2829" t="str">
        <f t="shared" si="3040"/>
        <v>theater</v>
      </c>
      <c r="T2829" t="str">
        <f t="shared" si="3041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ref="K2830:L2830" si="3052">(J2830/60/60/24)+DATE(1970,1,1)</f>
        <v>42254.264687499999</v>
      </c>
      <c r="L2830" s="11">
        <f t="shared" si="303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3038"/>
        <v>100.37894736842105</v>
      </c>
      <c r="R2830" s="7">
        <f t="shared" si="3039"/>
        <v>98.30927835051547</v>
      </c>
      <c r="S2830" t="str">
        <f t="shared" si="3040"/>
        <v>theater</v>
      </c>
      <c r="T2830" t="str">
        <f t="shared" si="3041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ref="K2831:L2831" si="3053">(J2831/60/60/24)+DATE(1970,1,1)</f>
        <v>42495.434236111112</v>
      </c>
      <c r="L2831" s="11">
        <f t="shared" si="303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3038"/>
        <v>106.52</v>
      </c>
      <c r="R2831" s="7">
        <f t="shared" si="3039"/>
        <v>35.039473684210527</v>
      </c>
      <c r="S2831" t="str">
        <f t="shared" si="3040"/>
        <v>theater</v>
      </c>
      <c r="T2831" t="str">
        <f t="shared" si="3041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ref="K2832:L2832" si="3054">(J2832/60/60/24)+DATE(1970,1,1)</f>
        <v>41758.839675925927</v>
      </c>
      <c r="L2832" s="11">
        <f t="shared" si="303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3038"/>
        <v>100</v>
      </c>
      <c r="R2832" s="7">
        <f t="shared" si="3039"/>
        <v>272.72727272727275</v>
      </c>
      <c r="S2832" t="str">
        <f t="shared" si="3040"/>
        <v>theater</v>
      </c>
      <c r="T2832" t="str">
        <f t="shared" si="3041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ref="K2833:L2833" si="3055">(J2833/60/60/24)+DATE(1970,1,1)</f>
        <v>42171.824884259258</v>
      </c>
      <c r="L2833" s="11">
        <f t="shared" si="303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3038"/>
        <v>110.66666666666667</v>
      </c>
      <c r="R2833" s="7">
        <f t="shared" si="3039"/>
        <v>63.846153846153847</v>
      </c>
      <c r="S2833" t="str">
        <f t="shared" si="3040"/>
        <v>theater</v>
      </c>
      <c r="T2833" t="str">
        <f t="shared" si="3041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ref="K2834:L2834" si="3056">(J2834/60/60/24)+DATE(1970,1,1)</f>
        <v>41938.709421296298</v>
      </c>
      <c r="L2834" s="11">
        <f t="shared" si="303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3038"/>
        <v>114.71959999999999</v>
      </c>
      <c r="R2834" s="7">
        <f t="shared" si="3039"/>
        <v>30.189368421052631</v>
      </c>
      <c r="S2834" t="str">
        <f t="shared" si="3040"/>
        <v>theater</v>
      </c>
      <c r="T2834" t="str">
        <f t="shared" si="3041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ref="K2835:L2835" si="3057">(J2835/60/60/24)+DATE(1970,1,1)</f>
        <v>42268.127696759257</v>
      </c>
      <c r="L2835" s="11">
        <f t="shared" si="303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3038"/>
        <v>108.25925925925925</v>
      </c>
      <c r="R2835" s="7">
        <f t="shared" si="3039"/>
        <v>83.51428571428572</v>
      </c>
      <c r="S2835" t="str">
        <f t="shared" si="3040"/>
        <v>theater</v>
      </c>
      <c r="T2835" t="str">
        <f t="shared" si="3041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ref="K2836:L2836" si="3058">(J2836/60/60/24)+DATE(1970,1,1)</f>
        <v>42019.959837962961</v>
      </c>
      <c r="L2836" s="11">
        <f t="shared" si="303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3038"/>
        <v>170</v>
      </c>
      <c r="R2836" s="7">
        <f t="shared" si="3039"/>
        <v>64.761904761904759</v>
      </c>
      <c r="S2836" t="str">
        <f t="shared" si="3040"/>
        <v>theater</v>
      </c>
      <c r="T2836" t="str">
        <f t="shared" si="3041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ref="K2837:L2837" si="3059">(J2837/60/60/24)+DATE(1970,1,1)</f>
        <v>42313.703900462962</v>
      </c>
      <c r="L2837" s="11">
        <f t="shared" si="3037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3038"/>
        <v>187.09899999999999</v>
      </c>
      <c r="R2837" s="7">
        <f t="shared" si="3039"/>
        <v>20.118172043010752</v>
      </c>
      <c r="S2837" t="str">
        <f t="shared" si="3040"/>
        <v>theater</v>
      </c>
      <c r="T2837" t="str">
        <f t="shared" si="3041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ref="K2838:L2838" si="3060">(J2838/60/60/24)+DATE(1970,1,1)</f>
        <v>42746.261782407411</v>
      </c>
      <c r="L2838" s="11">
        <f t="shared" si="303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3038"/>
        <v>107.77777777777777</v>
      </c>
      <c r="R2838" s="7">
        <f t="shared" si="3039"/>
        <v>44.090909090909093</v>
      </c>
      <c r="S2838" t="str">
        <f t="shared" si="3040"/>
        <v>theater</v>
      </c>
      <c r="T2838" t="str">
        <f t="shared" si="3041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ref="K2839:L2839" si="3061">(J2839/60/60/24)+DATE(1970,1,1)</f>
        <v>42307.908379629633</v>
      </c>
      <c r="L2839" s="11">
        <f t="shared" si="303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3038"/>
        <v>100</v>
      </c>
      <c r="R2839" s="7">
        <f t="shared" si="3039"/>
        <v>40.476190476190474</v>
      </c>
      <c r="S2839" t="str">
        <f t="shared" si="3040"/>
        <v>theater</v>
      </c>
      <c r="T2839" t="str">
        <f t="shared" si="3041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ref="K2840:L2840" si="3062">(J2840/60/60/24)+DATE(1970,1,1)</f>
        <v>41842.607592592591</v>
      </c>
      <c r="L2840" s="11">
        <f t="shared" si="303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3038"/>
        <v>120.24999999999999</v>
      </c>
      <c r="R2840" s="7">
        <f t="shared" si="3039"/>
        <v>44.537037037037038</v>
      </c>
      <c r="S2840" t="str">
        <f t="shared" si="3040"/>
        <v>theater</v>
      </c>
      <c r="T2840" t="str">
        <f t="shared" si="3041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ref="K2841:L2841" si="3063">(J2841/60/60/24)+DATE(1970,1,1)</f>
        <v>41853.240208333329</v>
      </c>
      <c r="L2841" s="11">
        <f t="shared" si="303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3038"/>
        <v>111.42857142857143</v>
      </c>
      <c r="R2841" s="7">
        <f t="shared" si="3039"/>
        <v>125.80645161290323</v>
      </c>
      <c r="S2841" t="str">
        <f t="shared" si="3040"/>
        <v>theater</v>
      </c>
      <c r="T2841" t="str">
        <f t="shared" si="3041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ref="K2842:L2842" si="3064">(J2842/60/60/24)+DATE(1970,1,1)</f>
        <v>42060.035636574074</v>
      </c>
      <c r="L2842" s="11">
        <f t="shared" si="303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3038"/>
        <v>104</v>
      </c>
      <c r="R2842" s="7">
        <f t="shared" si="3039"/>
        <v>19.696969696969695</v>
      </c>
      <c r="S2842" t="str">
        <f t="shared" si="3040"/>
        <v>theater</v>
      </c>
      <c r="T2842" t="str">
        <f t="shared" si="3041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ref="K2843:L2843" si="3065">(J2843/60/60/24)+DATE(1970,1,1)</f>
        <v>42291.739548611105</v>
      </c>
      <c r="L2843" s="11">
        <f t="shared" si="303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3038"/>
        <v>1</v>
      </c>
      <c r="R2843" s="7">
        <f t="shared" si="3039"/>
        <v>10</v>
      </c>
      <c r="S2843" t="str">
        <f t="shared" si="3040"/>
        <v>theater</v>
      </c>
      <c r="T2843" t="str">
        <f t="shared" si="3041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ref="K2844:L2844" si="3066">(J2844/60/60/24)+DATE(1970,1,1)</f>
        <v>41784.952488425923</v>
      </c>
      <c r="L2844" s="11">
        <f t="shared" si="303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3038"/>
        <v>0</v>
      </c>
      <c r="R2844" s="7">
        <f t="shared" si="3039"/>
        <v>0</v>
      </c>
      <c r="S2844" t="str">
        <f t="shared" si="3040"/>
        <v>theater</v>
      </c>
      <c r="T2844" t="str">
        <f t="shared" si="3041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ref="K2845:L2845" si="3067">(J2845/60/60/24)+DATE(1970,1,1)</f>
        <v>42492.737847222219</v>
      </c>
      <c r="L2845" s="11">
        <f t="shared" si="303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3038"/>
        <v>0</v>
      </c>
      <c r="R2845" s="7">
        <f t="shared" si="3039"/>
        <v>0</v>
      </c>
      <c r="S2845" t="str">
        <f t="shared" si="3040"/>
        <v>theater</v>
      </c>
      <c r="T2845" t="str">
        <f t="shared" si="3041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ref="K2846:L2846" si="3068">(J2846/60/60/24)+DATE(1970,1,1)</f>
        <v>42709.546064814815</v>
      </c>
      <c r="L2846" s="11">
        <f t="shared" si="303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3038"/>
        <v>5.4545454545454541</v>
      </c>
      <c r="R2846" s="7">
        <f t="shared" si="3039"/>
        <v>30</v>
      </c>
      <c r="S2846" t="str">
        <f t="shared" si="3040"/>
        <v>theater</v>
      </c>
      <c r="T2846" t="str">
        <f t="shared" si="3041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ref="K2847:L2847" si="3069">(J2847/60/60/24)+DATE(1970,1,1)</f>
        <v>42103.016585648147</v>
      </c>
      <c r="L2847" s="11">
        <f t="shared" si="303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3038"/>
        <v>31.546666666666667</v>
      </c>
      <c r="R2847" s="7">
        <f t="shared" si="3039"/>
        <v>60.666666666666664</v>
      </c>
      <c r="S2847" t="str">
        <f t="shared" si="3040"/>
        <v>theater</v>
      </c>
      <c r="T2847" t="str">
        <f t="shared" si="3041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ref="K2848:L2848" si="3070">(J2848/60/60/24)+DATE(1970,1,1)</f>
        <v>42108.692060185189</v>
      </c>
      <c r="L2848" s="11">
        <f t="shared" si="303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3038"/>
        <v>0</v>
      </c>
      <c r="R2848" s="7">
        <f t="shared" si="3039"/>
        <v>0</v>
      </c>
      <c r="S2848" t="str">
        <f t="shared" si="3040"/>
        <v>theater</v>
      </c>
      <c r="T2848" t="str">
        <f t="shared" si="3041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ref="K2849:L2849" si="3071">(J2849/60/60/24)+DATE(1970,1,1)</f>
        <v>42453.806307870371</v>
      </c>
      <c r="L2849" s="11">
        <f t="shared" si="303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3038"/>
        <v>0</v>
      </c>
      <c r="R2849" s="7">
        <f t="shared" si="3039"/>
        <v>0</v>
      </c>
      <c r="S2849" t="str">
        <f t="shared" si="3040"/>
        <v>theater</v>
      </c>
      <c r="T2849" t="str">
        <f t="shared" si="3041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ref="K2850:L2850" si="3072">(J2850/60/60/24)+DATE(1970,1,1)</f>
        <v>42123.648831018523</v>
      </c>
      <c r="L2850" s="11">
        <f t="shared" si="303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3038"/>
        <v>0.2</v>
      </c>
      <c r="R2850" s="7">
        <f t="shared" si="3039"/>
        <v>23.333333333333332</v>
      </c>
      <c r="S2850" t="str">
        <f t="shared" si="3040"/>
        <v>theater</v>
      </c>
      <c r="T2850" t="str">
        <f t="shared" si="3041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ref="K2851:L2851" si="3073">(J2851/60/60/24)+DATE(1970,1,1)</f>
        <v>42453.428240740745</v>
      </c>
      <c r="L2851" s="11">
        <f t="shared" si="303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3038"/>
        <v>1</v>
      </c>
      <c r="R2851" s="7">
        <f t="shared" si="3039"/>
        <v>5</v>
      </c>
      <c r="S2851" t="str">
        <f t="shared" si="3040"/>
        <v>theater</v>
      </c>
      <c r="T2851" t="str">
        <f t="shared" si="3041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ref="K2852:L2852" si="3074">(J2852/60/60/24)+DATE(1970,1,1)</f>
        <v>41858.007071759261</v>
      </c>
      <c r="L2852" s="11">
        <f t="shared" si="303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3038"/>
        <v>3.8875000000000002</v>
      </c>
      <c r="R2852" s="7">
        <f t="shared" si="3039"/>
        <v>23.923076923076923</v>
      </c>
      <c r="S2852" t="str">
        <f t="shared" si="3040"/>
        <v>theater</v>
      </c>
      <c r="T2852" t="str">
        <f t="shared" si="3041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ref="K2853:L2853" si="3075">(J2853/60/60/24)+DATE(1970,1,1)</f>
        <v>42390.002650462964</v>
      </c>
      <c r="L2853" s="11">
        <f t="shared" si="303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3038"/>
        <v>0</v>
      </c>
      <c r="R2853" s="7">
        <f t="shared" si="3039"/>
        <v>0</v>
      </c>
      <c r="S2853" t="str">
        <f t="shared" si="3040"/>
        <v>theater</v>
      </c>
      <c r="T2853" t="str">
        <f t="shared" si="3041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ref="K2854:L2854" si="3076">(J2854/60/60/24)+DATE(1970,1,1)</f>
        <v>41781.045173611114</v>
      </c>
      <c r="L2854" s="11">
        <f t="shared" si="303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3038"/>
        <v>1.9</v>
      </c>
      <c r="R2854" s="7">
        <f t="shared" si="3039"/>
        <v>15.833333333333334</v>
      </c>
      <c r="S2854" t="str">
        <f t="shared" si="3040"/>
        <v>theater</v>
      </c>
      <c r="T2854" t="str">
        <f t="shared" si="3041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ref="K2855:L2855" si="3077">(J2855/60/60/24)+DATE(1970,1,1)</f>
        <v>41836.190937499996</v>
      </c>
      <c r="L2855" s="11">
        <f t="shared" si="303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3038"/>
        <v>0</v>
      </c>
      <c r="R2855" s="7">
        <f t="shared" si="3039"/>
        <v>0</v>
      </c>
      <c r="S2855" t="str">
        <f t="shared" si="3040"/>
        <v>theater</v>
      </c>
      <c r="T2855" t="str">
        <f t="shared" si="3041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ref="K2856:L2856" si="3078">(J2856/60/60/24)+DATE(1970,1,1)</f>
        <v>42111.71665509259</v>
      </c>
      <c r="L2856" s="11">
        <f t="shared" si="303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3038"/>
        <v>41.699999999999996</v>
      </c>
      <c r="R2856" s="7">
        <f t="shared" si="3039"/>
        <v>29.785714285714285</v>
      </c>
      <c r="S2856" t="str">
        <f t="shared" si="3040"/>
        <v>theater</v>
      </c>
      <c r="T2856" t="str">
        <f t="shared" si="3041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ref="K2857:L2857" si="3079">(J2857/60/60/24)+DATE(1970,1,1)</f>
        <v>42370.007766203707</v>
      </c>
      <c r="L2857" s="11">
        <f t="shared" si="303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3038"/>
        <v>50</v>
      </c>
      <c r="R2857" s="7">
        <f t="shared" si="3039"/>
        <v>60</v>
      </c>
      <c r="S2857" t="str">
        <f t="shared" si="3040"/>
        <v>theater</v>
      </c>
      <c r="T2857" t="str">
        <f t="shared" si="3041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ref="K2858:L2858" si="3080">(J2858/60/60/24)+DATE(1970,1,1)</f>
        <v>42165.037581018521</v>
      </c>
      <c r="L2858" s="11">
        <f t="shared" si="303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3038"/>
        <v>4.8666666666666663</v>
      </c>
      <c r="R2858" s="7">
        <f t="shared" si="3039"/>
        <v>24.333333333333332</v>
      </c>
      <c r="S2858" t="str">
        <f t="shared" si="3040"/>
        <v>theater</v>
      </c>
      <c r="T2858" t="str">
        <f t="shared" si="3041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ref="K2859:L2859" si="3081">(J2859/60/60/24)+DATE(1970,1,1)</f>
        <v>42726.920081018514</v>
      </c>
      <c r="L2859" s="11">
        <f t="shared" si="3037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3038"/>
        <v>19.736842105263158</v>
      </c>
      <c r="R2859" s="7">
        <f t="shared" si="3039"/>
        <v>500</v>
      </c>
      <c r="S2859" t="str">
        <f t="shared" si="3040"/>
        <v>theater</v>
      </c>
      <c r="T2859" t="str">
        <f t="shared" si="3041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ref="K2860:L2860" si="3082">(J2860/60/60/24)+DATE(1970,1,1)</f>
        <v>41954.545081018514</v>
      </c>
      <c r="L2860" s="11">
        <f t="shared" si="303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3038"/>
        <v>0</v>
      </c>
      <c r="R2860" s="7">
        <f t="shared" si="3039"/>
        <v>0</v>
      </c>
      <c r="S2860" t="str">
        <f t="shared" si="3040"/>
        <v>theater</v>
      </c>
      <c r="T2860" t="str">
        <f t="shared" si="3041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ref="K2861:L2861" si="3083">(J2861/60/60/24)+DATE(1970,1,1)</f>
        <v>42233.362314814818</v>
      </c>
      <c r="L2861" s="11">
        <f t="shared" si="303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3038"/>
        <v>1.7500000000000002</v>
      </c>
      <c r="R2861" s="7">
        <f t="shared" si="3039"/>
        <v>35</v>
      </c>
      <c r="S2861" t="str">
        <f t="shared" si="3040"/>
        <v>theater</v>
      </c>
      <c r="T2861" t="str">
        <f t="shared" si="3041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ref="K2862:L2862" si="3084">(J2862/60/60/24)+DATE(1970,1,1)</f>
        <v>42480.800648148142</v>
      </c>
      <c r="L2862" s="11">
        <f t="shared" si="303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3038"/>
        <v>6.65</v>
      </c>
      <c r="R2862" s="7">
        <f t="shared" si="3039"/>
        <v>29.555555555555557</v>
      </c>
      <c r="S2862" t="str">
        <f t="shared" si="3040"/>
        <v>theater</v>
      </c>
      <c r="T2862" t="str">
        <f t="shared" si="3041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ref="K2863:L2863" si="3085">(J2863/60/60/24)+DATE(1970,1,1)</f>
        <v>42257.590833333335</v>
      </c>
      <c r="L2863" s="11">
        <f t="shared" si="303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3038"/>
        <v>32</v>
      </c>
      <c r="R2863" s="7">
        <f t="shared" si="3039"/>
        <v>26.666666666666668</v>
      </c>
      <c r="S2863" t="str">
        <f t="shared" si="3040"/>
        <v>theater</v>
      </c>
      <c r="T2863" t="str">
        <f t="shared" si="3041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ref="K2864:L2864" si="3086">(J2864/60/60/24)+DATE(1970,1,1)</f>
        <v>41784.789687500001</v>
      </c>
      <c r="L2864" s="11">
        <f t="shared" si="303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3038"/>
        <v>0.43307086614173229</v>
      </c>
      <c r="R2864" s="7">
        <f t="shared" si="3039"/>
        <v>18.333333333333332</v>
      </c>
      <c r="S2864" t="str">
        <f t="shared" si="3040"/>
        <v>theater</v>
      </c>
      <c r="T2864" t="str">
        <f t="shared" si="3041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ref="K2865:L2865" si="3087">(J2865/60/60/24)+DATE(1970,1,1)</f>
        <v>41831.675034722226</v>
      </c>
      <c r="L2865" s="11">
        <f t="shared" si="303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3038"/>
        <v>0.04</v>
      </c>
      <c r="R2865" s="7">
        <f t="shared" si="3039"/>
        <v>20</v>
      </c>
      <c r="S2865" t="str">
        <f t="shared" si="3040"/>
        <v>theater</v>
      </c>
      <c r="T2865" t="str">
        <f t="shared" si="3041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ref="K2866:L2866" si="3088">(J2866/60/60/24)+DATE(1970,1,1)</f>
        <v>42172.613506944443</v>
      </c>
      <c r="L2866" s="11">
        <f t="shared" si="303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3038"/>
        <v>1.6</v>
      </c>
      <c r="R2866" s="7">
        <f t="shared" si="3039"/>
        <v>13.333333333333334</v>
      </c>
      <c r="S2866" t="str">
        <f t="shared" si="3040"/>
        <v>theater</v>
      </c>
      <c r="T2866" t="str">
        <f t="shared" si="3041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ref="K2867:L2867" si="3089">(J2867/60/60/24)+DATE(1970,1,1)</f>
        <v>41950.114108796297</v>
      </c>
      <c r="L2867" s="11">
        <f t="shared" si="303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3038"/>
        <v>0</v>
      </c>
      <c r="R2867" s="7">
        <f t="shared" si="3039"/>
        <v>0</v>
      </c>
      <c r="S2867" t="str">
        <f t="shared" si="3040"/>
        <v>theater</v>
      </c>
      <c r="T2867" t="str">
        <f t="shared" si="3041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ref="K2868:L2868" si="3090">(J2868/60/60/24)+DATE(1970,1,1)</f>
        <v>42627.955104166671</v>
      </c>
      <c r="L2868" s="11">
        <f t="shared" si="303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3038"/>
        <v>0.89999999999999991</v>
      </c>
      <c r="R2868" s="7">
        <f t="shared" si="3039"/>
        <v>22.5</v>
      </c>
      <c r="S2868" t="str">
        <f t="shared" si="3040"/>
        <v>theater</v>
      </c>
      <c r="T2868" t="str">
        <f t="shared" si="3041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ref="K2869:L2869" si="3091">(J2869/60/60/24)+DATE(1970,1,1)</f>
        <v>42531.195277777777</v>
      </c>
      <c r="L2869" s="11">
        <f t="shared" si="303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3038"/>
        <v>20.16</v>
      </c>
      <c r="R2869" s="7">
        <f t="shared" si="3039"/>
        <v>50.4</v>
      </c>
      <c r="S2869" t="str">
        <f t="shared" si="3040"/>
        <v>theater</v>
      </c>
      <c r="T2869" t="str">
        <f t="shared" si="3041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ref="K2870:L2870" si="3092">(J2870/60/60/24)+DATE(1970,1,1)</f>
        <v>42618.827013888891</v>
      </c>
      <c r="L2870" s="11">
        <f t="shared" si="303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3038"/>
        <v>42.011733333333332</v>
      </c>
      <c r="R2870" s="7">
        <f t="shared" si="3039"/>
        <v>105.02933333333334</v>
      </c>
      <c r="S2870" t="str">
        <f t="shared" si="3040"/>
        <v>theater</v>
      </c>
      <c r="T2870" t="str">
        <f t="shared" si="3041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ref="K2871:L2871" si="3093">(J2871/60/60/24)+DATE(1970,1,1)</f>
        <v>42540.593530092592</v>
      </c>
      <c r="L2871" s="11">
        <f t="shared" si="303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3038"/>
        <v>0.88500000000000001</v>
      </c>
      <c r="R2871" s="7">
        <f t="shared" si="3039"/>
        <v>35.4</v>
      </c>
      <c r="S2871" t="str">
        <f t="shared" si="3040"/>
        <v>theater</v>
      </c>
      <c r="T2871" t="str">
        <f t="shared" si="3041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ref="K2872:L2872" si="3094">(J2872/60/60/24)+DATE(1970,1,1)</f>
        <v>41746.189409722225</v>
      </c>
      <c r="L2872" s="11">
        <f t="shared" si="303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3038"/>
        <v>15</v>
      </c>
      <c r="R2872" s="7">
        <f t="shared" si="3039"/>
        <v>83.333333333333329</v>
      </c>
      <c r="S2872" t="str">
        <f t="shared" si="3040"/>
        <v>theater</v>
      </c>
      <c r="T2872" t="str">
        <f t="shared" si="3041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ref="K2873:L2873" si="3095">(J2873/60/60/24)+DATE(1970,1,1)</f>
        <v>41974.738576388889</v>
      </c>
      <c r="L2873" s="11">
        <f t="shared" si="303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3038"/>
        <v>4.67</v>
      </c>
      <c r="R2873" s="7">
        <f t="shared" si="3039"/>
        <v>35.92307692307692</v>
      </c>
      <c r="S2873" t="str">
        <f t="shared" si="3040"/>
        <v>theater</v>
      </c>
      <c r="T2873" t="str">
        <f t="shared" si="3041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ref="K2874:L2874" si="3096">(J2874/60/60/24)+DATE(1970,1,1)</f>
        <v>42115.11618055556</v>
      </c>
      <c r="L2874" s="11">
        <f t="shared" si="303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3038"/>
        <v>0</v>
      </c>
      <c r="R2874" s="7">
        <f t="shared" si="3039"/>
        <v>0</v>
      </c>
      <c r="S2874" t="str">
        <f t="shared" si="3040"/>
        <v>theater</v>
      </c>
      <c r="T2874" t="str">
        <f t="shared" si="3041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ref="K2875:L2875" si="3097">(J2875/60/60/24)+DATE(1970,1,1)</f>
        <v>42002.817488425921</v>
      </c>
      <c r="L2875" s="11">
        <f t="shared" si="303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3038"/>
        <v>38.119999999999997</v>
      </c>
      <c r="R2875" s="7">
        <f t="shared" si="3039"/>
        <v>119.125</v>
      </c>
      <c r="S2875" t="str">
        <f t="shared" si="3040"/>
        <v>theater</v>
      </c>
      <c r="T2875" t="str">
        <f t="shared" si="3041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ref="K2876:L2876" si="3098">(J2876/60/60/24)+DATE(1970,1,1)</f>
        <v>42722.84474537037</v>
      </c>
      <c r="L2876" s="11">
        <f t="shared" si="303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3038"/>
        <v>5.42</v>
      </c>
      <c r="R2876" s="7">
        <f t="shared" si="3039"/>
        <v>90.333333333333329</v>
      </c>
      <c r="S2876" t="str">
        <f t="shared" si="3040"/>
        <v>theater</v>
      </c>
      <c r="T2876" t="str">
        <f t="shared" si="3041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ref="K2877:L2877" si="3099">(J2877/60/60/24)+DATE(1970,1,1)</f>
        <v>42465.128391203703</v>
      </c>
      <c r="L2877" s="11">
        <f t="shared" si="303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3038"/>
        <v>3.4999999999999996E-2</v>
      </c>
      <c r="R2877" s="7">
        <f t="shared" si="3039"/>
        <v>2.3333333333333335</v>
      </c>
      <c r="S2877" t="str">
        <f t="shared" si="3040"/>
        <v>theater</v>
      </c>
      <c r="T2877" t="str">
        <f t="shared" si="3041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ref="K2878:L2878" si="3100">(J2878/60/60/24)+DATE(1970,1,1)</f>
        <v>42171.743969907402</v>
      </c>
      <c r="L2878" s="11">
        <f t="shared" si="303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3038"/>
        <v>0</v>
      </c>
      <c r="R2878" s="7">
        <f t="shared" si="3039"/>
        <v>0</v>
      </c>
      <c r="S2878" t="str">
        <f t="shared" si="3040"/>
        <v>theater</v>
      </c>
      <c r="T2878" t="str">
        <f t="shared" si="3041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ref="K2879:L2879" si="3101">(J2879/60/60/24)+DATE(1970,1,1)</f>
        <v>42672.955138888887</v>
      </c>
      <c r="L2879" s="11">
        <f t="shared" si="303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3038"/>
        <v>10.833333333333334</v>
      </c>
      <c r="R2879" s="7">
        <f t="shared" si="3039"/>
        <v>108.33333333333333</v>
      </c>
      <c r="S2879" t="str">
        <f t="shared" si="3040"/>
        <v>theater</v>
      </c>
      <c r="T2879" t="str">
        <f t="shared" si="3041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ref="K2880:L2880" si="3102">(J2880/60/60/24)+DATE(1970,1,1)</f>
        <v>42128.615682870368</v>
      </c>
      <c r="L2880" s="11">
        <f t="shared" si="303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3038"/>
        <v>2.1</v>
      </c>
      <c r="R2880" s="7">
        <f t="shared" si="3039"/>
        <v>15.75</v>
      </c>
      <c r="S2880" t="str">
        <f t="shared" si="3040"/>
        <v>theater</v>
      </c>
      <c r="T2880" t="str">
        <f t="shared" si="3041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ref="K2881:L2881" si="3103">(J2881/60/60/24)+DATE(1970,1,1)</f>
        <v>42359.725243055553</v>
      </c>
      <c r="L2881" s="11">
        <f t="shared" si="303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3038"/>
        <v>0.2589285714285714</v>
      </c>
      <c r="R2881" s="7">
        <f t="shared" si="3039"/>
        <v>29</v>
      </c>
      <c r="S2881" t="str">
        <f t="shared" si="3040"/>
        <v>theater</v>
      </c>
      <c r="T2881" t="str">
        <f t="shared" si="3041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ref="K2882:L2882" si="3104">(J2882/60/60/24)+DATE(1970,1,1)</f>
        <v>42192.905694444446</v>
      </c>
      <c r="L2882" s="11">
        <f t="shared" si="303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3038"/>
        <v>23.333333333333332</v>
      </c>
      <c r="R2882" s="7">
        <f t="shared" si="3039"/>
        <v>96.551724137931032</v>
      </c>
      <c r="S2882" t="str">
        <f t="shared" si="3040"/>
        <v>theater</v>
      </c>
      <c r="T2882" t="str">
        <f t="shared" si="3041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ref="K2883:L2883" si="3105">(J2883/60/60/24)+DATE(1970,1,1)</f>
        <v>41916.597638888888</v>
      </c>
      <c r="L2883" s="11">
        <f t="shared" ref="L2883:L2946" si="3106">(I2883/60/60/24)+DATE(1970,1,1)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3107">(E2883/D2883)*100</f>
        <v>0</v>
      </c>
      <c r="R2883" s="7">
        <f t="shared" ref="R2883:R2946" si="3108">IFERROR(E2883/N2883, 0)</f>
        <v>0</v>
      </c>
      <c r="S2883" t="str">
        <f t="shared" ref="S2883:S2946" si="3109">LEFT(P2883, SEARCH("/", P2883,1)-1)</f>
        <v>theater</v>
      </c>
      <c r="T2883" t="str">
        <f t="shared" ref="T2883:T2946" si="3110">RIGHT(P2883,LEN(P2883)-SEARCH("/",P2883,SEARCH("/",P2883)))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ref="K2884:L2884" si="3111">(J2884/60/60/24)+DATE(1970,1,1)</f>
        <v>42461.596273148149</v>
      </c>
      <c r="L2884" s="11">
        <f t="shared" si="3106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3107"/>
        <v>33.6</v>
      </c>
      <c r="R2884" s="7">
        <f t="shared" si="3108"/>
        <v>63</v>
      </c>
      <c r="S2884" t="str">
        <f t="shared" si="3109"/>
        <v>theater</v>
      </c>
      <c r="T2884" t="str">
        <f t="shared" si="3110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ref="K2885:L2885" si="3112">(J2885/60/60/24)+DATE(1970,1,1)</f>
        <v>42370.90320601852</v>
      </c>
      <c r="L2885" s="11">
        <f t="shared" si="3106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3107"/>
        <v>19.079999999999998</v>
      </c>
      <c r="R2885" s="7">
        <f t="shared" si="3108"/>
        <v>381.6</v>
      </c>
      <c r="S2885" t="str">
        <f t="shared" si="3109"/>
        <v>theater</v>
      </c>
      <c r="T2885" t="str">
        <f t="shared" si="3110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ref="K2886:L2886" si="3113">(J2886/60/60/24)+DATE(1970,1,1)</f>
        <v>41948.727256944447</v>
      </c>
      <c r="L2886" s="11">
        <f t="shared" si="3106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3107"/>
        <v>0.41111111111111115</v>
      </c>
      <c r="R2886" s="7">
        <f t="shared" si="3108"/>
        <v>46.25</v>
      </c>
      <c r="S2886" t="str">
        <f t="shared" si="3109"/>
        <v>theater</v>
      </c>
      <c r="T2886" t="str">
        <f t="shared" si="3110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ref="K2887:L2887" si="3114">(J2887/60/60/24)+DATE(1970,1,1)</f>
        <v>42047.07640046296</v>
      </c>
      <c r="L2887" s="11">
        <f t="shared" si="3106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3107"/>
        <v>32.5</v>
      </c>
      <c r="R2887" s="7">
        <f t="shared" si="3108"/>
        <v>26</v>
      </c>
      <c r="S2887" t="str">
        <f t="shared" si="3109"/>
        <v>theater</v>
      </c>
      <c r="T2887" t="str">
        <f t="shared" si="3110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ref="K2888:L2888" si="3115">(J2888/60/60/24)+DATE(1970,1,1)</f>
        <v>42261.632916666669</v>
      </c>
      <c r="L2888" s="11">
        <f t="shared" si="3106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3107"/>
        <v>5</v>
      </c>
      <c r="R2888" s="7">
        <f t="shared" si="3108"/>
        <v>10</v>
      </c>
      <c r="S2888" t="str">
        <f t="shared" si="3109"/>
        <v>theater</v>
      </c>
      <c r="T2888" t="str">
        <f t="shared" si="3110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ref="K2889:L2889" si="3116">(J2889/60/60/24)+DATE(1970,1,1)</f>
        <v>41985.427361111113</v>
      </c>
      <c r="L2889" s="11">
        <f t="shared" si="3106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3107"/>
        <v>0.16666666666666669</v>
      </c>
      <c r="R2889" s="7">
        <f t="shared" si="3108"/>
        <v>5</v>
      </c>
      <c r="S2889" t="str">
        <f t="shared" si="3109"/>
        <v>theater</v>
      </c>
      <c r="T2889" t="str">
        <f t="shared" si="3110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ref="K2890:L2890" si="3117">(J2890/60/60/24)+DATE(1970,1,1)</f>
        <v>41922.535185185188</v>
      </c>
      <c r="L2890" s="11">
        <f t="shared" si="3106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3107"/>
        <v>0</v>
      </c>
      <c r="R2890" s="7">
        <f t="shared" si="3108"/>
        <v>0</v>
      </c>
      <c r="S2890" t="str">
        <f t="shared" si="3109"/>
        <v>theater</v>
      </c>
      <c r="T2890" t="str">
        <f t="shared" si="3110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ref="K2891:L2891" si="3118">(J2891/60/60/24)+DATE(1970,1,1)</f>
        <v>41850.863252314812</v>
      </c>
      <c r="L2891" s="11">
        <f t="shared" si="3106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3107"/>
        <v>38.066666666666663</v>
      </c>
      <c r="R2891" s="7">
        <f t="shared" si="3108"/>
        <v>81.571428571428569</v>
      </c>
      <c r="S2891" t="str">
        <f t="shared" si="3109"/>
        <v>theater</v>
      </c>
      <c r="T2891" t="str">
        <f t="shared" si="3110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ref="K2892:L2892" si="3119">(J2892/60/60/24)+DATE(1970,1,1)</f>
        <v>41831.742962962962</v>
      </c>
      <c r="L2892" s="11">
        <f t="shared" si="3106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3107"/>
        <v>1.05</v>
      </c>
      <c r="R2892" s="7">
        <f t="shared" si="3108"/>
        <v>7</v>
      </c>
      <c r="S2892" t="str">
        <f t="shared" si="3109"/>
        <v>theater</v>
      </c>
      <c r="T2892" t="str">
        <f t="shared" si="3110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ref="K2893:L2893" si="3120">(J2893/60/60/24)+DATE(1970,1,1)</f>
        <v>42415.883425925931</v>
      </c>
      <c r="L2893" s="11">
        <f t="shared" si="3106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3107"/>
        <v>2.73</v>
      </c>
      <c r="R2893" s="7">
        <f t="shared" si="3108"/>
        <v>27.3</v>
      </c>
      <c r="S2893" t="str">
        <f t="shared" si="3109"/>
        <v>theater</v>
      </c>
      <c r="T2893" t="str">
        <f t="shared" si="3110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ref="K2894:L2894" si="3121">(J2894/60/60/24)+DATE(1970,1,1)</f>
        <v>41869.714166666665</v>
      </c>
      <c r="L2894" s="11">
        <f t="shared" si="3106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3107"/>
        <v>9.0909090909090917</v>
      </c>
      <c r="R2894" s="7">
        <f t="shared" si="3108"/>
        <v>29.411764705882351</v>
      </c>
      <c r="S2894" t="str">
        <f t="shared" si="3109"/>
        <v>theater</v>
      </c>
      <c r="T2894" t="str">
        <f t="shared" si="3110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ref="K2895:L2895" si="3122">(J2895/60/60/24)+DATE(1970,1,1)</f>
        <v>41953.773090277777</v>
      </c>
      <c r="L2895" s="11">
        <f t="shared" si="3106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3107"/>
        <v>0.5</v>
      </c>
      <c r="R2895" s="7">
        <f t="shared" si="3108"/>
        <v>12.5</v>
      </c>
      <c r="S2895" t="str">
        <f t="shared" si="3109"/>
        <v>theater</v>
      </c>
      <c r="T2895" t="str">
        <f t="shared" si="3110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ref="K2896:L2896" si="3123">(J2896/60/60/24)+DATE(1970,1,1)</f>
        <v>42037.986284722225</v>
      </c>
      <c r="L2896" s="11">
        <f t="shared" si="3106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3107"/>
        <v>0</v>
      </c>
      <c r="R2896" s="7">
        <f t="shared" si="3108"/>
        <v>0</v>
      </c>
      <c r="S2896" t="str">
        <f t="shared" si="3109"/>
        <v>theater</v>
      </c>
      <c r="T2896" t="str">
        <f t="shared" si="3110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ref="K2897:L2897" si="3124">(J2897/60/60/24)+DATE(1970,1,1)</f>
        <v>41811.555462962962</v>
      </c>
      <c r="L2897" s="11">
        <f t="shared" si="3106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3107"/>
        <v>4.5999999999999996</v>
      </c>
      <c r="R2897" s="7">
        <f t="shared" si="3108"/>
        <v>5.75</v>
      </c>
      <c r="S2897" t="str">
        <f t="shared" si="3109"/>
        <v>theater</v>
      </c>
      <c r="T2897" t="str">
        <f t="shared" si="3110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ref="K2898:L2898" si="3125">(J2898/60/60/24)+DATE(1970,1,1)</f>
        <v>42701.908807870372</v>
      </c>
      <c r="L2898" s="11">
        <f t="shared" si="3106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3107"/>
        <v>20.833333333333336</v>
      </c>
      <c r="R2898" s="7">
        <f t="shared" si="3108"/>
        <v>52.083333333333336</v>
      </c>
      <c r="S2898" t="str">
        <f t="shared" si="3109"/>
        <v>theater</v>
      </c>
      <c r="T2898" t="str">
        <f t="shared" si="3110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ref="K2899:L2899" si="3126">(J2899/60/60/24)+DATE(1970,1,1)</f>
        <v>42258.646504629629</v>
      </c>
      <c r="L2899" s="11">
        <f t="shared" si="3106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3107"/>
        <v>4.583333333333333</v>
      </c>
      <c r="R2899" s="7">
        <f t="shared" si="3108"/>
        <v>183.33333333333334</v>
      </c>
      <c r="S2899" t="str">
        <f t="shared" si="3109"/>
        <v>theater</v>
      </c>
      <c r="T2899" t="str">
        <f t="shared" si="3110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ref="K2900:L2900" si="3127">(J2900/60/60/24)+DATE(1970,1,1)</f>
        <v>42278.664965277778</v>
      </c>
      <c r="L2900" s="11">
        <f t="shared" si="3106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3107"/>
        <v>4.2133333333333338</v>
      </c>
      <c r="R2900" s="7">
        <f t="shared" si="3108"/>
        <v>26.333333333333332</v>
      </c>
      <c r="S2900" t="str">
        <f t="shared" si="3109"/>
        <v>theater</v>
      </c>
      <c r="T2900" t="str">
        <f t="shared" si="3110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ref="K2901:L2901" si="3128">(J2901/60/60/24)+DATE(1970,1,1)</f>
        <v>42515.078217592592</v>
      </c>
      <c r="L2901" s="11">
        <f t="shared" si="3106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3107"/>
        <v>0</v>
      </c>
      <c r="R2901" s="7">
        <f t="shared" si="3108"/>
        <v>0</v>
      </c>
      <c r="S2901" t="str">
        <f t="shared" si="3109"/>
        <v>theater</v>
      </c>
      <c r="T2901" t="str">
        <f t="shared" si="3110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ref="K2902:L2902" si="3129">(J2902/60/60/24)+DATE(1970,1,1)</f>
        <v>41830.234166666669</v>
      </c>
      <c r="L2902" s="11">
        <f t="shared" si="3106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3107"/>
        <v>61.909090909090914</v>
      </c>
      <c r="R2902" s="7">
        <f t="shared" si="3108"/>
        <v>486.42857142857144</v>
      </c>
      <c r="S2902" t="str">
        <f t="shared" si="3109"/>
        <v>theater</v>
      </c>
      <c r="T2902" t="str">
        <f t="shared" si="3110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ref="K2903:L2903" si="3130">(J2903/60/60/24)+DATE(1970,1,1)</f>
        <v>41982.904386574075</v>
      </c>
      <c r="L2903" s="11">
        <f t="shared" si="3106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3107"/>
        <v>0.8</v>
      </c>
      <c r="R2903" s="7">
        <f t="shared" si="3108"/>
        <v>3</v>
      </c>
      <c r="S2903" t="str">
        <f t="shared" si="3109"/>
        <v>theater</v>
      </c>
      <c r="T2903" t="str">
        <f t="shared" si="3110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ref="K2904:L2904" si="3131">(J2904/60/60/24)+DATE(1970,1,1)</f>
        <v>42210.439768518518</v>
      </c>
      <c r="L2904" s="11">
        <f t="shared" si="3106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3107"/>
        <v>1.6666666666666666E-2</v>
      </c>
      <c r="R2904" s="7">
        <f t="shared" si="3108"/>
        <v>25</v>
      </c>
      <c r="S2904" t="str">
        <f t="shared" si="3109"/>
        <v>theater</v>
      </c>
      <c r="T2904" t="str">
        <f t="shared" si="3110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ref="K2905:L2905" si="3132">(J2905/60/60/24)+DATE(1970,1,1)</f>
        <v>42196.166874999995</v>
      </c>
      <c r="L2905" s="11">
        <f t="shared" si="3106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3107"/>
        <v>0.77999999999999992</v>
      </c>
      <c r="R2905" s="7">
        <f t="shared" si="3108"/>
        <v>9.75</v>
      </c>
      <c r="S2905" t="str">
        <f t="shared" si="3109"/>
        <v>theater</v>
      </c>
      <c r="T2905" t="str">
        <f t="shared" si="3110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ref="K2906:L2906" si="3133">(J2906/60/60/24)+DATE(1970,1,1)</f>
        <v>41940.967951388891</v>
      </c>
      <c r="L2906" s="11">
        <f t="shared" si="3106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3107"/>
        <v>5</v>
      </c>
      <c r="R2906" s="7">
        <f t="shared" si="3108"/>
        <v>18.75</v>
      </c>
      <c r="S2906" t="str">
        <f t="shared" si="3109"/>
        <v>theater</v>
      </c>
      <c r="T2906" t="str">
        <f t="shared" si="3110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ref="K2907:L2907" si="3134">(J2907/60/60/24)+DATE(1970,1,1)</f>
        <v>42606.056863425925</v>
      </c>
      <c r="L2907" s="11">
        <f t="shared" si="3106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3107"/>
        <v>17.771428571428572</v>
      </c>
      <c r="R2907" s="7">
        <f t="shared" si="3108"/>
        <v>36.588235294117645</v>
      </c>
      <c r="S2907" t="str">
        <f t="shared" si="3109"/>
        <v>theater</v>
      </c>
      <c r="T2907" t="str">
        <f t="shared" si="3110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ref="K2908:L2908" si="3135">(J2908/60/60/24)+DATE(1970,1,1)</f>
        <v>42199.648912037039</v>
      </c>
      <c r="L2908" s="11">
        <f t="shared" si="3106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3107"/>
        <v>9.4166666666666661</v>
      </c>
      <c r="R2908" s="7">
        <f t="shared" si="3108"/>
        <v>80.714285714285708</v>
      </c>
      <c r="S2908" t="str">
        <f t="shared" si="3109"/>
        <v>theater</v>
      </c>
      <c r="T2908" t="str">
        <f t="shared" si="3110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ref="K2909:L2909" si="3136">(J2909/60/60/24)+DATE(1970,1,1)</f>
        <v>42444.877743055549</v>
      </c>
      <c r="L2909" s="11">
        <f t="shared" si="3106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3107"/>
        <v>0.08</v>
      </c>
      <c r="R2909" s="7">
        <f t="shared" si="3108"/>
        <v>1</v>
      </c>
      <c r="S2909" t="str">
        <f t="shared" si="3109"/>
        <v>theater</v>
      </c>
      <c r="T2909" t="str">
        <f t="shared" si="3110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ref="K2910:L2910" si="3137">(J2910/60/60/24)+DATE(1970,1,1)</f>
        <v>42499.731701388882</v>
      </c>
      <c r="L2910" s="11">
        <f t="shared" si="3106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3107"/>
        <v>2.75</v>
      </c>
      <c r="R2910" s="7">
        <f t="shared" si="3108"/>
        <v>52.8</v>
      </c>
      <c r="S2910" t="str">
        <f t="shared" si="3109"/>
        <v>theater</v>
      </c>
      <c r="T2910" t="str">
        <f t="shared" si="3110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ref="K2911:L2911" si="3138">(J2911/60/60/24)+DATE(1970,1,1)</f>
        <v>41929.266215277778</v>
      </c>
      <c r="L2911" s="11">
        <f t="shared" si="3106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3107"/>
        <v>1.1111111111111112E-2</v>
      </c>
      <c r="R2911" s="7">
        <f t="shared" si="3108"/>
        <v>20</v>
      </c>
      <c r="S2911" t="str">
        <f t="shared" si="3109"/>
        <v>theater</v>
      </c>
      <c r="T2911" t="str">
        <f t="shared" si="3110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ref="K2912:L2912" si="3139">(J2912/60/60/24)+DATE(1970,1,1)</f>
        <v>42107.841284722221</v>
      </c>
      <c r="L2912" s="11">
        <f t="shared" si="3106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3107"/>
        <v>3.3333333333333335E-3</v>
      </c>
      <c r="R2912" s="7">
        <f t="shared" si="3108"/>
        <v>1</v>
      </c>
      <c r="S2912" t="str">
        <f t="shared" si="3109"/>
        <v>theater</v>
      </c>
      <c r="T2912" t="str">
        <f t="shared" si="3110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ref="K2913:L2913" si="3140">(J2913/60/60/24)+DATE(1970,1,1)</f>
        <v>42142.768819444449</v>
      </c>
      <c r="L2913" s="11">
        <f t="shared" si="3106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3107"/>
        <v>36.5</v>
      </c>
      <c r="R2913" s="7">
        <f t="shared" si="3108"/>
        <v>46.928571428571431</v>
      </c>
      <c r="S2913" t="str">
        <f t="shared" si="3109"/>
        <v>theater</v>
      </c>
      <c r="T2913" t="str">
        <f t="shared" si="3110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ref="K2914:L2914" si="3141">(J2914/60/60/24)+DATE(1970,1,1)</f>
        <v>42354.131643518514</v>
      </c>
      <c r="L2914" s="11">
        <f t="shared" si="3106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3107"/>
        <v>14.058171745152354</v>
      </c>
      <c r="R2914" s="7">
        <f t="shared" si="3108"/>
        <v>78.07692307692308</v>
      </c>
      <c r="S2914" t="str">
        <f t="shared" si="3109"/>
        <v>theater</v>
      </c>
      <c r="T2914" t="str">
        <f t="shared" si="3110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ref="K2915:L2915" si="3142">(J2915/60/60/24)+DATE(1970,1,1)</f>
        <v>41828.922905092593</v>
      </c>
      <c r="L2915" s="11">
        <f t="shared" si="3106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3107"/>
        <v>0.02</v>
      </c>
      <c r="R2915" s="7">
        <f t="shared" si="3108"/>
        <v>1</v>
      </c>
      <c r="S2915" t="str">
        <f t="shared" si="3109"/>
        <v>theater</v>
      </c>
      <c r="T2915" t="str">
        <f t="shared" si="3110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ref="K2916:L2916" si="3143">(J2916/60/60/24)+DATE(1970,1,1)</f>
        <v>42017.907337962963</v>
      </c>
      <c r="L2916" s="11">
        <f t="shared" si="3106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3107"/>
        <v>4.0000000000000001E-3</v>
      </c>
      <c r="R2916" s="7">
        <f t="shared" si="3108"/>
        <v>1</v>
      </c>
      <c r="S2916" t="str">
        <f t="shared" si="3109"/>
        <v>theater</v>
      </c>
      <c r="T2916" t="str">
        <f t="shared" si="3110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ref="K2917:L2917" si="3144">(J2917/60/60/24)+DATE(1970,1,1)</f>
        <v>42415.398032407407</v>
      </c>
      <c r="L2917" s="11">
        <f t="shared" si="3106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3107"/>
        <v>61.1</v>
      </c>
      <c r="R2917" s="7">
        <f t="shared" si="3108"/>
        <v>203.66666666666666</v>
      </c>
      <c r="S2917" t="str">
        <f t="shared" si="3109"/>
        <v>theater</v>
      </c>
      <c r="T2917" t="str">
        <f t="shared" si="3110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ref="K2918:L2918" si="3145">(J2918/60/60/24)+DATE(1970,1,1)</f>
        <v>41755.476724537039</v>
      </c>
      <c r="L2918" s="11">
        <f t="shared" si="3106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3107"/>
        <v>7.8378378378378386</v>
      </c>
      <c r="R2918" s="7">
        <f t="shared" si="3108"/>
        <v>20.714285714285715</v>
      </c>
      <c r="S2918" t="str">
        <f t="shared" si="3109"/>
        <v>theater</v>
      </c>
      <c r="T2918" t="str">
        <f t="shared" si="3110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ref="K2919:L2919" si="3146">(J2919/60/60/24)+DATE(1970,1,1)</f>
        <v>42245.234340277777</v>
      </c>
      <c r="L2919" s="11">
        <f t="shared" si="3106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3107"/>
        <v>21.85</v>
      </c>
      <c r="R2919" s="7">
        <f t="shared" si="3108"/>
        <v>48.555555555555557</v>
      </c>
      <c r="S2919" t="str">
        <f t="shared" si="3109"/>
        <v>theater</v>
      </c>
      <c r="T2919" t="str">
        <f t="shared" si="3110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ref="K2920:L2920" si="3147">(J2920/60/60/24)+DATE(1970,1,1)</f>
        <v>42278.629710648151</v>
      </c>
      <c r="L2920" s="11">
        <f t="shared" si="3106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3107"/>
        <v>27.24</v>
      </c>
      <c r="R2920" s="7">
        <f t="shared" si="3108"/>
        <v>68.099999999999994</v>
      </c>
      <c r="S2920" t="str">
        <f t="shared" si="3109"/>
        <v>theater</v>
      </c>
      <c r="T2920" t="str">
        <f t="shared" si="3110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ref="K2921:L2921" si="3148">(J2921/60/60/24)+DATE(1970,1,1)</f>
        <v>41826.61954861111</v>
      </c>
      <c r="L2921" s="11">
        <f t="shared" si="3106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3107"/>
        <v>8.5</v>
      </c>
      <c r="R2921" s="7">
        <f t="shared" si="3108"/>
        <v>8.5</v>
      </c>
      <c r="S2921" t="str">
        <f t="shared" si="3109"/>
        <v>theater</v>
      </c>
      <c r="T2921" t="str">
        <f t="shared" si="3110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ref="K2922:L2922" si="3149">(J2922/60/60/24)+DATE(1970,1,1)</f>
        <v>42058.792476851857</v>
      </c>
      <c r="L2922" s="11">
        <f t="shared" si="3106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3107"/>
        <v>26.840000000000003</v>
      </c>
      <c r="R2922" s="7">
        <f t="shared" si="3108"/>
        <v>51.615384615384613</v>
      </c>
      <c r="S2922" t="str">
        <f t="shared" si="3109"/>
        <v>theater</v>
      </c>
      <c r="T2922" t="str">
        <f t="shared" si="3110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ref="K2923:L2923" si="3150">(J2923/60/60/24)+DATE(1970,1,1)</f>
        <v>41877.886620370373</v>
      </c>
      <c r="L2923" s="11">
        <f t="shared" si="3106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3107"/>
        <v>129</v>
      </c>
      <c r="R2923" s="7">
        <f t="shared" si="3108"/>
        <v>43</v>
      </c>
      <c r="S2923" t="str">
        <f t="shared" si="3109"/>
        <v>theater</v>
      </c>
      <c r="T2923" t="str">
        <f t="shared" si="3110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ref="K2924:L2924" si="3151">(J2924/60/60/24)+DATE(1970,1,1)</f>
        <v>42097.874155092592</v>
      </c>
      <c r="L2924" s="11">
        <f t="shared" si="3106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3107"/>
        <v>100</v>
      </c>
      <c r="R2924" s="7">
        <f t="shared" si="3108"/>
        <v>83.333333333333329</v>
      </c>
      <c r="S2924" t="str">
        <f t="shared" si="3109"/>
        <v>theater</v>
      </c>
      <c r="T2924" t="str">
        <f t="shared" si="3110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ref="K2925:L2925" si="3152">(J2925/60/60/24)+DATE(1970,1,1)</f>
        <v>42013.15253472222</v>
      </c>
      <c r="L2925" s="11">
        <f t="shared" si="3106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3107"/>
        <v>100</v>
      </c>
      <c r="R2925" s="7">
        <f t="shared" si="3108"/>
        <v>30</v>
      </c>
      <c r="S2925" t="str">
        <f t="shared" si="3109"/>
        <v>theater</v>
      </c>
      <c r="T2925" t="str">
        <f t="shared" si="3110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ref="K2926:L2926" si="3153">(J2926/60/60/24)+DATE(1970,1,1)</f>
        <v>42103.556828703702</v>
      </c>
      <c r="L2926" s="11">
        <f t="shared" si="3106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3107"/>
        <v>103.2</v>
      </c>
      <c r="R2926" s="7">
        <f t="shared" si="3108"/>
        <v>175.51020408163265</v>
      </c>
      <c r="S2926" t="str">
        <f t="shared" si="3109"/>
        <v>theater</v>
      </c>
      <c r="T2926" t="str">
        <f t="shared" si="3110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ref="K2927:L2927" si="3154">(J2927/60/60/24)+DATE(1970,1,1)</f>
        <v>41863.584120370368</v>
      </c>
      <c r="L2927" s="11">
        <f t="shared" si="3106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3107"/>
        <v>102.44597777777777</v>
      </c>
      <c r="R2927" s="7">
        <f t="shared" si="3108"/>
        <v>231.66175879396985</v>
      </c>
      <c r="S2927" t="str">
        <f t="shared" si="3109"/>
        <v>theater</v>
      </c>
      <c r="T2927" t="str">
        <f t="shared" si="3110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ref="K2928:L2928" si="3155">(J2928/60/60/24)+DATE(1970,1,1)</f>
        <v>42044.765960648147</v>
      </c>
      <c r="L2928" s="11">
        <f t="shared" si="3106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3107"/>
        <v>125</v>
      </c>
      <c r="R2928" s="7">
        <f t="shared" si="3108"/>
        <v>75</v>
      </c>
      <c r="S2928" t="str">
        <f t="shared" si="3109"/>
        <v>theater</v>
      </c>
      <c r="T2928" t="str">
        <f t="shared" si="3110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ref="K2929:L2929" si="3156">(J2929/60/60/24)+DATE(1970,1,1)</f>
        <v>41806.669317129628</v>
      </c>
      <c r="L2929" s="11">
        <f t="shared" si="3106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3107"/>
        <v>130.83333333333334</v>
      </c>
      <c r="R2929" s="7">
        <f t="shared" si="3108"/>
        <v>112.14285714285714</v>
      </c>
      <c r="S2929" t="str">
        <f t="shared" si="3109"/>
        <v>theater</v>
      </c>
      <c r="T2929" t="str">
        <f t="shared" si="3110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ref="K2930:L2930" si="3157">(J2930/60/60/24)+DATE(1970,1,1)</f>
        <v>42403.998217592598</v>
      </c>
      <c r="L2930" s="11">
        <f t="shared" si="3106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3107"/>
        <v>100</v>
      </c>
      <c r="R2930" s="7">
        <f t="shared" si="3108"/>
        <v>41.666666666666664</v>
      </c>
      <c r="S2930" t="str">
        <f t="shared" si="3109"/>
        <v>theater</v>
      </c>
      <c r="T2930" t="str">
        <f t="shared" si="3110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ref="K2931:L2931" si="3158">(J2931/60/60/24)+DATE(1970,1,1)</f>
        <v>41754.564328703702</v>
      </c>
      <c r="L2931" s="11">
        <f t="shared" si="3106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3107"/>
        <v>102.06937499999999</v>
      </c>
      <c r="R2931" s="7">
        <f t="shared" si="3108"/>
        <v>255.17343750000001</v>
      </c>
      <c r="S2931" t="str">
        <f t="shared" si="3109"/>
        <v>theater</v>
      </c>
      <c r="T2931" t="str">
        <f t="shared" si="3110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ref="K2932:L2932" si="3159">(J2932/60/60/24)+DATE(1970,1,1)</f>
        <v>42101.584074074075</v>
      </c>
      <c r="L2932" s="11">
        <f t="shared" si="3106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3107"/>
        <v>100.92000000000002</v>
      </c>
      <c r="R2932" s="7">
        <f t="shared" si="3108"/>
        <v>162.7741935483871</v>
      </c>
      <c r="S2932" t="str">
        <f t="shared" si="3109"/>
        <v>theater</v>
      </c>
      <c r="T2932" t="str">
        <f t="shared" si="3110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ref="K2933:L2933" si="3160">(J2933/60/60/24)+DATE(1970,1,1)</f>
        <v>41872.291238425925</v>
      </c>
      <c r="L2933" s="11">
        <f t="shared" si="3106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3107"/>
        <v>106</v>
      </c>
      <c r="R2933" s="7">
        <f t="shared" si="3108"/>
        <v>88.333333333333329</v>
      </c>
      <c r="S2933" t="str">
        <f t="shared" si="3109"/>
        <v>theater</v>
      </c>
      <c r="T2933" t="str">
        <f t="shared" si="3110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ref="K2934:L2934" si="3161">(J2934/60/60/24)+DATE(1970,1,1)</f>
        <v>42025.164780092593</v>
      </c>
      <c r="L2934" s="11">
        <f t="shared" si="3106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3107"/>
        <v>105.0967741935484</v>
      </c>
      <c r="R2934" s="7">
        <f t="shared" si="3108"/>
        <v>85.736842105263165</v>
      </c>
      <c r="S2934" t="str">
        <f t="shared" si="3109"/>
        <v>theater</v>
      </c>
      <c r="T2934" t="str">
        <f t="shared" si="3110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ref="K2935:L2935" si="3162">(J2935/60/60/24)+DATE(1970,1,1)</f>
        <v>42495.956631944442</v>
      </c>
      <c r="L2935" s="11">
        <f t="shared" si="3106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3107"/>
        <v>102.76</v>
      </c>
      <c r="R2935" s="7">
        <f t="shared" si="3108"/>
        <v>47.574074074074076</v>
      </c>
      <c r="S2935" t="str">
        <f t="shared" si="3109"/>
        <v>theater</v>
      </c>
      <c r="T2935" t="str">
        <f t="shared" si="3110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ref="K2936:L2936" si="3163">(J2936/60/60/24)+DATE(1970,1,1)</f>
        <v>41775.636157407411</v>
      </c>
      <c r="L2936" s="11">
        <f t="shared" si="3106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3107"/>
        <v>108</v>
      </c>
      <c r="R2936" s="7">
        <f t="shared" si="3108"/>
        <v>72.972972972972968</v>
      </c>
      <c r="S2936" t="str">
        <f t="shared" si="3109"/>
        <v>theater</v>
      </c>
      <c r="T2936" t="str">
        <f t="shared" si="3110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ref="K2937:L2937" si="3164">(J2937/60/60/24)+DATE(1970,1,1)</f>
        <v>42553.583425925928</v>
      </c>
      <c r="L2937" s="11">
        <f t="shared" si="3106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3107"/>
        <v>100.88571428571429</v>
      </c>
      <c r="R2937" s="7">
        <f t="shared" si="3108"/>
        <v>90.538461538461533</v>
      </c>
      <c r="S2937" t="str">
        <f t="shared" si="3109"/>
        <v>theater</v>
      </c>
      <c r="T2937" t="str">
        <f t="shared" si="3110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ref="K2938:L2938" si="3165">(J2938/60/60/24)+DATE(1970,1,1)</f>
        <v>41912.650729166664</v>
      </c>
      <c r="L2938" s="11">
        <f t="shared" si="3106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3107"/>
        <v>128</v>
      </c>
      <c r="R2938" s="7">
        <f t="shared" si="3108"/>
        <v>37.647058823529413</v>
      </c>
      <c r="S2938" t="str">
        <f t="shared" si="3109"/>
        <v>theater</v>
      </c>
      <c r="T2938" t="str">
        <f t="shared" si="3110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ref="K2939:L2939" si="3166">(J2939/60/60/24)+DATE(1970,1,1)</f>
        <v>41803.457326388889</v>
      </c>
      <c r="L2939" s="11">
        <f t="shared" si="3106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3107"/>
        <v>133.33333333333331</v>
      </c>
      <c r="R2939" s="7">
        <f t="shared" si="3108"/>
        <v>36.363636363636367</v>
      </c>
      <c r="S2939" t="str">
        <f t="shared" si="3109"/>
        <v>theater</v>
      </c>
      <c r="T2939" t="str">
        <f t="shared" si="3110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ref="K2940:L2940" si="3167">(J2940/60/60/24)+DATE(1970,1,1)</f>
        <v>42004.703865740739</v>
      </c>
      <c r="L2940" s="11">
        <f t="shared" si="3106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3107"/>
        <v>101.375</v>
      </c>
      <c r="R2940" s="7">
        <f t="shared" si="3108"/>
        <v>126.71875</v>
      </c>
      <c r="S2940" t="str">
        <f t="shared" si="3109"/>
        <v>theater</v>
      </c>
      <c r="T2940" t="str">
        <f t="shared" si="3110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ref="K2941:L2941" si="3168">(J2941/60/60/24)+DATE(1970,1,1)</f>
        <v>41845.809166666666</v>
      </c>
      <c r="L2941" s="11">
        <f t="shared" si="3106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3107"/>
        <v>102.875</v>
      </c>
      <c r="R2941" s="7">
        <f t="shared" si="3108"/>
        <v>329.2</v>
      </c>
      <c r="S2941" t="str">
        <f t="shared" si="3109"/>
        <v>theater</v>
      </c>
      <c r="T2941" t="str">
        <f t="shared" si="3110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ref="K2942:L2942" si="3169">(J2942/60/60/24)+DATE(1970,1,1)</f>
        <v>41982.773356481484</v>
      </c>
      <c r="L2942" s="11">
        <f t="shared" si="3106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3107"/>
        <v>107.24000000000001</v>
      </c>
      <c r="R2942" s="7">
        <f t="shared" si="3108"/>
        <v>81.242424242424249</v>
      </c>
      <c r="S2942" t="str">
        <f t="shared" si="3109"/>
        <v>theater</v>
      </c>
      <c r="T2942" t="str">
        <f t="shared" si="3110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ref="K2943:L2943" si="3170">(J2943/60/60/24)+DATE(1970,1,1)</f>
        <v>42034.960127314815</v>
      </c>
      <c r="L2943" s="11">
        <f t="shared" si="3106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3107"/>
        <v>4.0000000000000001E-3</v>
      </c>
      <c r="R2943" s="7">
        <f t="shared" si="3108"/>
        <v>1</v>
      </c>
      <c r="S2943" t="str">
        <f t="shared" si="3109"/>
        <v>theater</v>
      </c>
      <c r="T2943" t="str">
        <f t="shared" si="3110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ref="K2944:L2944" si="3171">(J2944/60/60/24)+DATE(1970,1,1)</f>
        <v>42334.803923611107</v>
      </c>
      <c r="L2944" s="11">
        <f t="shared" si="3106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3107"/>
        <v>20.424999999999997</v>
      </c>
      <c r="R2944" s="7">
        <f t="shared" si="3108"/>
        <v>202.22772277227722</v>
      </c>
      <c r="S2944" t="str">
        <f t="shared" si="3109"/>
        <v>theater</v>
      </c>
      <c r="T2944" t="str">
        <f t="shared" si="3110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ref="K2945:L2945" si="3172">(J2945/60/60/24)+DATE(1970,1,1)</f>
        <v>42077.129398148143</v>
      </c>
      <c r="L2945" s="11">
        <f t="shared" si="3106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3107"/>
        <v>0</v>
      </c>
      <c r="R2945" s="7">
        <f t="shared" si="3108"/>
        <v>0</v>
      </c>
      <c r="S2945" t="str">
        <f t="shared" si="3109"/>
        <v>theater</v>
      </c>
      <c r="T2945" t="str">
        <f t="shared" si="3110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ref="K2946:L2946" si="3173">(J2946/60/60/24)+DATE(1970,1,1)</f>
        <v>42132.9143287037</v>
      </c>
      <c r="L2946" s="11">
        <f t="shared" si="3106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3107"/>
        <v>1</v>
      </c>
      <c r="R2946" s="7">
        <f t="shared" si="3108"/>
        <v>100</v>
      </c>
      <c r="S2946" t="str">
        <f t="shared" si="3109"/>
        <v>theater</v>
      </c>
      <c r="T2946" t="str">
        <f t="shared" si="3110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ref="K2947:L2947" si="3174">(J2947/60/60/24)+DATE(1970,1,1)</f>
        <v>42118.139583333337</v>
      </c>
      <c r="L2947" s="11">
        <f t="shared" ref="L2947:L3010" si="3175">(I2947/60/60/24)+DATE(1970,1,1)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3176">(E2947/D2947)*100</f>
        <v>0</v>
      </c>
      <c r="R2947" s="7">
        <f t="shared" ref="R2947:R3010" si="3177">IFERROR(E2947/N2947, 0)</f>
        <v>0</v>
      </c>
      <c r="S2947" t="str">
        <f t="shared" ref="S2947:S3010" si="3178">LEFT(P2947, SEARCH("/", P2947,1)-1)</f>
        <v>theater</v>
      </c>
      <c r="T2947" t="str">
        <f t="shared" ref="T2947:T3010" si="3179">RIGHT(P2947,LEN(P2947)-SEARCH("/",P2947,SEARCH("/",P2947)))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ref="K2948:L2948" si="3180">(J2948/60/60/24)+DATE(1970,1,1)</f>
        <v>42567.531157407408</v>
      </c>
      <c r="L2948" s="11">
        <f t="shared" si="317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3176"/>
        <v>0.1</v>
      </c>
      <c r="R2948" s="7">
        <f t="shared" si="3177"/>
        <v>1</v>
      </c>
      <c r="S2948" t="str">
        <f t="shared" si="3178"/>
        <v>theater</v>
      </c>
      <c r="T2948" t="str">
        <f t="shared" si="3179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ref="K2949:L2949" si="3181">(J2949/60/60/24)+DATE(1970,1,1)</f>
        <v>42649.562118055561</v>
      </c>
      <c r="L2949" s="11">
        <f t="shared" si="317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3176"/>
        <v>4.2880000000000003</v>
      </c>
      <c r="R2949" s="7">
        <f t="shared" si="3177"/>
        <v>82.461538461538467</v>
      </c>
      <c r="S2949" t="str">
        <f t="shared" si="3178"/>
        <v>theater</v>
      </c>
      <c r="T2949" t="str">
        <f t="shared" si="3179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ref="K2950:L2950" si="3182">(J2950/60/60/24)+DATE(1970,1,1)</f>
        <v>42097.649224537032</v>
      </c>
      <c r="L2950" s="11">
        <f t="shared" si="317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3176"/>
        <v>4.8000000000000004E-3</v>
      </c>
      <c r="R2950" s="7">
        <f t="shared" si="3177"/>
        <v>2.6666666666666665</v>
      </c>
      <c r="S2950" t="str">
        <f t="shared" si="3178"/>
        <v>theater</v>
      </c>
      <c r="T2950" t="str">
        <f t="shared" si="3179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ref="K2951:L2951" si="3183">(J2951/60/60/24)+DATE(1970,1,1)</f>
        <v>42297.823113425926</v>
      </c>
      <c r="L2951" s="11">
        <f t="shared" si="317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3176"/>
        <v>2.5</v>
      </c>
      <c r="R2951" s="7">
        <f t="shared" si="3177"/>
        <v>12.5</v>
      </c>
      <c r="S2951" t="str">
        <f t="shared" si="3178"/>
        <v>theater</v>
      </c>
      <c r="T2951" t="str">
        <f t="shared" si="3179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ref="K2952:L2952" si="3184">(J2952/60/60/24)+DATE(1970,1,1)</f>
        <v>42362.36518518519</v>
      </c>
      <c r="L2952" s="11">
        <f t="shared" si="317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3176"/>
        <v>0</v>
      </c>
      <c r="R2952" s="7">
        <f t="shared" si="3177"/>
        <v>0</v>
      </c>
      <c r="S2952" t="str">
        <f t="shared" si="3178"/>
        <v>theater</v>
      </c>
      <c r="T2952" t="str">
        <f t="shared" si="3179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ref="K2953:L2953" si="3185">(J2953/60/60/24)+DATE(1970,1,1)</f>
        <v>41872.802928240737</v>
      </c>
      <c r="L2953" s="11">
        <f t="shared" si="317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3176"/>
        <v>2.1919999999999997</v>
      </c>
      <c r="R2953" s="7">
        <f t="shared" si="3177"/>
        <v>18.896551724137932</v>
      </c>
      <c r="S2953" t="str">
        <f t="shared" si="3178"/>
        <v>theater</v>
      </c>
      <c r="T2953" t="str">
        <f t="shared" si="3179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ref="K2954:L2954" si="3186">(J2954/60/60/24)+DATE(1970,1,1)</f>
        <v>42628.690266203703</v>
      </c>
      <c r="L2954" s="11">
        <f t="shared" si="317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3176"/>
        <v>8.0250000000000004</v>
      </c>
      <c r="R2954" s="7">
        <f t="shared" si="3177"/>
        <v>200.625</v>
      </c>
      <c r="S2954" t="str">
        <f t="shared" si="3178"/>
        <v>theater</v>
      </c>
      <c r="T2954" t="str">
        <f t="shared" si="3179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ref="K2955:L2955" si="3187">(J2955/60/60/24)+DATE(1970,1,1)</f>
        <v>42255.791909722218</v>
      </c>
      <c r="L2955" s="11">
        <f t="shared" si="317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3176"/>
        <v>0.15125</v>
      </c>
      <c r="R2955" s="7">
        <f t="shared" si="3177"/>
        <v>201.66666666666666</v>
      </c>
      <c r="S2955" t="str">
        <f t="shared" si="3178"/>
        <v>theater</v>
      </c>
      <c r="T2955" t="str">
        <f t="shared" si="3179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ref="K2956:L2956" si="3188">(J2956/60/60/24)+DATE(1970,1,1)</f>
        <v>42790.583368055552</v>
      </c>
      <c r="L2956" s="11">
        <f t="shared" si="317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3176"/>
        <v>0</v>
      </c>
      <c r="R2956" s="7">
        <f t="shared" si="3177"/>
        <v>0</v>
      </c>
      <c r="S2956" t="str">
        <f t="shared" si="3178"/>
        <v>theater</v>
      </c>
      <c r="T2956" t="str">
        <f t="shared" si="3179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ref="K2957:L2957" si="3189">(J2957/60/60/24)+DATE(1970,1,1)</f>
        <v>42141.741307870368</v>
      </c>
      <c r="L2957" s="11">
        <f t="shared" si="317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3176"/>
        <v>59.583333333333336</v>
      </c>
      <c r="R2957" s="7">
        <f t="shared" si="3177"/>
        <v>65</v>
      </c>
      <c r="S2957" t="str">
        <f t="shared" si="3178"/>
        <v>theater</v>
      </c>
      <c r="T2957" t="str">
        <f t="shared" si="3179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ref="K2958:L2958" si="3190">(J2958/60/60/24)+DATE(1970,1,1)</f>
        <v>42464.958912037036</v>
      </c>
      <c r="L2958" s="11">
        <f t="shared" si="317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3176"/>
        <v>16.734177215189874</v>
      </c>
      <c r="R2958" s="7">
        <f t="shared" si="3177"/>
        <v>66.099999999999994</v>
      </c>
      <c r="S2958" t="str">
        <f t="shared" si="3178"/>
        <v>theater</v>
      </c>
      <c r="T2958" t="str">
        <f t="shared" si="3179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ref="K2959:L2959" si="3191">(J2959/60/60/24)+DATE(1970,1,1)</f>
        <v>42031.011249999996</v>
      </c>
      <c r="L2959" s="11">
        <f t="shared" si="317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3176"/>
        <v>1.8666666666666669</v>
      </c>
      <c r="R2959" s="7">
        <f t="shared" si="3177"/>
        <v>93.333333333333329</v>
      </c>
      <c r="S2959" t="str">
        <f t="shared" si="3178"/>
        <v>theater</v>
      </c>
      <c r="T2959" t="str">
        <f t="shared" si="3179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ref="K2960:L2960" si="3192">(J2960/60/60/24)+DATE(1970,1,1)</f>
        <v>42438.779131944444</v>
      </c>
      <c r="L2960" s="11">
        <f t="shared" si="317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3176"/>
        <v>0</v>
      </c>
      <c r="R2960" s="7">
        <f t="shared" si="3177"/>
        <v>0</v>
      </c>
      <c r="S2960" t="str">
        <f t="shared" si="3178"/>
        <v>theater</v>
      </c>
      <c r="T2960" t="str">
        <f t="shared" si="3179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ref="K2961:L2961" si="3193">(J2961/60/60/24)+DATE(1970,1,1)</f>
        <v>42498.008391203708</v>
      </c>
      <c r="L2961" s="11">
        <f t="shared" si="317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3176"/>
        <v>0</v>
      </c>
      <c r="R2961" s="7">
        <f t="shared" si="3177"/>
        <v>0</v>
      </c>
      <c r="S2961" t="str">
        <f t="shared" si="3178"/>
        <v>theater</v>
      </c>
      <c r="T2961" t="str">
        <f t="shared" si="3179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ref="K2962:L2962" si="3194">(J2962/60/60/24)+DATE(1970,1,1)</f>
        <v>41863.757210648146</v>
      </c>
      <c r="L2962" s="11">
        <f t="shared" si="317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3176"/>
        <v>0</v>
      </c>
      <c r="R2962" s="7">
        <f t="shared" si="3177"/>
        <v>0</v>
      </c>
      <c r="S2962" t="str">
        <f t="shared" si="3178"/>
        <v>theater</v>
      </c>
      <c r="T2962" t="str">
        <f t="shared" si="3179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ref="K2963:L2963" si="3195">(J2963/60/60/24)+DATE(1970,1,1)</f>
        <v>42061.212488425925</v>
      </c>
      <c r="L2963" s="11">
        <f t="shared" si="317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3176"/>
        <v>109.62</v>
      </c>
      <c r="R2963" s="7">
        <f t="shared" si="3177"/>
        <v>50.75</v>
      </c>
      <c r="S2963" t="str">
        <f t="shared" si="3178"/>
        <v>theater</v>
      </c>
      <c r="T2963" t="str">
        <f t="shared" si="3179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ref="K2964:L2964" si="3196">(J2964/60/60/24)+DATE(1970,1,1)</f>
        <v>42036.24428240741</v>
      </c>
      <c r="L2964" s="11">
        <f t="shared" si="317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3176"/>
        <v>121.8</v>
      </c>
      <c r="R2964" s="7">
        <f t="shared" si="3177"/>
        <v>60.9</v>
      </c>
      <c r="S2964" t="str">
        <f t="shared" si="3178"/>
        <v>theater</v>
      </c>
      <c r="T2964" t="str">
        <f t="shared" si="3179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ref="K2965:L2965" si="3197">(J2965/60/60/24)+DATE(1970,1,1)</f>
        <v>42157.470185185186</v>
      </c>
      <c r="L2965" s="11">
        <f t="shared" si="317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3176"/>
        <v>106.85</v>
      </c>
      <c r="R2965" s="7">
        <f t="shared" si="3177"/>
        <v>109.03061224489795</v>
      </c>
      <c r="S2965" t="str">
        <f t="shared" si="3178"/>
        <v>theater</v>
      </c>
      <c r="T2965" t="str">
        <f t="shared" si="3179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ref="K2966:L2966" si="3198">(J2966/60/60/24)+DATE(1970,1,1)</f>
        <v>41827.909942129627</v>
      </c>
      <c r="L2966" s="11">
        <f t="shared" si="317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3176"/>
        <v>100.71379999999999</v>
      </c>
      <c r="R2966" s="7">
        <f t="shared" si="3177"/>
        <v>25.692295918367346</v>
      </c>
      <c r="S2966" t="str">
        <f t="shared" si="3178"/>
        <v>theater</v>
      </c>
      <c r="T2966" t="str">
        <f t="shared" si="3179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ref="K2967:L2967" si="3199">(J2967/60/60/24)+DATE(1970,1,1)</f>
        <v>42162.729548611111</v>
      </c>
      <c r="L2967" s="11">
        <f t="shared" si="317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3176"/>
        <v>109.00000000000001</v>
      </c>
      <c r="R2967" s="7">
        <f t="shared" si="3177"/>
        <v>41.92307692307692</v>
      </c>
      <c r="S2967" t="str">
        <f t="shared" si="3178"/>
        <v>theater</v>
      </c>
      <c r="T2967" t="str">
        <f t="shared" si="3179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ref="K2968:L2968" si="3200">(J2968/60/60/24)+DATE(1970,1,1)</f>
        <v>42233.738564814819</v>
      </c>
      <c r="L2968" s="11">
        <f t="shared" si="317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3176"/>
        <v>113.63000000000001</v>
      </c>
      <c r="R2968" s="7">
        <f t="shared" si="3177"/>
        <v>88.7734375</v>
      </c>
      <c r="S2968" t="str">
        <f t="shared" si="3178"/>
        <v>theater</v>
      </c>
      <c r="T2968" t="str">
        <f t="shared" si="3179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ref="K2969:L2969" si="3201">(J2969/60/60/24)+DATE(1970,1,1)</f>
        <v>42042.197824074072</v>
      </c>
      <c r="L2969" s="11">
        <f t="shared" si="317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3176"/>
        <v>113.92</v>
      </c>
      <c r="R2969" s="7">
        <f t="shared" si="3177"/>
        <v>80.225352112676063</v>
      </c>
      <c r="S2969" t="str">
        <f t="shared" si="3178"/>
        <v>theater</v>
      </c>
      <c r="T2969" t="str">
        <f t="shared" si="3179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ref="K2970:L2970" si="3202">(J2970/60/60/24)+DATE(1970,1,1)</f>
        <v>42585.523842592593</v>
      </c>
      <c r="L2970" s="11">
        <f t="shared" si="317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3176"/>
        <v>106</v>
      </c>
      <c r="R2970" s="7">
        <f t="shared" si="3177"/>
        <v>78.936170212765958</v>
      </c>
      <c r="S2970" t="str">
        <f t="shared" si="3178"/>
        <v>theater</v>
      </c>
      <c r="T2970" t="str">
        <f t="shared" si="3179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ref="K2971:L2971" si="3203">(J2971/60/60/24)+DATE(1970,1,1)</f>
        <v>42097.786493055552</v>
      </c>
      <c r="L2971" s="11">
        <f t="shared" si="317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3176"/>
        <v>162.5</v>
      </c>
      <c r="R2971" s="7">
        <f t="shared" si="3177"/>
        <v>95.588235294117652</v>
      </c>
      <c r="S2971" t="str">
        <f t="shared" si="3178"/>
        <v>theater</v>
      </c>
      <c r="T2971" t="str">
        <f t="shared" si="3179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ref="K2972:L2972" si="3204">(J2972/60/60/24)+DATE(1970,1,1)</f>
        <v>41808.669571759259</v>
      </c>
      <c r="L2972" s="11">
        <f t="shared" si="317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3176"/>
        <v>106</v>
      </c>
      <c r="R2972" s="7">
        <f t="shared" si="3177"/>
        <v>69.890109890109883</v>
      </c>
      <c r="S2972" t="str">
        <f t="shared" si="3178"/>
        <v>theater</v>
      </c>
      <c r="T2972" t="str">
        <f t="shared" si="3179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ref="K2973:L2973" si="3205">(J2973/60/60/24)+DATE(1970,1,1)</f>
        <v>41852.658310185187</v>
      </c>
      <c r="L2973" s="11">
        <f t="shared" si="317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3176"/>
        <v>100.15624999999999</v>
      </c>
      <c r="R2973" s="7">
        <f t="shared" si="3177"/>
        <v>74.534883720930239</v>
      </c>
      <c r="S2973" t="str">
        <f t="shared" si="3178"/>
        <v>theater</v>
      </c>
      <c r="T2973" t="str">
        <f t="shared" si="3179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ref="K2974:L2974" si="3206">(J2974/60/60/24)+DATE(1970,1,1)</f>
        <v>42694.110185185185</v>
      </c>
      <c r="L2974" s="11">
        <f t="shared" si="317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3176"/>
        <v>105.35000000000001</v>
      </c>
      <c r="R2974" s="7">
        <f t="shared" si="3177"/>
        <v>123.94117647058823</v>
      </c>
      <c r="S2974" t="str">
        <f t="shared" si="3178"/>
        <v>theater</v>
      </c>
      <c r="T2974" t="str">
        <f t="shared" si="3179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ref="K2975:L2975" si="3207">(J2975/60/60/24)+DATE(1970,1,1)</f>
        <v>42341.818379629629</v>
      </c>
      <c r="L2975" s="11">
        <f t="shared" si="317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3176"/>
        <v>174.8</v>
      </c>
      <c r="R2975" s="7">
        <f t="shared" si="3177"/>
        <v>264.84848484848487</v>
      </c>
      <c r="S2975" t="str">
        <f t="shared" si="3178"/>
        <v>theater</v>
      </c>
      <c r="T2975" t="str">
        <f t="shared" si="3179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ref="K2976:L2976" si="3208">(J2976/60/60/24)+DATE(1970,1,1)</f>
        <v>41880.061006944445</v>
      </c>
      <c r="L2976" s="11">
        <f t="shared" si="317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3176"/>
        <v>102</v>
      </c>
      <c r="R2976" s="7">
        <f t="shared" si="3177"/>
        <v>58.620689655172413</v>
      </c>
      <c r="S2976" t="str">
        <f t="shared" si="3178"/>
        <v>theater</v>
      </c>
      <c r="T2976" t="str">
        <f t="shared" si="3179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ref="K2977:L2977" si="3209">(J2977/60/60/24)+DATE(1970,1,1)</f>
        <v>41941.683865740742</v>
      </c>
      <c r="L2977" s="11">
        <f t="shared" si="3175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3176"/>
        <v>100.125</v>
      </c>
      <c r="R2977" s="7">
        <f t="shared" si="3177"/>
        <v>70.884955752212392</v>
      </c>
      <c r="S2977" t="str">
        <f t="shared" si="3178"/>
        <v>theater</v>
      </c>
      <c r="T2977" t="str">
        <f t="shared" si="3179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ref="K2978:L2978" si="3210">(J2978/60/60/24)+DATE(1970,1,1)</f>
        <v>42425.730671296296</v>
      </c>
      <c r="L2978" s="11">
        <f t="shared" si="3175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3176"/>
        <v>171.42857142857142</v>
      </c>
      <c r="R2978" s="7">
        <f t="shared" si="3177"/>
        <v>8.5714285714285712</v>
      </c>
      <c r="S2978" t="str">
        <f t="shared" si="3178"/>
        <v>theater</v>
      </c>
      <c r="T2978" t="str">
        <f t="shared" si="3179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ref="K2979:L2979" si="3211">(J2979/60/60/24)+DATE(1970,1,1)</f>
        <v>42026.88118055556</v>
      </c>
      <c r="L2979" s="11">
        <f t="shared" si="317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3176"/>
        <v>113.56666666666666</v>
      </c>
      <c r="R2979" s="7">
        <f t="shared" si="3177"/>
        <v>113.56666666666666</v>
      </c>
      <c r="S2979" t="str">
        <f t="shared" si="3178"/>
        <v>theater</v>
      </c>
      <c r="T2979" t="str">
        <f t="shared" si="3179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ref="K2980:L2980" si="3212">(J2980/60/60/24)+DATE(1970,1,1)</f>
        <v>41922.640590277777</v>
      </c>
      <c r="L2980" s="11">
        <f t="shared" si="317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3176"/>
        <v>129.46666666666667</v>
      </c>
      <c r="R2980" s="7">
        <f t="shared" si="3177"/>
        <v>60.6875</v>
      </c>
      <c r="S2980" t="str">
        <f t="shared" si="3178"/>
        <v>theater</v>
      </c>
      <c r="T2980" t="str">
        <f t="shared" si="3179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ref="K2981:L2981" si="3213">(J2981/60/60/24)+DATE(1970,1,1)</f>
        <v>41993.824340277773</v>
      </c>
      <c r="L2981" s="11">
        <f t="shared" si="3175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3176"/>
        <v>101.4</v>
      </c>
      <c r="R2981" s="7">
        <f t="shared" si="3177"/>
        <v>110.21739130434783</v>
      </c>
      <c r="S2981" t="str">
        <f t="shared" si="3178"/>
        <v>theater</v>
      </c>
      <c r="T2981" t="str">
        <f t="shared" si="3179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ref="K2982:L2982" si="3214">(J2982/60/60/24)+DATE(1970,1,1)</f>
        <v>42219.915856481486</v>
      </c>
      <c r="L2982" s="11">
        <f t="shared" si="317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3176"/>
        <v>109.16666666666666</v>
      </c>
      <c r="R2982" s="7">
        <f t="shared" si="3177"/>
        <v>136.45833333333334</v>
      </c>
      <c r="S2982" t="str">
        <f t="shared" si="3178"/>
        <v>theater</v>
      </c>
      <c r="T2982" t="str">
        <f t="shared" si="3179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ref="K2983:L2983" si="3215">(J2983/60/60/24)+DATE(1970,1,1)</f>
        <v>42225.559675925921</v>
      </c>
      <c r="L2983" s="11">
        <f t="shared" si="317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3176"/>
        <v>128.92500000000001</v>
      </c>
      <c r="R2983" s="7">
        <f t="shared" si="3177"/>
        <v>53.164948453608247</v>
      </c>
      <c r="S2983" t="str">
        <f t="shared" si="3178"/>
        <v>theater</v>
      </c>
      <c r="T2983" t="str">
        <f t="shared" si="3179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ref="K2984:L2984" si="3216">(J2984/60/60/24)+DATE(1970,1,1)</f>
        <v>42381.686840277776</v>
      </c>
      <c r="L2984" s="11">
        <f t="shared" si="317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3176"/>
        <v>102.06</v>
      </c>
      <c r="R2984" s="7">
        <f t="shared" si="3177"/>
        <v>86.491525423728817</v>
      </c>
      <c r="S2984" t="str">
        <f t="shared" si="3178"/>
        <v>theater</v>
      </c>
      <c r="T2984" t="str">
        <f t="shared" si="3179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ref="K2985:L2985" si="3217">(J2985/60/60/24)+DATE(1970,1,1)</f>
        <v>41894.632361111115</v>
      </c>
      <c r="L2985" s="11">
        <f t="shared" si="317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3176"/>
        <v>146.53957758620692</v>
      </c>
      <c r="R2985" s="7">
        <f t="shared" si="3177"/>
        <v>155.23827397260274</v>
      </c>
      <c r="S2985" t="str">
        <f t="shared" si="3178"/>
        <v>theater</v>
      </c>
      <c r="T2985" t="str">
        <f t="shared" si="3179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ref="K2986:L2986" si="3218">(J2986/60/60/24)+DATE(1970,1,1)</f>
        <v>42576.278715277775</v>
      </c>
      <c r="L2986" s="11">
        <f t="shared" si="317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3176"/>
        <v>100.352</v>
      </c>
      <c r="R2986" s="7">
        <f t="shared" si="3177"/>
        <v>115.08256880733946</v>
      </c>
      <c r="S2986" t="str">
        <f t="shared" si="3178"/>
        <v>theater</v>
      </c>
      <c r="T2986" t="str">
        <f t="shared" si="3179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ref="K2987:L2987" si="3219">(J2987/60/60/24)+DATE(1970,1,1)</f>
        <v>42654.973703703698</v>
      </c>
      <c r="L2987" s="11">
        <f t="shared" si="317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3176"/>
        <v>121.64999999999999</v>
      </c>
      <c r="R2987" s="7">
        <f t="shared" si="3177"/>
        <v>109.5945945945946</v>
      </c>
      <c r="S2987" t="str">
        <f t="shared" si="3178"/>
        <v>theater</v>
      </c>
      <c r="T2987" t="str">
        <f t="shared" si="3179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ref="K2988:L2988" si="3220">(J2988/60/60/24)+DATE(1970,1,1)</f>
        <v>42431.500069444446</v>
      </c>
      <c r="L2988" s="11">
        <f t="shared" si="317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3176"/>
        <v>105.5</v>
      </c>
      <c r="R2988" s="7">
        <f t="shared" si="3177"/>
        <v>45.214285714285715</v>
      </c>
      <c r="S2988" t="str">
        <f t="shared" si="3178"/>
        <v>theater</v>
      </c>
      <c r="T2988" t="str">
        <f t="shared" si="3179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ref="K2989:L2989" si="3221">(J2989/60/60/24)+DATE(1970,1,1)</f>
        <v>42627.307303240741</v>
      </c>
      <c r="L2989" s="11">
        <f t="shared" si="3175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3176"/>
        <v>110.4008</v>
      </c>
      <c r="R2989" s="7">
        <f t="shared" si="3177"/>
        <v>104.15169811320754</v>
      </c>
      <c r="S2989" t="str">
        <f t="shared" si="3178"/>
        <v>theater</v>
      </c>
      <c r="T2989" t="str">
        <f t="shared" si="3179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ref="K2990:L2990" si="3222">(J2990/60/60/24)+DATE(1970,1,1)</f>
        <v>42511.362048611118</v>
      </c>
      <c r="L2990" s="11">
        <f t="shared" si="317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3176"/>
        <v>100</v>
      </c>
      <c r="R2990" s="7">
        <f t="shared" si="3177"/>
        <v>35.714285714285715</v>
      </c>
      <c r="S2990" t="str">
        <f t="shared" si="3178"/>
        <v>theater</v>
      </c>
      <c r="T2990" t="str">
        <f t="shared" si="3179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ref="K2991:L2991" si="3223">(J2991/60/60/24)+DATE(1970,1,1)</f>
        <v>42337.02039351852</v>
      </c>
      <c r="L2991" s="11">
        <f t="shared" si="317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3176"/>
        <v>176.535</v>
      </c>
      <c r="R2991" s="7">
        <f t="shared" si="3177"/>
        <v>96.997252747252745</v>
      </c>
      <c r="S2991" t="str">
        <f t="shared" si="3178"/>
        <v>theater</v>
      </c>
      <c r="T2991" t="str">
        <f t="shared" si="3179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ref="K2992:L2992" si="3224">(J2992/60/60/24)+DATE(1970,1,1)</f>
        <v>42341.57430555555</v>
      </c>
      <c r="L2992" s="11">
        <f t="shared" si="317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3176"/>
        <v>100</v>
      </c>
      <c r="R2992" s="7">
        <f t="shared" si="3177"/>
        <v>370.37037037037038</v>
      </c>
      <c r="S2992" t="str">
        <f t="shared" si="3178"/>
        <v>theater</v>
      </c>
      <c r="T2992" t="str">
        <f t="shared" si="3179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ref="K2993:L2993" si="3225">(J2993/60/60/24)+DATE(1970,1,1)</f>
        <v>42740.837152777778</v>
      </c>
      <c r="L2993" s="11">
        <f t="shared" si="317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3176"/>
        <v>103.29411764705883</v>
      </c>
      <c r="R2993" s="7">
        <f t="shared" si="3177"/>
        <v>94.408602150537632</v>
      </c>
      <c r="S2993" t="str">
        <f t="shared" si="3178"/>
        <v>theater</v>
      </c>
      <c r="T2993" t="str">
        <f t="shared" si="3179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ref="K2994:L2994" si="3226">(J2994/60/60/24)+DATE(1970,1,1)</f>
        <v>42622.767476851848</v>
      </c>
      <c r="L2994" s="11">
        <f t="shared" si="317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3176"/>
        <v>104.5</v>
      </c>
      <c r="R2994" s="7">
        <f t="shared" si="3177"/>
        <v>48.984375</v>
      </c>
      <c r="S2994" t="str">
        <f t="shared" si="3178"/>
        <v>theater</v>
      </c>
      <c r="T2994" t="str">
        <f t="shared" si="3179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ref="K2995:L2995" si="3227">(J2995/60/60/24)+DATE(1970,1,1)</f>
        <v>42390.838738425926</v>
      </c>
      <c r="L2995" s="11">
        <f t="shared" si="317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3176"/>
        <v>100.29999999999998</v>
      </c>
      <c r="R2995" s="7">
        <f t="shared" si="3177"/>
        <v>45.590909090909093</v>
      </c>
      <c r="S2995" t="str">
        <f t="shared" si="3178"/>
        <v>theater</v>
      </c>
      <c r="T2995" t="str">
        <f t="shared" si="3179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ref="K2996:L2996" si="3228">(J2996/60/60/24)+DATE(1970,1,1)</f>
        <v>41885.478842592594</v>
      </c>
      <c r="L2996" s="11">
        <f t="shared" si="317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3176"/>
        <v>457.74666666666673</v>
      </c>
      <c r="R2996" s="7">
        <f t="shared" si="3177"/>
        <v>23.275254237288134</v>
      </c>
      <c r="S2996" t="str">
        <f t="shared" si="3178"/>
        <v>theater</v>
      </c>
      <c r="T2996" t="str">
        <f t="shared" si="3179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ref="K2997:L2997" si="3229">(J2997/60/60/24)+DATE(1970,1,1)</f>
        <v>42724.665173611109</v>
      </c>
      <c r="L2997" s="11">
        <f t="shared" si="317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3176"/>
        <v>104.96000000000001</v>
      </c>
      <c r="R2997" s="7">
        <f t="shared" si="3177"/>
        <v>63.2289156626506</v>
      </c>
      <c r="S2997" t="str">
        <f t="shared" si="3178"/>
        <v>theater</v>
      </c>
      <c r="T2997" t="str">
        <f t="shared" si="3179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ref="K2998:L2998" si="3230">(J2998/60/60/24)+DATE(1970,1,1)</f>
        <v>42090.912500000006</v>
      </c>
      <c r="L2998" s="11">
        <f t="shared" si="317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3176"/>
        <v>171.94285714285715</v>
      </c>
      <c r="R2998" s="7">
        <f t="shared" si="3177"/>
        <v>153.5204081632653</v>
      </c>
      <c r="S2998" t="str">
        <f t="shared" si="3178"/>
        <v>theater</v>
      </c>
      <c r="T2998" t="str">
        <f t="shared" si="3179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ref="K2999:L2999" si="3231">(J2999/60/60/24)+DATE(1970,1,1)</f>
        <v>42775.733715277776</v>
      </c>
      <c r="L2999" s="11">
        <f t="shared" si="317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3176"/>
        <v>103.73000000000002</v>
      </c>
      <c r="R2999" s="7">
        <f t="shared" si="3177"/>
        <v>90.2</v>
      </c>
      <c r="S2999" t="str">
        <f t="shared" si="3178"/>
        <v>theater</v>
      </c>
      <c r="T2999" t="str">
        <f t="shared" si="3179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ref="K3000:L3000" si="3232">(J3000/60/60/24)+DATE(1970,1,1)</f>
        <v>41778.193622685183</v>
      </c>
      <c r="L3000" s="11">
        <f t="shared" si="317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3176"/>
        <v>103.029</v>
      </c>
      <c r="R3000" s="7">
        <f t="shared" si="3177"/>
        <v>118.97113163972287</v>
      </c>
      <c r="S3000" t="str">
        <f t="shared" si="3178"/>
        <v>theater</v>
      </c>
      <c r="T3000" t="str">
        <f t="shared" si="3179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ref="K3001:L3001" si="3233">(J3001/60/60/24)+DATE(1970,1,1)</f>
        <v>42780.740277777775</v>
      </c>
      <c r="L3001" s="11">
        <f t="shared" si="317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3176"/>
        <v>118.88888888888889</v>
      </c>
      <c r="R3001" s="7">
        <f t="shared" si="3177"/>
        <v>80.25</v>
      </c>
      <c r="S3001" t="str">
        <f t="shared" si="3178"/>
        <v>theater</v>
      </c>
      <c r="T3001" t="str">
        <f t="shared" si="3179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ref="K3002:L3002" si="3234">(J3002/60/60/24)+DATE(1970,1,1)</f>
        <v>42752.827199074076</v>
      </c>
      <c r="L3002" s="11">
        <f t="shared" si="3175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3176"/>
        <v>100</v>
      </c>
      <c r="R3002" s="7">
        <f t="shared" si="3177"/>
        <v>62.5</v>
      </c>
      <c r="S3002" t="str">
        <f t="shared" si="3178"/>
        <v>theater</v>
      </c>
      <c r="T3002" t="str">
        <f t="shared" si="3179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ref="K3003:L3003" si="3235">(J3003/60/60/24)+DATE(1970,1,1)</f>
        <v>42534.895625000005</v>
      </c>
      <c r="L3003" s="11">
        <f t="shared" si="317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3176"/>
        <v>318.69988910451895</v>
      </c>
      <c r="R3003" s="7">
        <f t="shared" si="3177"/>
        <v>131.37719999999999</v>
      </c>
      <c r="S3003" t="str">
        <f t="shared" si="3178"/>
        <v>theater</v>
      </c>
      <c r="T3003" t="str">
        <f t="shared" si="3179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ref="K3004:L3004" si="3236">(J3004/60/60/24)+DATE(1970,1,1)</f>
        <v>41239.83625</v>
      </c>
      <c r="L3004" s="11">
        <f t="shared" si="317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3176"/>
        <v>108.50614285714286</v>
      </c>
      <c r="R3004" s="7">
        <f t="shared" si="3177"/>
        <v>73.032980769230775</v>
      </c>
      <c r="S3004" t="str">
        <f t="shared" si="3178"/>
        <v>theater</v>
      </c>
      <c r="T3004" t="str">
        <f t="shared" si="3179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ref="K3005:L3005" si="3237">(J3005/60/60/24)+DATE(1970,1,1)</f>
        <v>42398.849259259259</v>
      </c>
      <c r="L3005" s="11">
        <f t="shared" si="317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3176"/>
        <v>101.16666666666667</v>
      </c>
      <c r="R3005" s="7">
        <f t="shared" si="3177"/>
        <v>178.52941176470588</v>
      </c>
      <c r="S3005" t="str">
        <f t="shared" si="3178"/>
        <v>theater</v>
      </c>
      <c r="T3005" t="str">
        <f t="shared" si="3179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ref="K3006:L3006" si="3238">(J3006/60/60/24)+DATE(1970,1,1)</f>
        <v>41928.881064814814</v>
      </c>
      <c r="L3006" s="11">
        <f t="shared" si="317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3176"/>
        <v>112.815</v>
      </c>
      <c r="R3006" s="7">
        <f t="shared" si="3177"/>
        <v>162.90974729241879</v>
      </c>
      <c r="S3006" t="str">
        <f t="shared" si="3178"/>
        <v>theater</v>
      </c>
      <c r="T3006" t="str">
        <f t="shared" si="3179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ref="K3007:L3007" si="3239">(J3007/60/60/24)+DATE(1970,1,1)</f>
        <v>41888.674826388888</v>
      </c>
      <c r="L3007" s="11">
        <f t="shared" si="317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3176"/>
        <v>120.49622641509434</v>
      </c>
      <c r="R3007" s="7">
        <f t="shared" si="3177"/>
        <v>108.24237288135593</v>
      </c>
      <c r="S3007" t="str">
        <f t="shared" si="3178"/>
        <v>theater</v>
      </c>
      <c r="T3007" t="str">
        <f t="shared" si="3179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ref="K3008:L3008" si="3240">(J3008/60/60/24)+DATE(1970,1,1)</f>
        <v>41957.756840277783</v>
      </c>
      <c r="L3008" s="11">
        <f t="shared" si="317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3176"/>
        <v>107.74999999999999</v>
      </c>
      <c r="R3008" s="7">
        <f t="shared" si="3177"/>
        <v>88.865979381443296</v>
      </c>
      <c r="S3008" t="str">
        <f t="shared" si="3178"/>
        <v>theater</v>
      </c>
      <c r="T3008" t="str">
        <f t="shared" si="3179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ref="K3009:L3009" si="3241">(J3009/60/60/24)+DATE(1970,1,1)</f>
        <v>42098.216238425928</v>
      </c>
      <c r="L3009" s="11">
        <f t="shared" si="317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3176"/>
        <v>180</v>
      </c>
      <c r="R3009" s="7">
        <f t="shared" si="3177"/>
        <v>54</v>
      </c>
      <c r="S3009" t="str">
        <f t="shared" si="3178"/>
        <v>theater</v>
      </c>
      <c r="T3009" t="str">
        <f t="shared" si="3179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ref="K3010:L3010" si="3242">(J3010/60/60/24)+DATE(1970,1,1)</f>
        <v>42360.212025462963</v>
      </c>
      <c r="L3010" s="11">
        <f t="shared" si="317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3176"/>
        <v>101.16666666666667</v>
      </c>
      <c r="R3010" s="7">
        <f t="shared" si="3177"/>
        <v>116.73076923076923</v>
      </c>
      <c r="S3010" t="str">
        <f t="shared" si="3178"/>
        <v>theater</v>
      </c>
      <c r="T3010" t="str">
        <f t="shared" si="3179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ref="K3011:L3011" si="3243">(J3011/60/60/24)+DATE(1970,1,1)</f>
        <v>41939.569907407407</v>
      </c>
      <c r="L3011" s="11">
        <f t="shared" ref="L3011:L3074" si="3244">(I3011/60/60/24)+DATE(1970,1,1)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3245">(E3011/D3011)*100</f>
        <v>119.756</v>
      </c>
      <c r="R3011" s="7">
        <f t="shared" ref="R3011:R3074" si="3246">IFERROR(E3011/N3011, 0)</f>
        <v>233.8984375</v>
      </c>
      <c r="S3011" t="str">
        <f t="shared" ref="S3011:S3074" si="3247">LEFT(P3011, SEARCH("/", P3011,1)-1)</f>
        <v>theater</v>
      </c>
      <c r="T3011" t="str">
        <f t="shared" ref="T3011:T3074" si="3248">RIGHT(P3011,LEN(P3011)-SEARCH("/",P3011,SEARCH("/",P3011)))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ref="K3012:L3012" si="3249">(J3012/60/60/24)+DATE(1970,1,1)</f>
        <v>41996.832395833335</v>
      </c>
      <c r="L3012" s="11">
        <f t="shared" si="3244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3245"/>
        <v>158</v>
      </c>
      <c r="R3012" s="7">
        <f t="shared" si="3246"/>
        <v>158</v>
      </c>
      <c r="S3012" t="str">
        <f t="shared" si="3247"/>
        <v>theater</v>
      </c>
      <c r="T3012" t="str">
        <f t="shared" si="3248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ref="K3013:L3013" si="3250">(J3013/60/60/24)+DATE(1970,1,1)</f>
        <v>42334.468935185185</v>
      </c>
      <c r="L3013" s="11">
        <f t="shared" si="3244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3245"/>
        <v>123.66666666666666</v>
      </c>
      <c r="R3013" s="7">
        <f t="shared" si="3246"/>
        <v>14.84</v>
      </c>
      <c r="S3013" t="str">
        <f t="shared" si="3247"/>
        <v>theater</v>
      </c>
      <c r="T3013" t="str">
        <f t="shared" si="3248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ref="K3014:L3014" si="3251">(J3014/60/60/24)+DATE(1970,1,1)</f>
        <v>42024.702893518523</v>
      </c>
      <c r="L3014" s="11">
        <f t="shared" si="3244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3245"/>
        <v>117.12499999999999</v>
      </c>
      <c r="R3014" s="7">
        <f t="shared" si="3246"/>
        <v>85.181818181818187</v>
      </c>
      <c r="S3014" t="str">
        <f t="shared" si="3247"/>
        <v>theater</v>
      </c>
      <c r="T3014" t="str">
        <f t="shared" si="3248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ref="K3015:L3015" si="3252">(J3015/60/60/24)+DATE(1970,1,1)</f>
        <v>42146.836215277777</v>
      </c>
      <c r="L3015" s="11">
        <f t="shared" si="3244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3245"/>
        <v>156.96</v>
      </c>
      <c r="R3015" s="7">
        <f t="shared" si="3246"/>
        <v>146.69158878504672</v>
      </c>
      <c r="S3015" t="str">
        <f t="shared" si="3247"/>
        <v>theater</v>
      </c>
      <c r="T3015" t="str">
        <f t="shared" si="3248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ref="K3016:L3016" si="3253">(J3016/60/60/24)+DATE(1970,1,1)</f>
        <v>41920.123611111114</v>
      </c>
      <c r="L3016" s="11">
        <f t="shared" si="3244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3245"/>
        <v>113.104</v>
      </c>
      <c r="R3016" s="7">
        <f t="shared" si="3246"/>
        <v>50.764811490125673</v>
      </c>
      <c r="S3016" t="str">
        <f t="shared" si="3247"/>
        <v>theater</v>
      </c>
      <c r="T3016" t="str">
        <f t="shared" si="3248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ref="K3017:L3017" si="3254">(J3017/60/60/24)+DATE(1970,1,1)</f>
        <v>41785.72729166667</v>
      </c>
      <c r="L3017" s="11">
        <f t="shared" si="3244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3245"/>
        <v>103.17647058823529</v>
      </c>
      <c r="R3017" s="7">
        <f t="shared" si="3246"/>
        <v>87.7</v>
      </c>
      <c r="S3017" t="str">
        <f t="shared" si="3247"/>
        <v>theater</v>
      </c>
      <c r="T3017" t="str">
        <f t="shared" si="3248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ref="K3018:L3018" si="3255">(J3018/60/60/24)+DATE(1970,1,1)</f>
        <v>41778.548055555555</v>
      </c>
      <c r="L3018" s="11">
        <f t="shared" si="3244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3245"/>
        <v>102.61176470588236</v>
      </c>
      <c r="R3018" s="7">
        <f t="shared" si="3246"/>
        <v>242.27777777777777</v>
      </c>
      <c r="S3018" t="str">
        <f t="shared" si="3247"/>
        <v>theater</v>
      </c>
      <c r="T3018" t="str">
        <f t="shared" si="3248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ref="K3019:L3019" si="3256">(J3019/60/60/24)+DATE(1970,1,1)</f>
        <v>41841.850034722222</v>
      </c>
      <c r="L3019" s="11">
        <f t="shared" si="3244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3245"/>
        <v>105.84090909090908</v>
      </c>
      <c r="R3019" s="7">
        <f t="shared" si="3246"/>
        <v>146.44654088050314</v>
      </c>
      <c r="S3019" t="str">
        <f t="shared" si="3247"/>
        <v>theater</v>
      </c>
      <c r="T3019" t="str">
        <f t="shared" si="3248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ref="K3020:L3020" si="3257">(J3020/60/60/24)+DATE(1970,1,1)</f>
        <v>42163.29833333334</v>
      </c>
      <c r="L3020" s="11">
        <f t="shared" si="3244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3245"/>
        <v>100.71428571428571</v>
      </c>
      <c r="R3020" s="7">
        <f t="shared" si="3246"/>
        <v>103.17073170731707</v>
      </c>
      <c r="S3020" t="str">
        <f t="shared" si="3247"/>
        <v>theater</v>
      </c>
      <c r="T3020" t="str">
        <f t="shared" si="3248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ref="K3021:L3021" si="3258">(J3021/60/60/24)+DATE(1970,1,1)</f>
        <v>41758.833564814813</v>
      </c>
      <c r="L3021" s="11">
        <f t="shared" si="3244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3245"/>
        <v>121.23333333333332</v>
      </c>
      <c r="R3021" s="7">
        <f t="shared" si="3246"/>
        <v>80.464601769911511</v>
      </c>
      <c r="S3021" t="str">
        <f t="shared" si="3247"/>
        <v>theater</v>
      </c>
      <c r="T3021" t="str">
        <f t="shared" si="3248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ref="K3022:L3022" si="3259">(J3022/60/60/24)+DATE(1970,1,1)</f>
        <v>42170.846446759257</v>
      </c>
      <c r="L3022" s="11">
        <f t="shared" si="3244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3245"/>
        <v>100.57142857142858</v>
      </c>
      <c r="R3022" s="7">
        <f t="shared" si="3246"/>
        <v>234.66666666666666</v>
      </c>
      <c r="S3022" t="str">
        <f t="shared" si="3247"/>
        <v>theater</v>
      </c>
      <c r="T3022" t="str">
        <f t="shared" si="3248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ref="K3023:L3023" si="3260">(J3023/60/60/24)+DATE(1970,1,1)</f>
        <v>42660.618854166663</v>
      </c>
      <c r="L3023" s="11">
        <f t="shared" si="3244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3245"/>
        <v>116.02222222222223</v>
      </c>
      <c r="R3023" s="7">
        <f t="shared" si="3246"/>
        <v>50.689320388349515</v>
      </c>
      <c r="S3023" t="str">
        <f t="shared" si="3247"/>
        <v>theater</v>
      </c>
      <c r="T3023" t="str">
        <f t="shared" si="3248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ref="K3024:L3024" si="3261">(J3024/60/60/24)+DATE(1970,1,1)</f>
        <v>42564.95380787037</v>
      </c>
      <c r="L3024" s="11">
        <f t="shared" si="3244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3245"/>
        <v>100.88</v>
      </c>
      <c r="R3024" s="7">
        <f t="shared" si="3246"/>
        <v>162.70967741935485</v>
      </c>
      <c r="S3024" t="str">
        <f t="shared" si="3247"/>
        <v>theater</v>
      </c>
      <c r="T3024" t="str">
        <f t="shared" si="3248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ref="K3025:L3025" si="3262">(J3025/60/60/24)+DATE(1970,1,1)</f>
        <v>42121.675763888896</v>
      </c>
      <c r="L3025" s="11">
        <f t="shared" si="3244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3245"/>
        <v>103</v>
      </c>
      <c r="R3025" s="7">
        <f t="shared" si="3246"/>
        <v>120.16666666666667</v>
      </c>
      <c r="S3025" t="str">
        <f t="shared" si="3247"/>
        <v>theater</v>
      </c>
      <c r="T3025" t="str">
        <f t="shared" si="3248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ref="K3026:L3026" si="3263">(J3026/60/60/24)+DATE(1970,1,1)</f>
        <v>41158.993923611109</v>
      </c>
      <c r="L3026" s="11">
        <f t="shared" si="3244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3245"/>
        <v>246.42</v>
      </c>
      <c r="R3026" s="7">
        <f t="shared" si="3246"/>
        <v>67.697802197802204</v>
      </c>
      <c r="S3026" t="str">
        <f t="shared" si="3247"/>
        <v>theater</v>
      </c>
      <c r="T3026" t="str">
        <f t="shared" si="3248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ref="K3027:L3027" si="3264">(J3027/60/60/24)+DATE(1970,1,1)</f>
        <v>41761.509409722225</v>
      </c>
      <c r="L3027" s="11">
        <f t="shared" si="3244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3245"/>
        <v>302.2</v>
      </c>
      <c r="R3027" s="7">
        <f t="shared" si="3246"/>
        <v>52.103448275862071</v>
      </c>
      <c r="S3027" t="str">
        <f t="shared" si="3247"/>
        <v>theater</v>
      </c>
      <c r="T3027" t="str">
        <f t="shared" si="3248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ref="K3028:L3028" si="3265">(J3028/60/60/24)+DATE(1970,1,1)</f>
        <v>42783.459398148145</v>
      </c>
      <c r="L3028" s="11">
        <f t="shared" si="3244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3245"/>
        <v>143.33333333333334</v>
      </c>
      <c r="R3028" s="7">
        <f t="shared" si="3246"/>
        <v>51.6</v>
      </c>
      <c r="S3028" t="str">
        <f t="shared" si="3247"/>
        <v>theater</v>
      </c>
      <c r="T3028" t="str">
        <f t="shared" si="3248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ref="K3029:L3029" si="3266">(J3029/60/60/24)+DATE(1970,1,1)</f>
        <v>42053.704293981486</v>
      </c>
      <c r="L3029" s="11">
        <f t="shared" si="3244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3245"/>
        <v>131.44</v>
      </c>
      <c r="R3029" s="7">
        <f t="shared" si="3246"/>
        <v>164.3</v>
      </c>
      <c r="S3029" t="str">
        <f t="shared" si="3247"/>
        <v>theater</v>
      </c>
      <c r="T3029" t="str">
        <f t="shared" si="3248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ref="K3030:L3030" si="3267">(J3030/60/60/24)+DATE(1970,1,1)</f>
        <v>42567.264178240745</v>
      </c>
      <c r="L3030" s="11">
        <f t="shared" si="3244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3245"/>
        <v>168.01999999999998</v>
      </c>
      <c r="R3030" s="7">
        <f t="shared" si="3246"/>
        <v>84.858585858585855</v>
      </c>
      <c r="S3030" t="str">
        <f t="shared" si="3247"/>
        <v>theater</v>
      </c>
      <c r="T3030" t="str">
        <f t="shared" si="3248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ref="K3031:L3031" si="3268">(J3031/60/60/24)+DATE(1970,1,1)</f>
        <v>41932.708877314813</v>
      </c>
      <c r="L3031" s="11">
        <f t="shared" si="3244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3245"/>
        <v>109.67666666666666</v>
      </c>
      <c r="R3031" s="7">
        <f t="shared" si="3246"/>
        <v>94.548850574712645</v>
      </c>
      <c r="S3031" t="str">
        <f t="shared" si="3247"/>
        <v>theater</v>
      </c>
      <c r="T3031" t="str">
        <f t="shared" si="3248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ref="K3032:L3032" si="3269">(J3032/60/60/24)+DATE(1970,1,1)</f>
        <v>42233.747349537036</v>
      </c>
      <c r="L3032" s="11">
        <f t="shared" si="3244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3245"/>
        <v>106.6857142857143</v>
      </c>
      <c r="R3032" s="7">
        <f t="shared" si="3246"/>
        <v>45.536585365853661</v>
      </c>
      <c r="S3032" t="str">
        <f t="shared" si="3247"/>
        <v>theater</v>
      </c>
      <c r="T3032" t="str">
        <f t="shared" si="3248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ref="K3033:L3033" si="3270">(J3033/60/60/24)+DATE(1970,1,1)</f>
        <v>42597.882488425923</v>
      </c>
      <c r="L3033" s="11">
        <f t="shared" si="3244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3245"/>
        <v>100</v>
      </c>
      <c r="R3033" s="7">
        <f t="shared" si="3246"/>
        <v>51.724137931034484</v>
      </c>
      <c r="S3033" t="str">
        <f t="shared" si="3247"/>
        <v>theater</v>
      </c>
      <c r="T3033" t="str">
        <f t="shared" si="3248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ref="K3034:L3034" si="3271">(J3034/60/60/24)+DATE(1970,1,1)</f>
        <v>42228.044664351852</v>
      </c>
      <c r="L3034" s="11">
        <f t="shared" si="3244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3245"/>
        <v>127.2</v>
      </c>
      <c r="R3034" s="7">
        <f t="shared" si="3246"/>
        <v>50.88</v>
      </c>
      <c r="S3034" t="str">
        <f t="shared" si="3247"/>
        <v>theater</v>
      </c>
      <c r="T3034" t="str">
        <f t="shared" si="3248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ref="K3035:L3035" si="3272">(J3035/60/60/24)+DATE(1970,1,1)</f>
        <v>42570.110243055555</v>
      </c>
      <c r="L3035" s="11">
        <f t="shared" si="3244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3245"/>
        <v>146.53333333333333</v>
      </c>
      <c r="R3035" s="7">
        <f t="shared" si="3246"/>
        <v>191.13043478260869</v>
      </c>
      <c r="S3035" t="str">
        <f t="shared" si="3247"/>
        <v>theater</v>
      </c>
      <c r="T3035" t="str">
        <f t="shared" si="3248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ref="K3036:L3036" si="3273">(J3036/60/60/24)+DATE(1970,1,1)</f>
        <v>42644.535358796296</v>
      </c>
      <c r="L3036" s="11">
        <f t="shared" si="3244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3245"/>
        <v>112.53599999999999</v>
      </c>
      <c r="R3036" s="7">
        <f t="shared" si="3246"/>
        <v>89.314285714285717</v>
      </c>
      <c r="S3036" t="str">
        <f t="shared" si="3247"/>
        <v>theater</v>
      </c>
      <c r="T3036" t="str">
        <f t="shared" si="3248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ref="K3037:L3037" si="3274">(J3037/60/60/24)+DATE(1970,1,1)</f>
        <v>41368.560289351852</v>
      </c>
      <c r="L3037" s="11">
        <f t="shared" si="3244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3245"/>
        <v>108.78684000000001</v>
      </c>
      <c r="R3037" s="7">
        <f t="shared" si="3246"/>
        <v>88.588631921824103</v>
      </c>
      <c r="S3037" t="str">
        <f t="shared" si="3247"/>
        <v>theater</v>
      </c>
      <c r="T3037" t="str">
        <f t="shared" si="3248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ref="K3038:L3038" si="3275">(J3038/60/60/24)+DATE(1970,1,1)</f>
        <v>41466.785231481481</v>
      </c>
      <c r="L3038" s="11">
        <f t="shared" si="3244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3245"/>
        <v>126.732</v>
      </c>
      <c r="R3038" s="7">
        <f t="shared" si="3246"/>
        <v>96.300911854103347</v>
      </c>
      <c r="S3038" t="str">
        <f t="shared" si="3247"/>
        <v>theater</v>
      </c>
      <c r="T3038" t="str">
        <f t="shared" si="3248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ref="K3039:L3039" si="3276">(J3039/60/60/24)+DATE(1970,1,1)</f>
        <v>40378.893206018518</v>
      </c>
      <c r="L3039" s="11">
        <f t="shared" si="3244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3245"/>
        <v>213.20000000000002</v>
      </c>
      <c r="R3039" s="7">
        <f t="shared" si="3246"/>
        <v>33.3125</v>
      </c>
      <c r="S3039" t="str">
        <f t="shared" si="3247"/>
        <v>theater</v>
      </c>
      <c r="T3039" t="str">
        <f t="shared" si="3248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ref="K3040:L3040" si="3277">(J3040/60/60/24)+DATE(1970,1,1)</f>
        <v>42373.252280092594</v>
      </c>
      <c r="L3040" s="11">
        <f t="shared" si="3244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3245"/>
        <v>100.49999999999999</v>
      </c>
      <c r="R3040" s="7">
        <f t="shared" si="3246"/>
        <v>37.222222222222221</v>
      </c>
      <c r="S3040" t="str">
        <f t="shared" si="3247"/>
        <v>theater</v>
      </c>
      <c r="T3040" t="str">
        <f t="shared" si="3248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ref="K3041:L3041" si="3278">(J3041/60/60/24)+DATE(1970,1,1)</f>
        <v>41610.794421296298</v>
      </c>
      <c r="L3041" s="11">
        <f t="shared" si="3244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3245"/>
        <v>108.71389999999998</v>
      </c>
      <c r="R3041" s="7">
        <f t="shared" si="3246"/>
        <v>92.130423728813554</v>
      </c>
      <c r="S3041" t="str">
        <f t="shared" si="3247"/>
        <v>theater</v>
      </c>
      <c r="T3041" t="str">
        <f t="shared" si="3248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ref="K3042:L3042" si="3279">(J3042/60/60/24)+DATE(1970,1,1)</f>
        <v>42177.791909722218</v>
      </c>
      <c r="L3042" s="11">
        <f t="shared" si="3244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3245"/>
        <v>107.5</v>
      </c>
      <c r="R3042" s="7">
        <f t="shared" si="3246"/>
        <v>76.785714285714292</v>
      </c>
      <c r="S3042" t="str">
        <f t="shared" si="3247"/>
        <v>theater</v>
      </c>
      <c r="T3042" t="str">
        <f t="shared" si="3248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ref="K3043:L3043" si="3280">(J3043/60/60/24)+DATE(1970,1,1)</f>
        <v>42359.868611111116</v>
      </c>
      <c r="L3043" s="11">
        <f t="shared" si="3244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3245"/>
        <v>110.48192771084338</v>
      </c>
      <c r="R3043" s="7">
        <f t="shared" si="3246"/>
        <v>96.526315789473685</v>
      </c>
      <c r="S3043" t="str">
        <f t="shared" si="3247"/>
        <v>theater</v>
      </c>
      <c r="T3043" t="str">
        <f t="shared" si="3248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ref="K3044:L3044" si="3281">(J3044/60/60/24)+DATE(1970,1,1)</f>
        <v>42253.688043981485</v>
      </c>
      <c r="L3044" s="11">
        <f t="shared" si="3244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3245"/>
        <v>128</v>
      </c>
      <c r="R3044" s="7">
        <f t="shared" si="3246"/>
        <v>51.891891891891895</v>
      </c>
      <c r="S3044" t="str">
        <f t="shared" si="3247"/>
        <v>theater</v>
      </c>
      <c r="T3044" t="str">
        <f t="shared" si="3248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ref="K3045:L3045" si="3282">(J3045/60/60/24)+DATE(1970,1,1)</f>
        <v>42083.070590277777</v>
      </c>
      <c r="L3045" s="11">
        <f t="shared" si="3244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3245"/>
        <v>110.00666666666667</v>
      </c>
      <c r="R3045" s="7">
        <f t="shared" si="3246"/>
        <v>128.9140625</v>
      </c>
      <c r="S3045" t="str">
        <f t="shared" si="3247"/>
        <v>theater</v>
      </c>
      <c r="T3045" t="str">
        <f t="shared" si="3248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ref="K3046:L3046" si="3283">(J3046/60/60/24)+DATE(1970,1,1)</f>
        <v>42387.7268287037</v>
      </c>
      <c r="L3046" s="11">
        <f t="shared" si="3244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3245"/>
        <v>109.34166666666667</v>
      </c>
      <c r="R3046" s="7">
        <f t="shared" si="3246"/>
        <v>84.108974358974365</v>
      </c>
      <c r="S3046" t="str">
        <f t="shared" si="3247"/>
        <v>theater</v>
      </c>
      <c r="T3046" t="str">
        <f t="shared" si="3248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ref="K3047:L3047" si="3284">(J3047/60/60/24)+DATE(1970,1,1)</f>
        <v>41843.155729166669</v>
      </c>
      <c r="L3047" s="11">
        <f t="shared" si="3244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3245"/>
        <v>132.70650000000001</v>
      </c>
      <c r="R3047" s="7">
        <f t="shared" si="3246"/>
        <v>82.941562500000003</v>
      </c>
      <c r="S3047" t="str">
        <f t="shared" si="3247"/>
        <v>theater</v>
      </c>
      <c r="T3047" t="str">
        <f t="shared" si="3248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ref="K3048:L3048" si="3285">(J3048/60/60/24)+DATE(1970,1,1)</f>
        <v>41862.803078703706</v>
      </c>
      <c r="L3048" s="11">
        <f t="shared" si="3244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3245"/>
        <v>190.84810126582278</v>
      </c>
      <c r="R3048" s="7">
        <f t="shared" si="3246"/>
        <v>259.94827586206895</v>
      </c>
      <c r="S3048" t="str">
        <f t="shared" si="3247"/>
        <v>theater</v>
      </c>
      <c r="T3048" t="str">
        <f t="shared" si="3248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ref="K3049:L3049" si="3286">(J3049/60/60/24)+DATE(1970,1,1)</f>
        <v>42443.989050925928</v>
      </c>
      <c r="L3049" s="11">
        <f t="shared" si="3244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3245"/>
        <v>149</v>
      </c>
      <c r="R3049" s="7">
        <f t="shared" si="3246"/>
        <v>37.25</v>
      </c>
      <c r="S3049" t="str">
        <f t="shared" si="3247"/>
        <v>theater</v>
      </c>
      <c r="T3049" t="str">
        <f t="shared" si="3248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ref="K3050:L3050" si="3287">(J3050/60/60/24)+DATE(1970,1,1)</f>
        <v>41975.901180555549</v>
      </c>
      <c r="L3050" s="11">
        <f t="shared" si="3244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3245"/>
        <v>166.4</v>
      </c>
      <c r="R3050" s="7">
        <f t="shared" si="3246"/>
        <v>177.02127659574469</v>
      </c>
      <c r="S3050" t="str">
        <f t="shared" si="3247"/>
        <v>theater</v>
      </c>
      <c r="T3050" t="str">
        <f t="shared" si="3248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ref="K3051:L3051" si="3288">(J3051/60/60/24)+DATE(1970,1,1)</f>
        <v>42139.014525462961</v>
      </c>
      <c r="L3051" s="11">
        <f t="shared" si="3244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3245"/>
        <v>106.66666666666667</v>
      </c>
      <c r="R3051" s="7">
        <f t="shared" si="3246"/>
        <v>74.074074074074076</v>
      </c>
      <c r="S3051" t="str">
        <f t="shared" si="3247"/>
        <v>theater</v>
      </c>
      <c r="T3051" t="str">
        <f t="shared" si="3248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ref="K3052:L3052" si="3289">(J3052/60/60/24)+DATE(1970,1,1)</f>
        <v>42465.16851851852</v>
      </c>
      <c r="L3052" s="11">
        <f t="shared" si="3244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3245"/>
        <v>106</v>
      </c>
      <c r="R3052" s="7">
        <f t="shared" si="3246"/>
        <v>70.666666666666671</v>
      </c>
      <c r="S3052" t="str">
        <f t="shared" si="3247"/>
        <v>theater</v>
      </c>
      <c r="T3052" t="str">
        <f t="shared" si="3248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ref="K3053:L3053" si="3290">(J3053/60/60/24)+DATE(1970,1,1)</f>
        <v>42744.416030092587</v>
      </c>
      <c r="L3053" s="11">
        <f t="shared" si="3244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3245"/>
        <v>23.62857142857143</v>
      </c>
      <c r="R3053" s="7">
        <f t="shared" si="3246"/>
        <v>23.62857142857143</v>
      </c>
      <c r="S3053" t="str">
        <f t="shared" si="3247"/>
        <v>theater</v>
      </c>
      <c r="T3053" t="str">
        <f t="shared" si="3248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ref="K3054:L3054" si="3291">(J3054/60/60/24)+DATE(1970,1,1)</f>
        <v>42122.670069444444</v>
      </c>
      <c r="L3054" s="11">
        <f t="shared" si="3244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3245"/>
        <v>0.15</v>
      </c>
      <c r="R3054" s="7">
        <f t="shared" si="3246"/>
        <v>37.5</v>
      </c>
      <c r="S3054" t="str">
        <f t="shared" si="3247"/>
        <v>theater</v>
      </c>
      <c r="T3054" t="str">
        <f t="shared" si="3248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ref="K3055:L3055" si="3292">(J3055/60/60/24)+DATE(1970,1,1)</f>
        <v>41862.761724537035</v>
      </c>
      <c r="L3055" s="11">
        <f t="shared" si="3244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3245"/>
        <v>0.4</v>
      </c>
      <c r="R3055" s="7">
        <f t="shared" si="3246"/>
        <v>13.333333333333334</v>
      </c>
      <c r="S3055" t="str">
        <f t="shared" si="3247"/>
        <v>theater</v>
      </c>
      <c r="T3055" t="str">
        <f t="shared" si="3248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ref="K3056:L3056" si="3293">(J3056/60/60/24)+DATE(1970,1,1)</f>
        <v>42027.832800925928</v>
      </c>
      <c r="L3056" s="11">
        <f t="shared" si="3244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3245"/>
        <v>0</v>
      </c>
      <c r="R3056" s="7">
        <f t="shared" si="3246"/>
        <v>0</v>
      </c>
      <c r="S3056" t="str">
        <f t="shared" si="3247"/>
        <v>theater</v>
      </c>
      <c r="T3056" t="str">
        <f t="shared" si="3248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ref="K3057:L3057" si="3294">(J3057/60/60/24)+DATE(1970,1,1)</f>
        <v>41953.95821759259</v>
      </c>
      <c r="L3057" s="11">
        <f t="shared" si="3244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3245"/>
        <v>5.0000000000000001E-3</v>
      </c>
      <c r="R3057" s="7">
        <f t="shared" si="3246"/>
        <v>1</v>
      </c>
      <c r="S3057" t="str">
        <f t="shared" si="3247"/>
        <v>theater</v>
      </c>
      <c r="T3057" t="str">
        <f t="shared" si="3248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ref="K3058:L3058" si="3295">(J3058/60/60/24)+DATE(1970,1,1)</f>
        <v>41851.636388888888</v>
      </c>
      <c r="L3058" s="11">
        <f t="shared" si="3244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3245"/>
        <v>0</v>
      </c>
      <c r="R3058" s="7">
        <f t="shared" si="3246"/>
        <v>0</v>
      </c>
      <c r="S3058" t="str">
        <f t="shared" si="3247"/>
        <v>theater</v>
      </c>
      <c r="T3058" t="str">
        <f t="shared" si="3248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ref="K3059:L3059" si="3296">(J3059/60/60/24)+DATE(1970,1,1)</f>
        <v>42433.650590277779</v>
      </c>
      <c r="L3059" s="11">
        <f t="shared" si="3244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3245"/>
        <v>0</v>
      </c>
      <c r="R3059" s="7">
        <f t="shared" si="3246"/>
        <v>0</v>
      </c>
      <c r="S3059" t="str">
        <f t="shared" si="3247"/>
        <v>theater</v>
      </c>
      <c r="T3059" t="str">
        <f t="shared" si="3248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ref="K3060:L3060" si="3297">(J3060/60/60/24)+DATE(1970,1,1)</f>
        <v>42460.374305555553</v>
      </c>
      <c r="L3060" s="11">
        <f t="shared" si="3244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3245"/>
        <v>1.6666666666666666E-2</v>
      </c>
      <c r="R3060" s="7">
        <f t="shared" si="3246"/>
        <v>1</v>
      </c>
      <c r="S3060" t="str">
        <f t="shared" si="3247"/>
        <v>theater</v>
      </c>
      <c r="T3060" t="str">
        <f t="shared" si="3248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ref="K3061:L3061" si="3298">(J3061/60/60/24)+DATE(1970,1,1)</f>
        <v>41829.935717592591</v>
      </c>
      <c r="L3061" s="11">
        <f t="shared" si="3244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3245"/>
        <v>3.0066666666666664</v>
      </c>
      <c r="R3061" s="7">
        <f t="shared" si="3246"/>
        <v>41</v>
      </c>
      <c r="S3061" t="str">
        <f t="shared" si="3247"/>
        <v>theater</v>
      </c>
      <c r="T3061" t="str">
        <f t="shared" si="3248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ref="K3062:L3062" si="3299">(J3062/60/60/24)+DATE(1970,1,1)</f>
        <v>42245.274699074071</v>
      </c>
      <c r="L3062" s="11">
        <f t="shared" si="3244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3245"/>
        <v>0.15227272727272728</v>
      </c>
      <c r="R3062" s="7">
        <f t="shared" si="3246"/>
        <v>55.833333333333336</v>
      </c>
      <c r="S3062" t="str">
        <f t="shared" si="3247"/>
        <v>theater</v>
      </c>
      <c r="T3062" t="str">
        <f t="shared" si="3248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ref="K3063:L3063" si="3300">(J3063/60/60/24)+DATE(1970,1,1)</f>
        <v>41834.784120370372</v>
      </c>
      <c r="L3063" s="11">
        <f t="shared" si="3244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3245"/>
        <v>0</v>
      </c>
      <c r="R3063" s="7">
        <f t="shared" si="3246"/>
        <v>0</v>
      </c>
      <c r="S3063" t="str">
        <f t="shared" si="3247"/>
        <v>theater</v>
      </c>
      <c r="T3063" t="str">
        <f t="shared" si="3248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ref="K3064:L3064" si="3301">(J3064/60/60/24)+DATE(1970,1,1)</f>
        <v>42248.535787037035</v>
      </c>
      <c r="L3064" s="11">
        <f t="shared" si="3244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3245"/>
        <v>66.84</v>
      </c>
      <c r="R3064" s="7">
        <f t="shared" si="3246"/>
        <v>99.761194029850742</v>
      </c>
      <c r="S3064" t="str">
        <f t="shared" si="3247"/>
        <v>theater</v>
      </c>
      <c r="T3064" t="str">
        <f t="shared" si="3248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ref="K3065:L3065" si="3302">(J3065/60/60/24)+DATE(1970,1,1)</f>
        <v>42630.922893518517</v>
      </c>
      <c r="L3065" s="11">
        <f t="shared" si="3244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3245"/>
        <v>19.566666666666666</v>
      </c>
      <c r="R3065" s="7">
        <f t="shared" si="3246"/>
        <v>25.521739130434781</v>
      </c>
      <c r="S3065" t="str">
        <f t="shared" si="3247"/>
        <v>theater</v>
      </c>
      <c r="T3065" t="str">
        <f t="shared" si="3248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ref="K3066:L3066" si="3303">(J3066/60/60/24)+DATE(1970,1,1)</f>
        <v>42299.130162037036</v>
      </c>
      <c r="L3066" s="11">
        <f t="shared" si="3244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3245"/>
        <v>11.294666666666666</v>
      </c>
      <c r="R3066" s="7">
        <f t="shared" si="3246"/>
        <v>117.65277777777777</v>
      </c>
      <c r="S3066" t="str">
        <f t="shared" si="3247"/>
        <v>theater</v>
      </c>
      <c r="T3066" t="str">
        <f t="shared" si="3248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ref="K3067:L3067" si="3304">(J3067/60/60/24)+DATE(1970,1,1)</f>
        <v>41825.055231481485</v>
      </c>
      <c r="L3067" s="11">
        <f t="shared" si="3244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3245"/>
        <v>0.04</v>
      </c>
      <c r="R3067" s="7">
        <f t="shared" si="3246"/>
        <v>5</v>
      </c>
      <c r="S3067" t="str">
        <f t="shared" si="3247"/>
        <v>theater</v>
      </c>
      <c r="T3067" t="str">
        <f t="shared" si="3248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ref="K3068:L3068" si="3305">(J3068/60/60/24)+DATE(1970,1,1)</f>
        <v>42531.228437500002</v>
      </c>
      <c r="L3068" s="11">
        <f t="shared" si="3244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3245"/>
        <v>11.985714285714286</v>
      </c>
      <c r="R3068" s="7">
        <f t="shared" si="3246"/>
        <v>2796.6666666666665</v>
      </c>
      <c r="S3068" t="str">
        <f t="shared" si="3247"/>
        <v>theater</v>
      </c>
      <c r="T3068" t="str">
        <f t="shared" si="3248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ref="K3069:L3069" si="3306">(J3069/60/60/24)+DATE(1970,1,1)</f>
        <v>42226.938414351855</v>
      </c>
      <c r="L3069" s="11">
        <f t="shared" si="3244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3245"/>
        <v>2.5</v>
      </c>
      <c r="R3069" s="7">
        <f t="shared" si="3246"/>
        <v>200</v>
      </c>
      <c r="S3069" t="str">
        <f t="shared" si="3247"/>
        <v>theater</v>
      </c>
      <c r="T3069" t="str">
        <f t="shared" si="3248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ref="K3070:L3070" si="3307">(J3070/60/60/24)+DATE(1970,1,1)</f>
        <v>42263.691574074073</v>
      </c>
      <c r="L3070" s="11">
        <f t="shared" si="3244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3245"/>
        <v>6.9999999999999993E-2</v>
      </c>
      <c r="R3070" s="7">
        <f t="shared" si="3246"/>
        <v>87.5</v>
      </c>
      <c r="S3070" t="str">
        <f t="shared" si="3247"/>
        <v>theater</v>
      </c>
      <c r="T3070" t="str">
        <f t="shared" si="3248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ref="K3071:L3071" si="3308">(J3071/60/60/24)+DATE(1970,1,1)</f>
        <v>41957.833726851852</v>
      </c>
      <c r="L3071" s="11">
        <f t="shared" si="3244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3245"/>
        <v>14.099999999999998</v>
      </c>
      <c r="R3071" s="7">
        <f t="shared" si="3246"/>
        <v>20.142857142857142</v>
      </c>
      <c r="S3071" t="str">
        <f t="shared" si="3247"/>
        <v>theater</v>
      </c>
      <c r="T3071" t="str">
        <f t="shared" si="3248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ref="K3072:L3072" si="3309">(J3072/60/60/24)+DATE(1970,1,1)</f>
        <v>42690.733437499999</v>
      </c>
      <c r="L3072" s="11">
        <f t="shared" si="3244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3245"/>
        <v>3.34</v>
      </c>
      <c r="R3072" s="7">
        <f t="shared" si="3246"/>
        <v>20.875</v>
      </c>
      <c r="S3072" t="str">
        <f t="shared" si="3247"/>
        <v>theater</v>
      </c>
      <c r="T3072" t="str">
        <f t="shared" si="3248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ref="K3073:L3073" si="3310">(J3073/60/60/24)+DATE(1970,1,1)</f>
        <v>42097.732418981483</v>
      </c>
      <c r="L3073" s="11">
        <f t="shared" si="3244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3245"/>
        <v>59.774999999999999</v>
      </c>
      <c r="R3073" s="7">
        <f t="shared" si="3246"/>
        <v>61.307692307692307</v>
      </c>
      <c r="S3073" t="str">
        <f t="shared" si="3247"/>
        <v>theater</v>
      </c>
      <c r="T3073" t="str">
        <f t="shared" si="3248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ref="K3074:L3074" si="3311">(J3074/60/60/24)+DATE(1970,1,1)</f>
        <v>42658.690532407403</v>
      </c>
      <c r="L3074" s="11">
        <f t="shared" si="3244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3245"/>
        <v>1.6666666666666666E-2</v>
      </c>
      <c r="R3074" s="7">
        <f t="shared" si="3246"/>
        <v>1</v>
      </c>
      <c r="S3074" t="str">
        <f t="shared" si="3247"/>
        <v>theater</v>
      </c>
      <c r="T3074" t="str">
        <f t="shared" si="3248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ref="K3075:L3075" si="3312">(J3075/60/60/24)+DATE(1970,1,1)</f>
        <v>42111.684027777781</v>
      </c>
      <c r="L3075" s="11">
        <f t="shared" ref="L3075:L3138" si="3313">(I3075/60/60/24)+DATE(1970,1,1)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3314">(E3075/D3075)*100</f>
        <v>2.3035714285714284E-2</v>
      </c>
      <c r="R3075" s="7">
        <f t="shared" ref="R3075:R3138" si="3315">IFERROR(E3075/N3075, 0)</f>
        <v>92.142857142857139</v>
      </c>
      <c r="S3075" t="str">
        <f t="shared" ref="S3075:S3138" si="3316">LEFT(P3075, SEARCH("/", P3075,1)-1)</f>
        <v>theater</v>
      </c>
      <c r="T3075" t="str">
        <f t="shared" ref="T3075:T3138" si="3317">RIGHT(P3075,LEN(P3075)-SEARCH("/",P3075,SEARCH("/",P3075)))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ref="K3076:L3076" si="3318">(J3076/60/60/24)+DATE(1970,1,1)</f>
        <v>42409.571284722217</v>
      </c>
      <c r="L3076" s="11">
        <f t="shared" si="331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3314"/>
        <v>8.8000000000000009E-2</v>
      </c>
      <c r="R3076" s="7">
        <f t="shared" si="3315"/>
        <v>7.333333333333333</v>
      </c>
      <c r="S3076" t="str">
        <f t="shared" si="3316"/>
        <v>theater</v>
      </c>
      <c r="T3076" t="str">
        <f t="shared" si="3317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ref="K3077:L3077" si="3319">(J3077/60/60/24)+DATE(1970,1,1)</f>
        <v>42551.102314814809</v>
      </c>
      <c r="L3077" s="11">
        <f t="shared" si="331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3314"/>
        <v>8.64</v>
      </c>
      <c r="R3077" s="7">
        <f t="shared" si="3315"/>
        <v>64.8</v>
      </c>
      <c r="S3077" t="str">
        <f t="shared" si="3316"/>
        <v>theater</v>
      </c>
      <c r="T3077" t="str">
        <f t="shared" si="3317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ref="K3078:L3078" si="3320">(J3078/60/60/24)+DATE(1970,1,1)</f>
        <v>42226.651886574073</v>
      </c>
      <c r="L3078" s="11">
        <f t="shared" si="331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3314"/>
        <v>15.06</v>
      </c>
      <c r="R3078" s="7">
        <f t="shared" si="3315"/>
        <v>30.12</v>
      </c>
      <c r="S3078" t="str">
        <f t="shared" si="3316"/>
        <v>theater</v>
      </c>
      <c r="T3078" t="str">
        <f t="shared" si="3317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ref="K3079:L3079" si="3321">(J3079/60/60/24)+DATE(1970,1,1)</f>
        <v>42766.956921296296</v>
      </c>
      <c r="L3079" s="11">
        <f t="shared" si="331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3314"/>
        <v>0.47727272727272729</v>
      </c>
      <c r="R3079" s="7">
        <f t="shared" si="3315"/>
        <v>52.5</v>
      </c>
      <c r="S3079" t="str">
        <f t="shared" si="3316"/>
        <v>theater</v>
      </c>
      <c r="T3079" t="str">
        <f t="shared" si="3317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ref="K3080:L3080" si="3322">(J3080/60/60/24)+DATE(1970,1,1)</f>
        <v>42031.138831018514</v>
      </c>
      <c r="L3080" s="11">
        <f t="shared" si="331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3314"/>
        <v>0.11833333333333333</v>
      </c>
      <c r="R3080" s="7">
        <f t="shared" si="3315"/>
        <v>23.666666666666668</v>
      </c>
      <c r="S3080" t="str">
        <f t="shared" si="3316"/>
        <v>theater</v>
      </c>
      <c r="T3080" t="str">
        <f t="shared" si="3317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ref="K3081:L3081" si="3323">(J3081/60/60/24)+DATE(1970,1,1)</f>
        <v>42055.713368055556</v>
      </c>
      <c r="L3081" s="11">
        <f t="shared" si="331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3314"/>
        <v>0.8417399858735245</v>
      </c>
      <c r="R3081" s="7">
        <f t="shared" si="3315"/>
        <v>415.77777777777777</v>
      </c>
      <c r="S3081" t="str">
        <f t="shared" si="3316"/>
        <v>theater</v>
      </c>
      <c r="T3081" t="str">
        <f t="shared" si="3317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ref="K3082:L3082" si="3324">(J3082/60/60/24)+DATE(1970,1,1)</f>
        <v>41940.028287037036</v>
      </c>
      <c r="L3082" s="11">
        <f t="shared" si="331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3314"/>
        <v>1.8799999999999997E-2</v>
      </c>
      <c r="R3082" s="7">
        <f t="shared" si="3315"/>
        <v>53.714285714285715</v>
      </c>
      <c r="S3082" t="str">
        <f t="shared" si="3316"/>
        <v>theater</v>
      </c>
      <c r="T3082" t="str">
        <f t="shared" si="3317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ref="K3083:L3083" si="3325">(J3083/60/60/24)+DATE(1970,1,1)</f>
        <v>42237.181608796294</v>
      </c>
      <c r="L3083" s="11">
        <f t="shared" si="331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3314"/>
        <v>0.21029999999999999</v>
      </c>
      <c r="R3083" s="7">
        <f t="shared" si="3315"/>
        <v>420.6</v>
      </c>
      <c r="S3083" t="str">
        <f t="shared" si="3316"/>
        <v>theater</v>
      </c>
      <c r="T3083" t="str">
        <f t="shared" si="3317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ref="K3084:L3084" si="3326">(J3084/60/60/24)+DATE(1970,1,1)</f>
        <v>42293.922986111109</v>
      </c>
      <c r="L3084" s="11">
        <f t="shared" si="331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3314"/>
        <v>0</v>
      </c>
      <c r="R3084" s="7">
        <f t="shared" si="3315"/>
        <v>0</v>
      </c>
      <c r="S3084" t="str">
        <f t="shared" si="3316"/>
        <v>theater</v>
      </c>
      <c r="T3084" t="str">
        <f t="shared" si="3317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ref="K3085:L3085" si="3327">(J3085/60/60/24)+DATE(1970,1,1)</f>
        <v>41853.563402777778</v>
      </c>
      <c r="L3085" s="11">
        <f t="shared" si="331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3314"/>
        <v>0.27999999999999997</v>
      </c>
      <c r="R3085" s="7">
        <f t="shared" si="3315"/>
        <v>18.666666666666668</v>
      </c>
      <c r="S3085" t="str">
        <f t="shared" si="3316"/>
        <v>theater</v>
      </c>
      <c r="T3085" t="str">
        <f t="shared" si="3317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ref="K3086:L3086" si="3328">(J3086/60/60/24)+DATE(1970,1,1)</f>
        <v>42100.723738425921</v>
      </c>
      <c r="L3086" s="11">
        <f t="shared" si="331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3314"/>
        <v>11.57920670115792</v>
      </c>
      <c r="R3086" s="7">
        <f t="shared" si="3315"/>
        <v>78.333333333333329</v>
      </c>
      <c r="S3086" t="str">
        <f t="shared" si="3316"/>
        <v>theater</v>
      </c>
      <c r="T3086" t="str">
        <f t="shared" si="3317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ref="K3087:L3087" si="3329">(J3087/60/60/24)+DATE(1970,1,1)</f>
        <v>42246.883784722217</v>
      </c>
      <c r="L3087" s="11">
        <f t="shared" si="331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3314"/>
        <v>2.44</v>
      </c>
      <c r="R3087" s="7">
        <f t="shared" si="3315"/>
        <v>67.777777777777771</v>
      </c>
      <c r="S3087" t="str">
        <f t="shared" si="3316"/>
        <v>theater</v>
      </c>
      <c r="T3087" t="str">
        <f t="shared" si="3317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ref="K3088:L3088" si="3330">(J3088/60/60/24)+DATE(1970,1,1)</f>
        <v>42173.67082175926</v>
      </c>
      <c r="L3088" s="11">
        <f t="shared" si="331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3314"/>
        <v>0.25</v>
      </c>
      <c r="R3088" s="7">
        <f t="shared" si="3315"/>
        <v>16.666666666666668</v>
      </c>
      <c r="S3088" t="str">
        <f t="shared" si="3316"/>
        <v>theater</v>
      </c>
      <c r="T3088" t="str">
        <f t="shared" si="3317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ref="K3089:L3089" si="3331">(J3089/60/60/24)+DATE(1970,1,1)</f>
        <v>42665.150347222225</v>
      </c>
      <c r="L3089" s="11">
        <f t="shared" si="331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3314"/>
        <v>0.625</v>
      </c>
      <c r="R3089" s="7">
        <f t="shared" si="3315"/>
        <v>62.5</v>
      </c>
      <c r="S3089" t="str">
        <f t="shared" si="3316"/>
        <v>theater</v>
      </c>
      <c r="T3089" t="str">
        <f t="shared" si="3317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ref="K3090:L3090" si="3332">(J3090/60/60/24)+DATE(1970,1,1)</f>
        <v>41981.57230324074</v>
      </c>
      <c r="L3090" s="11">
        <f t="shared" si="331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3314"/>
        <v>0.19384615384615383</v>
      </c>
      <c r="R3090" s="7">
        <f t="shared" si="3315"/>
        <v>42</v>
      </c>
      <c r="S3090" t="str">
        <f t="shared" si="3316"/>
        <v>theater</v>
      </c>
      <c r="T3090" t="str">
        <f t="shared" si="3317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ref="K3091:L3091" si="3333">(J3091/60/60/24)+DATE(1970,1,1)</f>
        <v>42528.542627314819</v>
      </c>
      <c r="L3091" s="11">
        <f t="shared" si="331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3314"/>
        <v>23.416</v>
      </c>
      <c r="R3091" s="7">
        <f t="shared" si="3315"/>
        <v>130.0888888888889</v>
      </c>
      <c r="S3091" t="str">
        <f t="shared" si="3316"/>
        <v>theater</v>
      </c>
      <c r="T3091" t="str">
        <f t="shared" si="3317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ref="K3092:L3092" si="3334">(J3092/60/60/24)+DATE(1970,1,1)</f>
        <v>42065.818807870368</v>
      </c>
      <c r="L3092" s="11">
        <f t="shared" si="331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3314"/>
        <v>5.0808888888888886</v>
      </c>
      <c r="R3092" s="7">
        <f t="shared" si="3315"/>
        <v>1270.2222222222222</v>
      </c>
      <c r="S3092" t="str">
        <f t="shared" si="3316"/>
        <v>theater</v>
      </c>
      <c r="T3092" t="str">
        <f t="shared" si="3317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ref="K3093:L3093" si="3335">(J3093/60/60/24)+DATE(1970,1,1)</f>
        <v>42566.948414351849</v>
      </c>
      <c r="L3093" s="11">
        <f t="shared" si="331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3314"/>
        <v>15.920000000000002</v>
      </c>
      <c r="R3093" s="7">
        <f t="shared" si="3315"/>
        <v>88.444444444444443</v>
      </c>
      <c r="S3093" t="str">
        <f t="shared" si="3316"/>
        <v>theater</v>
      </c>
      <c r="T3093" t="str">
        <f t="shared" si="3317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ref="K3094:L3094" si="3336">(J3094/60/60/24)+DATE(1970,1,1)</f>
        <v>42255.619351851856</v>
      </c>
      <c r="L3094" s="11">
        <f t="shared" si="331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3314"/>
        <v>1.1831900000000002</v>
      </c>
      <c r="R3094" s="7">
        <f t="shared" si="3315"/>
        <v>56.342380952380957</v>
      </c>
      <c r="S3094" t="str">
        <f t="shared" si="3316"/>
        <v>theater</v>
      </c>
      <c r="T3094" t="str">
        <f t="shared" si="3317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ref="K3095:L3095" si="3337">(J3095/60/60/24)+DATE(1970,1,1)</f>
        <v>41760.909039351849</v>
      </c>
      <c r="L3095" s="11">
        <f t="shared" si="331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3314"/>
        <v>22.75</v>
      </c>
      <c r="R3095" s="7">
        <f t="shared" si="3315"/>
        <v>53.529411764705884</v>
      </c>
      <c r="S3095" t="str">
        <f t="shared" si="3316"/>
        <v>theater</v>
      </c>
      <c r="T3095" t="str">
        <f t="shared" si="3317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ref="K3096:L3096" si="3338">(J3096/60/60/24)+DATE(1970,1,1)</f>
        <v>42207.795787037037</v>
      </c>
      <c r="L3096" s="11">
        <f t="shared" si="331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3314"/>
        <v>2.5000000000000001E-2</v>
      </c>
      <c r="R3096" s="7">
        <f t="shared" si="3315"/>
        <v>25</v>
      </c>
      <c r="S3096" t="str">
        <f t="shared" si="3316"/>
        <v>theater</v>
      </c>
      <c r="T3096" t="str">
        <f t="shared" si="3317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ref="K3097:L3097" si="3339">(J3097/60/60/24)+DATE(1970,1,1)</f>
        <v>42523.025231481486</v>
      </c>
      <c r="L3097" s="11">
        <f t="shared" si="331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3314"/>
        <v>0.33512064343163539</v>
      </c>
      <c r="R3097" s="7">
        <f t="shared" si="3315"/>
        <v>50</v>
      </c>
      <c r="S3097" t="str">
        <f t="shared" si="3316"/>
        <v>theater</v>
      </c>
      <c r="T3097" t="str">
        <f t="shared" si="3317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ref="K3098:L3098" si="3340">(J3098/60/60/24)+DATE(1970,1,1)</f>
        <v>42114.825532407413</v>
      </c>
      <c r="L3098" s="11">
        <f t="shared" si="331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3314"/>
        <v>3.9750000000000001</v>
      </c>
      <c r="R3098" s="7">
        <f t="shared" si="3315"/>
        <v>56.785714285714285</v>
      </c>
      <c r="S3098" t="str">
        <f t="shared" si="3316"/>
        <v>theater</v>
      </c>
      <c r="T3098" t="str">
        <f t="shared" si="3317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ref="K3099:L3099" si="3341">(J3099/60/60/24)+DATE(1970,1,1)</f>
        <v>42629.503483796296</v>
      </c>
      <c r="L3099" s="11">
        <f t="shared" si="331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3314"/>
        <v>17.150000000000002</v>
      </c>
      <c r="R3099" s="7">
        <f t="shared" si="3315"/>
        <v>40.833333333333336</v>
      </c>
      <c r="S3099" t="str">
        <f t="shared" si="3316"/>
        <v>theater</v>
      </c>
      <c r="T3099" t="str">
        <f t="shared" si="3317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ref="K3100:L3100" si="3342">(J3100/60/60/24)+DATE(1970,1,1)</f>
        <v>42359.792233796295</v>
      </c>
      <c r="L3100" s="11">
        <f t="shared" si="331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3314"/>
        <v>3.6080041046690612</v>
      </c>
      <c r="R3100" s="7">
        <f t="shared" si="3315"/>
        <v>65.111111111111114</v>
      </c>
      <c r="S3100" t="str">
        <f t="shared" si="3316"/>
        <v>theater</v>
      </c>
      <c r="T3100" t="str">
        <f t="shared" si="3317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ref="K3101:L3101" si="3343">(J3101/60/60/24)+DATE(1970,1,1)</f>
        <v>42382.189710648148</v>
      </c>
      <c r="L3101" s="11">
        <f t="shared" si="331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3314"/>
        <v>13.900000000000002</v>
      </c>
      <c r="R3101" s="7">
        <f t="shared" si="3315"/>
        <v>55.6</v>
      </c>
      <c r="S3101" t="str">
        <f t="shared" si="3316"/>
        <v>theater</v>
      </c>
      <c r="T3101" t="str">
        <f t="shared" si="3317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ref="K3102:L3102" si="3344">(J3102/60/60/24)+DATE(1970,1,1)</f>
        <v>41902.622395833336</v>
      </c>
      <c r="L3102" s="11">
        <f t="shared" si="331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3314"/>
        <v>15.225</v>
      </c>
      <c r="R3102" s="7">
        <f t="shared" si="3315"/>
        <v>140.53846153846155</v>
      </c>
      <c r="S3102" t="str">
        <f t="shared" si="3316"/>
        <v>theater</v>
      </c>
      <c r="T3102" t="str">
        <f t="shared" si="3317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ref="K3103:L3103" si="3345">(J3103/60/60/24)+DATE(1970,1,1)</f>
        <v>42171.383530092593</v>
      </c>
      <c r="L3103" s="11">
        <f t="shared" si="331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3314"/>
        <v>12</v>
      </c>
      <c r="R3103" s="7">
        <f t="shared" si="3315"/>
        <v>25</v>
      </c>
      <c r="S3103" t="str">
        <f t="shared" si="3316"/>
        <v>theater</v>
      </c>
      <c r="T3103" t="str">
        <f t="shared" si="3317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ref="K3104:L3104" si="3346">(J3104/60/60/24)+DATE(1970,1,1)</f>
        <v>42555.340486111112</v>
      </c>
      <c r="L3104" s="11">
        <f t="shared" si="331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3314"/>
        <v>39.112499999999997</v>
      </c>
      <c r="R3104" s="7">
        <f t="shared" si="3315"/>
        <v>69.533333333333331</v>
      </c>
      <c r="S3104" t="str">
        <f t="shared" si="3316"/>
        <v>theater</v>
      </c>
      <c r="T3104" t="str">
        <f t="shared" si="3317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ref="K3105:L3105" si="3347">(J3105/60/60/24)+DATE(1970,1,1)</f>
        <v>42107.156319444446</v>
      </c>
      <c r="L3105" s="11">
        <f t="shared" si="331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3314"/>
        <v>0.26829268292682928</v>
      </c>
      <c r="R3105" s="7">
        <f t="shared" si="3315"/>
        <v>5.5</v>
      </c>
      <c r="S3105" t="str">
        <f t="shared" si="3316"/>
        <v>theater</v>
      </c>
      <c r="T3105" t="str">
        <f t="shared" si="3317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ref="K3106:L3106" si="3348">(J3106/60/60/24)+DATE(1970,1,1)</f>
        <v>42006.908692129626</v>
      </c>
      <c r="L3106" s="11">
        <f t="shared" si="331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3314"/>
        <v>29.625</v>
      </c>
      <c r="R3106" s="7">
        <f t="shared" si="3315"/>
        <v>237</v>
      </c>
      <c r="S3106" t="str">
        <f t="shared" si="3316"/>
        <v>theater</v>
      </c>
      <c r="T3106" t="str">
        <f t="shared" si="3317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ref="K3107:L3107" si="3349">(J3107/60/60/24)+DATE(1970,1,1)</f>
        <v>41876.718935185185</v>
      </c>
      <c r="L3107" s="11">
        <f t="shared" si="331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3314"/>
        <v>42.360992301112063</v>
      </c>
      <c r="R3107" s="7">
        <f t="shared" si="3315"/>
        <v>79.870967741935488</v>
      </c>
      <c r="S3107" t="str">
        <f t="shared" si="3316"/>
        <v>theater</v>
      </c>
      <c r="T3107" t="str">
        <f t="shared" si="3317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ref="K3108:L3108" si="3350">(J3108/60/60/24)+DATE(1970,1,1)</f>
        <v>42241.429120370376</v>
      </c>
      <c r="L3108" s="11">
        <f t="shared" si="331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3314"/>
        <v>4.1000000000000005</v>
      </c>
      <c r="R3108" s="7">
        <f t="shared" si="3315"/>
        <v>10.25</v>
      </c>
      <c r="S3108" t="str">
        <f t="shared" si="3316"/>
        <v>theater</v>
      </c>
      <c r="T3108" t="str">
        <f t="shared" si="3317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ref="K3109:L3109" si="3351">(J3109/60/60/24)+DATE(1970,1,1)</f>
        <v>42128.814247685179</v>
      </c>
      <c r="L3109" s="11">
        <f t="shared" si="331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3314"/>
        <v>19.762499999999999</v>
      </c>
      <c r="R3109" s="7">
        <f t="shared" si="3315"/>
        <v>272.58620689655174</v>
      </c>
      <c r="S3109" t="str">
        <f t="shared" si="3316"/>
        <v>theater</v>
      </c>
      <c r="T3109" t="str">
        <f t="shared" si="3317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ref="K3110:L3110" si="3352">(J3110/60/60/24)+DATE(1970,1,1)</f>
        <v>42062.680486111116</v>
      </c>
      <c r="L3110" s="11">
        <f t="shared" si="331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3314"/>
        <v>5.1999999999999998E-2</v>
      </c>
      <c r="R3110" s="7">
        <f t="shared" si="3315"/>
        <v>13</v>
      </c>
      <c r="S3110" t="str">
        <f t="shared" si="3316"/>
        <v>theater</v>
      </c>
      <c r="T3110" t="str">
        <f t="shared" si="3317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ref="K3111:L3111" si="3353">(J3111/60/60/24)+DATE(1970,1,1)</f>
        <v>41844.125115740739</v>
      </c>
      <c r="L3111" s="11">
        <f t="shared" si="331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3314"/>
        <v>25.030188679245285</v>
      </c>
      <c r="R3111" s="7">
        <f t="shared" si="3315"/>
        <v>58.184210526315788</v>
      </c>
      <c r="S3111" t="str">
        <f t="shared" si="3316"/>
        <v>theater</v>
      </c>
      <c r="T3111" t="str">
        <f t="shared" si="3317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ref="K3112:L3112" si="3354">(J3112/60/60/24)+DATE(1970,1,1)</f>
        <v>42745.031469907408</v>
      </c>
      <c r="L3112" s="11">
        <f t="shared" si="331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3314"/>
        <v>0.04</v>
      </c>
      <c r="R3112" s="7">
        <f t="shared" si="3315"/>
        <v>10</v>
      </c>
      <c r="S3112" t="str">
        <f t="shared" si="3316"/>
        <v>theater</v>
      </c>
      <c r="T3112" t="str">
        <f t="shared" si="3317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ref="K3113:L3113" si="3355">(J3113/60/60/24)+DATE(1970,1,1)</f>
        <v>41885.595138888886</v>
      </c>
      <c r="L3113" s="11">
        <f t="shared" si="331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3314"/>
        <v>26.640000000000004</v>
      </c>
      <c r="R3113" s="7">
        <f t="shared" si="3315"/>
        <v>70.10526315789474</v>
      </c>
      <c r="S3113" t="str">
        <f t="shared" si="3316"/>
        <v>theater</v>
      </c>
      <c r="T3113" t="str">
        <f t="shared" si="3317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ref="K3114:L3114" si="3356">(J3114/60/60/24)+DATE(1970,1,1)</f>
        <v>42615.121921296297</v>
      </c>
      <c r="L3114" s="11">
        <f t="shared" si="331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3314"/>
        <v>4.7363636363636363</v>
      </c>
      <c r="R3114" s="7">
        <f t="shared" si="3315"/>
        <v>57.888888888888886</v>
      </c>
      <c r="S3114" t="str">
        <f t="shared" si="3316"/>
        <v>theater</v>
      </c>
      <c r="T3114" t="str">
        <f t="shared" si="3317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ref="K3115:L3115" si="3357">(J3115/60/60/24)+DATE(1970,1,1)</f>
        <v>42081.731273148151</v>
      </c>
      <c r="L3115" s="11">
        <f t="shared" si="331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3314"/>
        <v>4.2435339894712749</v>
      </c>
      <c r="R3115" s="7">
        <f t="shared" si="3315"/>
        <v>125.27027027027027</v>
      </c>
      <c r="S3115" t="str">
        <f t="shared" si="3316"/>
        <v>theater</v>
      </c>
      <c r="T3115" t="str">
        <f t="shared" si="3317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ref="K3116:L3116" si="3358">(J3116/60/60/24)+DATE(1970,1,1)</f>
        <v>41843.632523148146</v>
      </c>
      <c r="L3116" s="11">
        <f t="shared" si="331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3314"/>
        <v>0</v>
      </c>
      <c r="R3116" s="7">
        <f t="shared" si="3315"/>
        <v>0</v>
      </c>
      <c r="S3116" t="str">
        <f t="shared" si="3316"/>
        <v>theater</v>
      </c>
      <c r="T3116" t="str">
        <f t="shared" si="3317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ref="K3117:L3117" si="3359">(J3117/60/60/24)+DATE(1970,1,1)</f>
        <v>42496.447071759263</v>
      </c>
      <c r="L3117" s="11">
        <f t="shared" si="331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3314"/>
        <v>3</v>
      </c>
      <c r="R3117" s="7">
        <f t="shared" si="3315"/>
        <v>300</v>
      </c>
      <c r="S3117" t="str">
        <f t="shared" si="3316"/>
        <v>theater</v>
      </c>
      <c r="T3117" t="str">
        <f t="shared" si="3317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ref="K3118:L3118" si="3360">(J3118/60/60/24)+DATE(1970,1,1)</f>
        <v>42081.515335648146</v>
      </c>
      <c r="L3118" s="11">
        <f t="shared" si="331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3314"/>
        <v>57.333333333333336</v>
      </c>
      <c r="R3118" s="7">
        <f t="shared" si="3315"/>
        <v>43</v>
      </c>
      <c r="S3118" t="str">
        <f t="shared" si="3316"/>
        <v>theater</v>
      </c>
      <c r="T3118" t="str">
        <f t="shared" si="3317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ref="K3119:L3119" si="3361">(J3119/60/60/24)+DATE(1970,1,1)</f>
        <v>42509.374537037031</v>
      </c>
      <c r="L3119" s="11">
        <f t="shared" si="3313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3314"/>
        <v>0.1</v>
      </c>
      <c r="R3119" s="7">
        <f t="shared" si="3315"/>
        <v>1</v>
      </c>
      <c r="S3119" t="str">
        <f t="shared" si="3316"/>
        <v>theater</v>
      </c>
      <c r="T3119" t="str">
        <f t="shared" si="3317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ref="K3120:L3120" si="3362">(J3120/60/60/24)+DATE(1970,1,1)</f>
        <v>42534.649571759262</v>
      </c>
      <c r="L3120" s="11">
        <f t="shared" si="331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3314"/>
        <v>0.31</v>
      </c>
      <c r="R3120" s="7">
        <f t="shared" si="3315"/>
        <v>775</v>
      </c>
      <c r="S3120" t="str">
        <f t="shared" si="3316"/>
        <v>theater</v>
      </c>
      <c r="T3120" t="str">
        <f t="shared" si="3317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ref="K3121:L3121" si="3363">(J3121/60/60/24)+DATE(1970,1,1)</f>
        <v>42060.04550925926</v>
      </c>
      <c r="L3121" s="11">
        <f t="shared" si="331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3314"/>
        <v>0.05</v>
      </c>
      <c r="R3121" s="7">
        <f t="shared" si="3315"/>
        <v>5</v>
      </c>
      <c r="S3121" t="str">
        <f t="shared" si="3316"/>
        <v>theater</v>
      </c>
      <c r="T3121" t="str">
        <f t="shared" si="3317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ref="K3122:L3122" si="3364">(J3122/60/60/24)+DATE(1970,1,1)</f>
        <v>42435.942083333335</v>
      </c>
      <c r="L3122" s="11">
        <f t="shared" si="331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3314"/>
        <v>9.8461538461538465E-3</v>
      </c>
      <c r="R3122" s="7">
        <f t="shared" si="3315"/>
        <v>12.8</v>
      </c>
      <c r="S3122" t="str">
        <f t="shared" si="3316"/>
        <v>theater</v>
      </c>
      <c r="T3122" t="str">
        <f t="shared" si="3317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ref="K3123:L3123" si="3365">(J3123/60/60/24)+DATE(1970,1,1)</f>
        <v>41848.679803240739</v>
      </c>
      <c r="L3123" s="11">
        <f t="shared" si="331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3314"/>
        <v>0.66666666666666674</v>
      </c>
      <c r="R3123" s="7">
        <f t="shared" si="3315"/>
        <v>10</v>
      </c>
      <c r="S3123" t="str">
        <f t="shared" si="3316"/>
        <v>theater</v>
      </c>
      <c r="T3123" t="str">
        <f t="shared" si="3317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ref="K3124:L3124" si="3366">(J3124/60/60/24)+DATE(1970,1,1)</f>
        <v>42678.932083333333</v>
      </c>
      <c r="L3124" s="11">
        <f t="shared" si="331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3314"/>
        <v>58.291457286432156</v>
      </c>
      <c r="R3124" s="7">
        <f t="shared" si="3315"/>
        <v>58</v>
      </c>
      <c r="S3124" t="str">
        <f t="shared" si="3316"/>
        <v>theater</v>
      </c>
      <c r="T3124" t="str">
        <f t="shared" si="3317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ref="K3125:L3125" si="3367">(J3125/60/60/24)+DATE(1970,1,1)</f>
        <v>42530.993032407408</v>
      </c>
      <c r="L3125" s="11">
        <f t="shared" si="331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3314"/>
        <v>68.153599999999997</v>
      </c>
      <c r="R3125" s="7">
        <f t="shared" si="3315"/>
        <v>244.80459770114942</v>
      </c>
      <c r="S3125" t="str">
        <f t="shared" si="3316"/>
        <v>theater</v>
      </c>
      <c r="T3125" t="str">
        <f t="shared" si="3317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ref="K3126:L3126" si="3368">(J3126/60/60/24)+DATE(1970,1,1)</f>
        <v>41977.780104166668</v>
      </c>
      <c r="L3126" s="11">
        <f t="shared" si="331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3314"/>
        <v>3.2499999999999999E-3</v>
      </c>
      <c r="R3126" s="7">
        <f t="shared" si="3315"/>
        <v>6.5</v>
      </c>
      <c r="S3126" t="str">
        <f t="shared" si="3316"/>
        <v>theater</v>
      </c>
      <c r="T3126" t="str">
        <f t="shared" si="3317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ref="K3127:L3127" si="3369">(J3127/60/60/24)+DATE(1970,1,1)</f>
        <v>42346.20685185185</v>
      </c>
      <c r="L3127" s="11">
        <f t="shared" si="331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3314"/>
        <v>0</v>
      </c>
      <c r="R3127" s="7">
        <f t="shared" si="3315"/>
        <v>0</v>
      </c>
      <c r="S3127" t="str">
        <f t="shared" si="3316"/>
        <v>theater</v>
      </c>
      <c r="T3127" t="str">
        <f t="shared" si="3317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ref="K3128:L3128" si="3370">(J3128/60/60/24)+DATE(1970,1,1)</f>
        <v>42427.01807870371</v>
      </c>
      <c r="L3128" s="11">
        <f t="shared" si="331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3314"/>
        <v>4.16</v>
      </c>
      <c r="R3128" s="7">
        <f t="shared" si="3315"/>
        <v>61.176470588235297</v>
      </c>
      <c r="S3128" t="str">
        <f t="shared" si="3316"/>
        <v>theater</v>
      </c>
      <c r="T3128" t="str">
        <f t="shared" si="3317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ref="K3129:L3129" si="3371">(J3129/60/60/24)+DATE(1970,1,1)</f>
        <v>42034.856817129628</v>
      </c>
      <c r="L3129" s="11">
        <f t="shared" si="331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3314"/>
        <v>0</v>
      </c>
      <c r="R3129" s="7">
        <f t="shared" si="3315"/>
        <v>0</v>
      </c>
      <c r="S3129" t="str">
        <f t="shared" si="3316"/>
        <v>theater</v>
      </c>
      <c r="T3129" t="str">
        <f t="shared" si="3317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ref="K3130:L3130" si="3372">(J3130/60/60/24)+DATE(1970,1,1)</f>
        <v>42780.825706018513</v>
      </c>
      <c r="L3130" s="11">
        <f t="shared" si="331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3314"/>
        <v>108.60666666666667</v>
      </c>
      <c r="R3130" s="7">
        <f t="shared" si="3315"/>
        <v>139.23931623931625</v>
      </c>
      <c r="S3130" t="str">
        <f t="shared" si="3316"/>
        <v>theater</v>
      </c>
      <c r="T3130" t="str">
        <f t="shared" si="3317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ref="K3131:L3131" si="3373">(J3131/60/60/24)+DATE(1970,1,1)</f>
        <v>42803.842812499999</v>
      </c>
      <c r="L3131" s="11">
        <f t="shared" si="331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3314"/>
        <v>0.8</v>
      </c>
      <c r="R3131" s="7">
        <f t="shared" si="3315"/>
        <v>10</v>
      </c>
      <c r="S3131" t="str">
        <f t="shared" si="3316"/>
        <v>theater</v>
      </c>
      <c r="T3131" t="str">
        <f t="shared" si="3317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ref="K3132:L3132" si="3374">(J3132/60/60/24)+DATE(1970,1,1)</f>
        <v>42808.640231481477</v>
      </c>
      <c r="L3132" s="11">
        <f t="shared" si="331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3314"/>
        <v>3.75</v>
      </c>
      <c r="R3132" s="7">
        <f t="shared" si="3315"/>
        <v>93.75</v>
      </c>
      <c r="S3132" t="str">
        <f t="shared" si="3316"/>
        <v>theater</v>
      </c>
      <c r="T3132" t="str">
        <f t="shared" si="3317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ref="K3133:L3133" si="3375">(J3133/60/60/24)+DATE(1970,1,1)</f>
        <v>42803.579224537039</v>
      </c>
      <c r="L3133" s="11">
        <f t="shared" si="331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3314"/>
        <v>15.731707317073171</v>
      </c>
      <c r="R3133" s="7">
        <f t="shared" si="3315"/>
        <v>53.75</v>
      </c>
      <c r="S3133" t="str">
        <f t="shared" si="3316"/>
        <v>theater</v>
      </c>
      <c r="T3133" t="str">
        <f t="shared" si="3317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ref="K3134:L3134" si="3376">(J3134/60/60/24)+DATE(1970,1,1)</f>
        <v>42786.350231481483</v>
      </c>
      <c r="L3134" s="11">
        <f t="shared" si="331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3314"/>
        <v>3.3333333333333333E-2</v>
      </c>
      <c r="R3134" s="7">
        <f t="shared" si="3315"/>
        <v>10</v>
      </c>
      <c r="S3134" t="str">
        <f t="shared" si="3316"/>
        <v>theater</v>
      </c>
      <c r="T3134" t="str">
        <f t="shared" si="3317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ref="K3135:L3135" si="3377">(J3135/60/60/24)+DATE(1970,1,1)</f>
        <v>42788.565208333333</v>
      </c>
      <c r="L3135" s="11">
        <f t="shared" si="331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3314"/>
        <v>108</v>
      </c>
      <c r="R3135" s="7">
        <f t="shared" si="3315"/>
        <v>33.75</v>
      </c>
      <c r="S3135" t="str">
        <f t="shared" si="3316"/>
        <v>theater</v>
      </c>
      <c r="T3135" t="str">
        <f t="shared" si="3317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ref="K3136:L3136" si="3378">(J3136/60/60/24)+DATE(1970,1,1)</f>
        <v>42800.720127314817</v>
      </c>
      <c r="L3136" s="11">
        <f t="shared" si="331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3314"/>
        <v>22.5</v>
      </c>
      <c r="R3136" s="7">
        <f t="shared" si="3315"/>
        <v>18.75</v>
      </c>
      <c r="S3136" t="str">
        <f t="shared" si="3316"/>
        <v>theater</v>
      </c>
      <c r="T3136" t="str">
        <f t="shared" si="3317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ref="K3137:L3137" si="3379">(J3137/60/60/24)+DATE(1970,1,1)</f>
        <v>42807.151863425926</v>
      </c>
      <c r="L3137" s="11">
        <f t="shared" si="331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3314"/>
        <v>20.849420849420849</v>
      </c>
      <c r="R3137" s="7">
        <f t="shared" si="3315"/>
        <v>23.142857142857142</v>
      </c>
      <c r="S3137" t="str">
        <f t="shared" si="3316"/>
        <v>theater</v>
      </c>
      <c r="T3137" t="str">
        <f t="shared" si="3317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ref="K3138:L3138" si="3380">(J3138/60/60/24)+DATE(1970,1,1)</f>
        <v>42789.462430555555</v>
      </c>
      <c r="L3138" s="11">
        <f t="shared" si="331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3314"/>
        <v>127.8</v>
      </c>
      <c r="R3138" s="7">
        <f t="shared" si="3315"/>
        <v>29.045454545454547</v>
      </c>
      <c r="S3138" t="str">
        <f t="shared" si="3316"/>
        <v>theater</v>
      </c>
      <c r="T3138" t="str">
        <f t="shared" si="3317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ref="K3139:L3139" si="3381">(J3139/60/60/24)+DATE(1970,1,1)</f>
        <v>42807.885057870371</v>
      </c>
      <c r="L3139" s="11">
        <f t="shared" ref="L3139:L3202" si="3382">(I3139/60/60/24)+DATE(1970,1,1)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3383">(E3139/D3139)*100</f>
        <v>3.3333333333333335</v>
      </c>
      <c r="R3139" s="7">
        <f t="shared" ref="R3139:R3202" si="3384">IFERROR(E3139/N3139, 0)</f>
        <v>50</v>
      </c>
      <c r="S3139" t="str">
        <f t="shared" ref="S3139:S3202" si="3385">LEFT(P3139, SEARCH("/", P3139,1)-1)</f>
        <v>theater</v>
      </c>
      <c r="T3139" t="str">
        <f t="shared" ref="T3139:T3202" si="3386">RIGHT(P3139,LEN(P3139)-SEARCH("/",P3139,SEARCH("/",P3139)))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ref="K3140:L3140" si="3387">(J3140/60/60/24)+DATE(1970,1,1)</f>
        <v>42809.645914351851</v>
      </c>
      <c r="L3140" s="11">
        <f t="shared" si="3382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3383"/>
        <v>0</v>
      </c>
      <c r="R3140" s="7">
        <f t="shared" si="3384"/>
        <v>0</v>
      </c>
      <c r="S3140" t="str">
        <f t="shared" si="3385"/>
        <v>theater</v>
      </c>
      <c r="T3140" t="str">
        <f t="shared" si="3386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ref="K3141:L3141" si="3388">(J3141/60/60/24)+DATE(1970,1,1)</f>
        <v>42785.270370370374</v>
      </c>
      <c r="L3141" s="11">
        <f t="shared" si="3382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3383"/>
        <v>5.4</v>
      </c>
      <c r="R3141" s="7">
        <f t="shared" si="3384"/>
        <v>450</v>
      </c>
      <c r="S3141" t="str">
        <f t="shared" si="3385"/>
        <v>theater</v>
      </c>
      <c r="T3141" t="str">
        <f t="shared" si="3386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ref="K3142:L3142" si="3389">(J3142/60/60/24)+DATE(1970,1,1)</f>
        <v>42802.718784722223</v>
      </c>
      <c r="L3142" s="11">
        <f t="shared" si="3382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3383"/>
        <v>0.96</v>
      </c>
      <c r="R3142" s="7">
        <f t="shared" si="3384"/>
        <v>24</v>
      </c>
      <c r="S3142" t="str">
        <f t="shared" si="3385"/>
        <v>theater</v>
      </c>
      <c r="T3142" t="str">
        <f t="shared" si="3386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ref="K3143:L3143" si="3390">(J3143/60/60/24)+DATE(1970,1,1)</f>
        <v>42800.753333333334</v>
      </c>
      <c r="L3143" s="11">
        <f t="shared" si="3382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3383"/>
        <v>51.6</v>
      </c>
      <c r="R3143" s="7">
        <f t="shared" si="3384"/>
        <v>32.25</v>
      </c>
      <c r="S3143" t="str">
        <f t="shared" si="3385"/>
        <v>theater</v>
      </c>
      <c r="T3143" t="str">
        <f t="shared" si="3386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ref="K3144:L3144" si="3391">(J3144/60/60/24)+DATE(1970,1,1)</f>
        <v>42783.513182870374</v>
      </c>
      <c r="L3144" s="11">
        <f t="shared" si="3382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3383"/>
        <v>1.6363636363636365</v>
      </c>
      <c r="R3144" s="7">
        <f t="shared" si="3384"/>
        <v>15</v>
      </c>
      <c r="S3144" t="str">
        <f t="shared" si="3385"/>
        <v>theater</v>
      </c>
      <c r="T3144" t="str">
        <f t="shared" si="3386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ref="K3145:L3145" si="3392">(J3145/60/60/24)+DATE(1970,1,1)</f>
        <v>42808.358287037037</v>
      </c>
      <c r="L3145" s="11">
        <f t="shared" si="3382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3383"/>
        <v>0</v>
      </c>
      <c r="R3145" s="7">
        <f t="shared" si="3384"/>
        <v>0</v>
      </c>
      <c r="S3145" t="str">
        <f t="shared" si="3385"/>
        <v>theater</v>
      </c>
      <c r="T3145" t="str">
        <f t="shared" si="3386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ref="K3146:L3146" si="3393">(J3146/60/60/24)+DATE(1970,1,1)</f>
        <v>42796.538275462968</v>
      </c>
      <c r="L3146" s="11">
        <f t="shared" si="3382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3383"/>
        <v>75.400000000000006</v>
      </c>
      <c r="R3146" s="7">
        <f t="shared" si="3384"/>
        <v>251.33333333333334</v>
      </c>
      <c r="S3146" t="str">
        <f t="shared" si="3385"/>
        <v>theater</v>
      </c>
      <c r="T3146" t="str">
        <f t="shared" si="3386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ref="K3147:L3147" si="3394">(J3147/60/60/24)+DATE(1970,1,1)</f>
        <v>42762.040902777779</v>
      </c>
      <c r="L3147" s="11">
        <f t="shared" si="3382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3383"/>
        <v>0</v>
      </c>
      <c r="R3147" s="7">
        <f t="shared" si="3384"/>
        <v>0</v>
      </c>
      <c r="S3147" t="str">
        <f t="shared" si="3385"/>
        <v>theater</v>
      </c>
      <c r="T3147" t="str">
        <f t="shared" si="3386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ref="K3148:L3148" si="3395">(J3148/60/60/24)+DATE(1970,1,1)</f>
        <v>42796.682476851856</v>
      </c>
      <c r="L3148" s="11">
        <f t="shared" si="3382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3383"/>
        <v>10.5</v>
      </c>
      <c r="R3148" s="7">
        <f t="shared" si="3384"/>
        <v>437.5</v>
      </c>
      <c r="S3148" t="str">
        <f t="shared" si="3385"/>
        <v>theater</v>
      </c>
      <c r="T3148" t="str">
        <f t="shared" si="3386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ref="K3149:L3149" si="3396">(J3149/60/60/24)+DATE(1970,1,1)</f>
        <v>41909.969386574077</v>
      </c>
      <c r="L3149" s="11">
        <f t="shared" si="3382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3383"/>
        <v>117.52499999999999</v>
      </c>
      <c r="R3149" s="7">
        <f t="shared" si="3384"/>
        <v>110.35211267605634</v>
      </c>
      <c r="S3149" t="str">
        <f t="shared" si="3385"/>
        <v>theater</v>
      </c>
      <c r="T3149" t="str">
        <f t="shared" si="3386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ref="K3150:L3150" si="3397">(J3150/60/60/24)+DATE(1970,1,1)</f>
        <v>41891.665324074071</v>
      </c>
      <c r="L3150" s="11">
        <f t="shared" si="3382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3383"/>
        <v>131.16666666666669</v>
      </c>
      <c r="R3150" s="7">
        <f t="shared" si="3384"/>
        <v>41.421052631578945</v>
      </c>
      <c r="S3150" t="str">
        <f t="shared" si="3385"/>
        <v>theater</v>
      </c>
      <c r="T3150" t="str">
        <f t="shared" si="3386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ref="K3151:L3151" si="3398">(J3151/60/60/24)+DATE(1970,1,1)</f>
        <v>41226.017361111109</v>
      </c>
      <c r="L3151" s="11">
        <f t="shared" si="3382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3383"/>
        <v>104</v>
      </c>
      <c r="R3151" s="7">
        <f t="shared" si="3384"/>
        <v>52</v>
      </c>
      <c r="S3151" t="str">
        <f t="shared" si="3385"/>
        <v>theater</v>
      </c>
      <c r="T3151" t="str">
        <f t="shared" si="3386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ref="K3152:L3152" si="3399">(J3152/60/60/24)+DATE(1970,1,1)</f>
        <v>40478.263923611114</v>
      </c>
      <c r="L3152" s="11">
        <f t="shared" si="3382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3383"/>
        <v>101</v>
      </c>
      <c r="R3152" s="7">
        <f t="shared" si="3384"/>
        <v>33.990384615384613</v>
      </c>
      <c r="S3152" t="str">
        <f t="shared" si="3385"/>
        <v>theater</v>
      </c>
      <c r="T3152" t="str">
        <f t="shared" si="3386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ref="K3153:L3153" si="3400">(J3153/60/60/24)+DATE(1970,1,1)</f>
        <v>41862.83997685185</v>
      </c>
      <c r="L3153" s="11">
        <f t="shared" si="3382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3383"/>
        <v>100.4</v>
      </c>
      <c r="R3153" s="7">
        <f t="shared" si="3384"/>
        <v>103.35294117647059</v>
      </c>
      <c r="S3153" t="str">
        <f t="shared" si="3385"/>
        <v>theater</v>
      </c>
      <c r="T3153" t="str">
        <f t="shared" si="3386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ref="K3154:L3154" si="3401">(J3154/60/60/24)+DATE(1970,1,1)</f>
        <v>41550.867673611108</v>
      </c>
      <c r="L3154" s="11">
        <f t="shared" si="3382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3383"/>
        <v>105.95454545454545</v>
      </c>
      <c r="R3154" s="7">
        <f t="shared" si="3384"/>
        <v>34.791044776119406</v>
      </c>
      <c r="S3154" t="str">
        <f t="shared" si="3385"/>
        <v>theater</v>
      </c>
      <c r="T3154" t="str">
        <f t="shared" si="3386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ref="K3155:L3155" si="3402">(J3155/60/60/24)+DATE(1970,1,1)</f>
        <v>40633.154363425929</v>
      </c>
      <c r="L3155" s="11">
        <f t="shared" si="3382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3383"/>
        <v>335.58333333333337</v>
      </c>
      <c r="R3155" s="7">
        <f t="shared" si="3384"/>
        <v>41.773858921161825</v>
      </c>
      <c r="S3155" t="str">
        <f t="shared" si="3385"/>
        <v>theater</v>
      </c>
      <c r="T3155" t="str">
        <f t="shared" si="3386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ref="K3156:L3156" si="3403">(J3156/60/60/24)+DATE(1970,1,1)</f>
        <v>40970.875671296293</v>
      </c>
      <c r="L3156" s="11">
        <f t="shared" si="3382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3383"/>
        <v>112.92857142857142</v>
      </c>
      <c r="R3156" s="7">
        <f t="shared" si="3384"/>
        <v>64.268292682926827</v>
      </c>
      <c r="S3156" t="str">
        <f t="shared" si="3385"/>
        <v>theater</v>
      </c>
      <c r="T3156" t="str">
        <f t="shared" si="3386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ref="K3157:L3157" si="3404">(J3157/60/60/24)+DATE(1970,1,1)</f>
        <v>41233.499131944445</v>
      </c>
      <c r="L3157" s="11">
        <f t="shared" si="3382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3383"/>
        <v>188.50460000000001</v>
      </c>
      <c r="R3157" s="7">
        <f t="shared" si="3384"/>
        <v>31.209370860927152</v>
      </c>
      <c r="S3157" t="str">
        <f t="shared" si="3385"/>
        <v>theater</v>
      </c>
      <c r="T3157" t="str">
        <f t="shared" si="3386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ref="K3158:L3158" si="3405">(J3158/60/60/24)+DATE(1970,1,1)</f>
        <v>41026.953055555554</v>
      </c>
      <c r="L3158" s="11">
        <f t="shared" si="3382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3383"/>
        <v>101.81818181818181</v>
      </c>
      <c r="R3158" s="7">
        <f t="shared" si="3384"/>
        <v>62.921348314606739</v>
      </c>
      <c r="S3158" t="str">
        <f t="shared" si="3385"/>
        <v>theater</v>
      </c>
      <c r="T3158" t="str">
        <f t="shared" si="3386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ref="K3159:L3159" si="3406">(J3159/60/60/24)+DATE(1970,1,1)</f>
        <v>41829.788252314815</v>
      </c>
      <c r="L3159" s="11">
        <f t="shared" si="3382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3383"/>
        <v>101</v>
      </c>
      <c r="R3159" s="7">
        <f t="shared" si="3384"/>
        <v>98.536585365853654</v>
      </c>
      <c r="S3159" t="str">
        <f t="shared" si="3385"/>
        <v>theater</v>
      </c>
      <c r="T3159" t="str">
        <f t="shared" si="3386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ref="K3160:L3160" si="3407">(J3160/60/60/24)+DATE(1970,1,1)</f>
        <v>41447.839722222219</v>
      </c>
      <c r="L3160" s="11">
        <f t="shared" si="3382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3383"/>
        <v>113.99999999999999</v>
      </c>
      <c r="R3160" s="7">
        <f t="shared" si="3384"/>
        <v>82.608695652173907</v>
      </c>
      <c r="S3160" t="str">
        <f t="shared" si="3385"/>
        <v>theater</v>
      </c>
      <c r="T3160" t="str">
        <f t="shared" si="3386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ref="K3161:L3161" si="3408">(J3161/60/60/24)+DATE(1970,1,1)</f>
        <v>40884.066678240742</v>
      </c>
      <c r="L3161" s="11">
        <f t="shared" si="3382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3383"/>
        <v>133.48133333333334</v>
      </c>
      <c r="R3161" s="7">
        <f t="shared" si="3384"/>
        <v>38.504230769230773</v>
      </c>
      <c r="S3161" t="str">
        <f t="shared" si="3385"/>
        <v>theater</v>
      </c>
      <c r="T3161" t="str">
        <f t="shared" si="3386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ref="K3162:L3162" si="3409">(J3162/60/60/24)+DATE(1970,1,1)</f>
        <v>41841.26489583333</v>
      </c>
      <c r="L3162" s="11">
        <f t="shared" si="3382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3383"/>
        <v>101.53333333333335</v>
      </c>
      <c r="R3162" s="7">
        <f t="shared" si="3384"/>
        <v>80.15789473684211</v>
      </c>
      <c r="S3162" t="str">
        <f t="shared" si="3385"/>
        <v>theater</v>
      </c>
      <c r="T3162" t="str">
        <f t="shared" si="3386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ref="K3163:L3163" si="3410">(J3163/60/60/24)+DATE(1970,1,1)</f>
        <v>41897.536134259259</v>
      </c>
      <c r="L3163" s="11">
        <f t="shared" si="3382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3383"/>
        <v>105.1</v>
      </c>
      <c r="R3163" s="7">
        <f t="shared" si="3384"/>
        <v>28.405405405405407</v>
      </c>
      <c r="S3163" t="str">
        <f t="shared" si="3385"/>
        <v>theater</v>
      </c>
      <c r="T3163" t="str">
        <f t="shared" si="3386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ref="K3164:L3164" si="3411">(J3164/60/60/24)+DATE(1970,1,1)</f>
        <v>41799.685902777775</v>
      </c>
      <c r="L3164" s="11">
        <f t="shared" si="3382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3383"/>
        <v>127.15</v>
      </c>
      <c r="R3164" s="7">
        <f t="shared" si="3384"/>
        <v>80.730158730158735</v>
      </c>
      <c r="S3164" t="str">
        <f t="shared" si="3385"/>
        <v>theater</v>
      </c>
      <c r="T3164" t="str">
        <f t="shared" si="3386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ref="K3165:L3165" si="3412">(J3165/60/60/24)+DATE(1970,1,1)</f>
        <v>41775.753761574073</v>
      </c>
      <c r="L3165" s="11">
        <f t="shared" si="3382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3383"/>
        <v>111.15384615384616</v>
      </c>
      <c r="R3165" s="7">
        <f t="shared" si="3384"/>
        <v>200.69444444444446</v>
      </c>
      <c r="S3165" t="str">
        <f t="shared" si="3385"/>
        <v>theater</v>
      </c>
      <c r="T3165" t="str">
        <f t="shared" si="3386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ref="K3166:L3166" si="3413">(J3166/60/60/24)+DATE(1970,1,1)</f>
        <v>41766.80572916667</v>
      </c>
      <c r="L3166" s="11">
        <f t="shared" si="3382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3383"/>
        <v>106.76</v>
      </c>
      <c r="R3166" s="7">
        <f t="shared" si="3384"/>
        <v>37.591549295774648</v>
      </c>
      <c r="S3166" t="str">
        <f t="shared" si="3385"/>
        <v>theater</v>
      </c>
      <c r="T3166" t="str">
        <f t="shared" si="3386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ref="K3167:L3167" si="3414">(J3167/60/60/24)+DATE(1970,1,1)</f>
        <v>40644.159259259257</v>
      </c>
      <c r="L3167" s="11">
        <f t="shared" si="3382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3383"/>
        <v>162.66666666666666</v>
      </c>
      <c r="R3167" s="7">
        <f t="shared" si="3384"/>
        <v>58.095238095238095</v>
      </c>
      <c r="S3167" t="str">
        <f t="shared" si="3385"/>
        <v>theater</v>
      </c>
      <c r="T3167" t="str">
        <f t="shared" si="3386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ref="K3168:L3168" si="3415">(J3168/60/60/24)+DATE(1970,1,1)</f>
        <v>41940.69158564815</v>
      </c>
      <c r="L3168" s="11">
        <f t="shared" si="3382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3383"/>
        <v>160.22808571428573</v>
      </c>
      <c r="R3168" s="7">
        <f t="shared" si="3384"/>
        <v>60.300892473118282</v>
      </c>
      <c r="S3168" t="str">
        <f t="shared" si="3385"/>
        <v>theater</v>
      </c>
      <c r="T3168" t="str">
        <f t="shared" si="3386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ref="K3169:L3169" si="3416">(J3169/60/60/24)+DATE(1970,1,1)</f>
        <v>41839.175706018519</v>
      </c>
      <c r="L3169" s="11">
        <f t="shared" si="3382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3383"/>
        <v>116.16666666666666</v>
      </c>
      <c r="R3169" s="7">
        <f t="shared" si="3384"/>
        <v>63.363636363636367</v>
      </c>
      <c r="S3169" t="str">
        <f t="shared" si="3385"/>
        <v>theater</v>
      </c>
      <c r="T3169" t="str">
        <f t="shared" si="3386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ref="K3170:L3170" si="3417">(J3170/60/60/24)+DATE(1970,1,1)</f>
        <v>41772.105937500004</v>
      </c>
      <c r="L3170" s="11">
        <f t="shared" si="3382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3383"/>
        <v>124.2</v>
      </c>
      <c r="R3170" s="7">
        <f t="shared" si="3384"/>
        <v>50.901639344262293</v>
      </c>
      <c r="S3170" t="str">
        <f t="shared" si="3385"/>
        <v>theater</v>
      </c>
      <c r="T3170" t="str">
        <f t="shared" si="3386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ref="K3171:L3171" si="3418">(J3171/60/60/24)+DATE(1970,1,1)</f>
        <v>41591.737974537034</v>
      </c>
      <c r="L3171" s="11">
        <f t="shared" si="3382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3383"/>
        <v>103.01249999999999</v>
      </c>
      <c r="R3171" s="7">
        <f t="shared" si="3384"/>
        <v>100.5</v>
      </c>
      <c r="S3171" t="str">
        <f t="shared" si="3385"/>
        <v>theater</v>
      </c>
      <c r="T3171" t="str">
        <f t="shared" si="3386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ref="K3172:L3172" si="3419">(J3172/60/60/24)+DATE(1970,1,1)</f>
        <v>41789.080370370371</v>
      </c>
      <c r="L3172" s="11">
        <f t="shared" si="3382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3383"/>
        <v>112.25</v>
      </c>
      <c r="R3172" s="7">
        <f t="shared" si="3384"/>
        <v>31.619718309859156</v>
      </c>
      <c r="S3172" t="str">
        <f t="shared" si="3385"/>
        <v>theater</v>
      </c>
      <c r="T3172" t="str">
        <f t="shared" si="3386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ref="K3173:L3173" si="3420">(J3173/60/60/24)+DATE(1970,1,1)</f>
        <v>42466.608310185184</v>
      </c>
      <c r="L3173" s="11">
        <f t="shared" si="3382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3383"/>
        <v>108.8142857142857</v>
      </c>
      <c r="R3173" s="7">
        <f t="shared" si="3384"/>
        <v>65.102564102564102</v>
      </c>
      <c r="S3173" t="str">
        <f t="shared" si="3385"/>
        <v>theater</v>
      </c>
      <c r="T3173" t="str">
        <f t="shared" si="3386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ref="K3174:L3174" si="3421">(J3174/60/60/24)+DATE(1970,1,1)</f>
        <v>40923.729953703703</v>
      </c>
      <c r="L3174" s="11">
        <f t="shared" si="3382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3383"/>
        <v>114.99999999999999</v>
      </c>
      <c r="R3174" s="7">
        <f t="shared" si="3384"/>
        <v>79.310344827586206</v>
      </c>
      <c r="S3174" t="str">
        <f t="shared" si="3385"/>
        <v>theater</v>
      </c>
      <c r="T3174" t="str">
        <f t="shared" si="3386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ref="K3175:L3175" si="3422">(J3175/60/60/24)+DATE(1970,1,1)</f>
        <v>41878.878379629627</v>
      </c>
      <c r="L3175" s="11">
        <f t="shared" si="3382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3383"/>
        <v>103</v>
      </c>
      <c r="R3175" s="7">
        <f t="shared" si="3384"/>
        <v>139.18918918918919</v>
      </c>
      <c r="S3175" t="str">
        <f t="shared" si="3385"/>
        <v>theater</v>
      </c>
      <c r="T3175" t="str">
        <f t="shared" si="3386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ref="K3176:L3176" si="3423">(J3176/60/60/24)+DATE(1970,1,1)</f>
        <v>41862.864675925928</v>
      </c>
      <c r="L3176" s="11">
        <f t="shared" si="3382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3383"/>
        <v>101.13333333333334</v>
      </c>
      <c r="R3176" s="7">
        <f t="shared" si="3384"/>
        <v>131.91304347826087</v>
      </c>
      <c r="S3176" t="str">
        <f t="shared" si="3385"/>
        <v>theater</v>
      </c>
      <c r="T3176" t="str">
        <f t="shared" si="3386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ref="K3177:L3177" si="3424">(J3177/60/60/24)+DATE(1970,1,1)</f>
        <v>40531.886886574073</v>
      </c>
      <c r="L3177" s="11">
        <f t="shared" si="3382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3383"/>
        <v>109.55999999999999</v>
      </c>
      <c r="R3177" s="7">
        <f t="shared" si="3384"/>
        <v>91.3</v>
      </c>
      <c r="S3177" t="str">
        <f t="shared" si="3385"/>
        <v>theater</v>
      </c>
      <c r="T3177" t="str">
        <f t="shared" si="3386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ref="K3178:L3178" si="3425">(J3178/60/60/24)+DATE(1970,1,1)</f>
        <v>41477.930914351848</v>
      </c>
      <c r="L3178" s="11">
        <f t="shared" si="3382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3383"/>
        <v>114.8421052631579</v>
      </c>
      <c r="R3178" s="7">
        <f t="shared" si="3384"/>
        <v>39.672727272727272</v>
      </c>
      <c r="S3178" t="str">
        <f t="shared" si="3385"/>
        <v>theater</v>
      </c>
      <c r="T3178" t="str">
        <f t="shared" si="3386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ref="K3179:L3179" si="3426">(J3179/60/60/24)+DATE(1970,1,1)</f>
        <v>41781.666770833333</v>
      </c>
      <c r="L3179" s="11">
        <f t="shared" si="3382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3383"/>
        <v>117.39999999999999</v>
      </c>
      <c r="R3179" s="7">
        <f t="shared" si="3384"/>
        <v>57.549019607843135</v>
      </c>
      <c r="S3179" t="str">
        <f t="shared" si="3385"/>
        <v>theater</v>
      </c>
      <c r="T3179" t="str">
        <f t="shared" si="3386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ref="K3180:L3180" si="3427">(J3180/60/60/24)+DATE(1970,1,1)</f>
        <v>41806.605034722219</v>
      </c>
      <c r="L3180" s="11">
        <f t="shared" si="3382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3383"/>
        <v>171.73333333333335</v>
      </c>
      <c r="R3180" s="7">
        <f t="shared" si="3384"/>
        <v>33.025641025641029</v>
      </c>
      <c r="S3180" t="str">
        <f t="shared" si="3385"/>
        <v>theater</v>
      </c>
      <c r="T3180" t="str">
        <f t="shared" si="3386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ref="K3181:L3181" si="3428">(J3181/60/60/24)+DATE(1970,1,1)</f>
        <v>41375.702210648145</v>
      </c>
      <c r="L3181" s="11">
        <f t="shared" si="3382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3383"/>
        <v>114.16238095238094</v>
      </c>
      <c r="R3181" s="7">
        <f t="shared" si="3384"/>
        <v>77.335806451612896</v>
      </c>
      <c r="S3181" t="str">
        <f t="shared" si="3385"/>
        <v>theater</v>
      </c>
      <c r="T3181" t="str">
        <f t="shared" si="3386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ref="K3182:L3182" si="3429">(J3182/60/60/24)+DATE(1970,1,1)</f>
        <v>41780.412604166668</v>
      </c>
      <c r="L3182" s="11">
        <f t="shared" si="3382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3383"/>
        <v>119.75</v>
      </c>
      <c r="R3182" s="7">
        <f t="shared" si="3384"/>
        <v>31.933333333333334</v>
      </c>
      <c r="S3182" t="str">
        <f t="shared" si="3385"/>
        <v>theater</v>
      </c>
      <c r="T3182" t="str">
        <f t="shared" si="3386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ref="K3183:L3183" si="3430">(J3183/60/60/24)+DATE(1970,1,1)</f>
        <v>41779.310034722221</v>
      </c>
      <c r="L3183" s="11">
        <f t="shared" si="3382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3383"/>
        <v>109.00000000000001</v>
      </c>
      <c r="R3183" s="7">
        <f t="shared" si="3384"/>
        <v>36.333333333333336</v>
      </c>
      <c r="S3183" t="str">
        <f t="shared" si="3385"/>
        <v>theater</v>
      </c>
      <c r="T3183" t="str">
        <f t="shared" si="3386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ref="K3184:L3184" si="3431">(J3184/60/60/24)+DATE(1970,1,1)</f>
        <v>40883.949317129627</v>
      </c>
      <c r="L3184" s="11">
        <f t="shared" si="3382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3383"/>
        <v>100.88571428571429</v>
      </c>
      <c r="R3184" s="7">
        <f t="shared" si="3384"/>
        <v>46.768211920529801</v>
      </c>
      <c r="S3184" t="str">
        <f t="shared" si="3385"/>
        <v>theater</v>
      </c>
      <c r="T3184" t="str">
        <f t="shared" si="3386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ref="K3185:L3185" si="3432">(J3185/60/60/24)+DATE(1970,1,1)</f>
        <v>41491.79478009259</v>
      </c>
      <c r="L3185" s="11">
        <f t="shared" si="3382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3383"/>
        <v>109.00000000000001</v>
      </c>
      <c r="R3185" s="7">
        <f t="shared" si="3384"/>
        <v>40.073529411764703</v>
      </c>
      <c r="S3185" t="str">
        <f t="shared" si="3385"/>
        <v>theater</v>
      </c>
      <c r="T3185" t="str">
        <f t="shared" si="3386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ref="K3186:L3186" si="3433">(J3186/60/60/24)+DATE(1970,1,1)</f>
        <v>41791.993414351848</v>
      </c>
      <c r="L3186" s="11">
        <f t="shared" si="3382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3383"/>
        <v>107.20930232558139</v>
      </c>
      <c r="R3186" s="7">
        <f t="shared" si="3384"/>
        <v>100.21739130434783</v>
      </c>
      <c r="S3186" t="str">
        <f t="shared" si="3385"/>
        <v>theater</v>
      </c>
      <c r="T3186" t="str">
        <f t="shared" si="3386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ref="K3187:L3187" si="3434">(J3187/60/60/24)+DATE(1970,1,1)</f>
        <v>41829.977326388893</v>
      </c>
      <c r="L3187" s="11">
        <f t="shared" si="3382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3383"/>
        <v>100</v>
      </c>
      <c r="R3187" s="7">
        <f t="shared" si="3384"/>
        <v>41.666666666666664</v>
      </c>
      <c r="S3187" t="str">
        <f t="shared" si="3385"/>
        <v>theater</v>
      </c>
      <c r="T3187" t="str">
        <f t="shared" si="3386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ref="K3188:L3188" si="3435">(J3188/60/60/24)+DATE(1970,1,1)</f>
        <v>41868.924050925925</v>
      </c>
      <c r="L3188" s="11">
        <f t="shared" si="3382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3383"/>
        <v>102.18750000000001</v>
      </c>
      <c r="R3188" s="7">
        <f t="shared" si="3384"/>
        <v>46.714285714285715</v>
      </c>
      <c r="S3188" t="str">
        <f t="shared" si="3385"/>
        <v>theater</v>
      </c>
      <c r="T3188" t="str">
        <f t="shared" si="3386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ref="K3189:L3189" si="3436">(J3189/60/60/24)+DATE(1970,1,1)</f>
        <v>41835.666354166664</v>
      </c>
      <c r="L3189" s="11">
        <f t="shared" si="3382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3383"/>
        <v>116.29333333333334</v>
      </c>
      <c r="R3189" s="7">
        <f t="shared" si="3384"/>
        <v>71.491803278688522</v>
      </c>
      <c r="S3189" t="str">
        <f t="shared" si="3385"/>
        <v>theater</v>
      </c>
      <c r="T3189" t="str">
        <f t="shared" si="3386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ref="K3190:L3190" si="3437">(J3190/60/60/24)+DATE(1970,1,1)</f>
        <v>42144.415532407409</v>
      </c>
      <c r="L3190" s="11">
        <f t="shared" si="3382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3383"/>
        <v>65</v>
      </c>
      <c r="R3190" s="7">
        <f t="shared" si="3384"/>
        <v>14.444444444444445</v>
      </c>
      <c r="S3190" t="str">
        <f t="shared" si="3385"/>
        <v>theater</v>
      </c>
      <c r="T3190" t="str">
        <f t="shared" si="3386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ref="K3191:L3191" si="3438">(J3191/60/60/24)+DATE(1970,1,1)</f>
        <v>42118.346435185187</v>
      </c>
      <c r="L3191" s="11">
        <f t="shared" si="3382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3383"/>
        <v>12.327272727272726</v>
      </c>
      <c r="R3191" s="7">
        <f t="shared" si="3384"/>
        <v>356.84210526315792</v>
      </c>
      <c r="S3191" t="str">
        <f t="shared" si="3385"/>
        <v>theater</v>
      </c>
      <c r="T3191" t="str">
        <f t="shared" si="3386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ref="K3192:L3192" si="3439">(J3192/60/60/24)+DATE(1970,1,1)</f>
        <v>42683.151331018518</v>
      </c>
      <c r="L3192" s="11">
        <f t="shared" si="3382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3383"/>
        <v>0</v>
      </c>
      <c r="R3192" s="7">
        <f t="shared" si="3384"/>
        <v>0</v>
      </c>
      <c r="S3192" t="str">
        <f t="shared" si="3385"/>
        <v>theater</v>
      </c>
      <c r="T3192" t="str">
        <f t="shared" si="3386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ref="K3193:L3193" si="3440">(J3193/60/60/24)+DATE(1970,1,1)</f>
        <v>42538.755428240736</v>
      </c>
      <c r="L3193" s="11">
        <f t="shared" si="3382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3383"/>
        <v>4.0266666666666664</v>
      </c>
      <c r="R3193" s="7">
        <f t="shared" si="3384"/>
        <v>37.75</v>
      </c>
      <c r="S3193" t="str">
        <f t="shared" si="3385"/>
        <v>theater</v>
      </c>
      <c r="T3193" t="str">
        <f t="shared" si="3386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ref="K3194:L3194" si="3441">(J3194/60/60/24)+DATE(1970,1,1)</f>
        <v>42018.94049768518</v>
      </c>
      <c r="L3194" s="11">
        <f t="shared" si="3382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3383"/>
        <v>1.02</v>
      </c>
      <c r="R3194" s="7">
        <f t="shared" si="3384"/>
        <v>12.75</v>
      </c>
      <c r="S3194" t="str">
        <f t="shared" si="3385"/>
        <v>theater</v>
      </c>
      <c r="T3194" t="str">
        <f t="shared" si="3386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ref="K3195:L3195" si="3442">(J3195/60/60/24)+DATE(1970,1,1)</f>
        <v>42010.968240740738</v>
      </c>
      <c r="L3195" s="11">
        <f t="shared" si="3382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3383"/>
        <v>11.74</v>
      </c>
      <c r="R3195" s="7">
        <f t="shared" si="3384"/>
        <v>24.458333333333332</v>
      </c>
      <c r="S3195" t="str">
        <f t="shared" si="3385"/>
        <v>theater</v>
      </c>
      <c r="T3195" t="str">
        <f t="shared" si="3386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ref="K3196:L3196" si="3443">(J3196/60/60/24)+DATE(1970,1,1)</f>
        <v>42182.062476851846</v>
      </c>
      <c r="L3196" s="11">
        <f t="shared" si="3382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3383"/>
        <v>0</v>
      </c>
      <c r="R3196" s="7">
        <f t="shared" si="3384"/>
        <v>0</v>
      </c>
      <c r="S3196" t="str">
        <f t="shared" si="3385"/>
        <v>theater</v>
      </c>
      <c r="T3196" t="str">
        <f t="shared" si="3386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ref="K3197:L3197" si="3444">(J3197/60/60/24)+DATE(1970,1,1)</f>
        <v>42017.594236111108</v>
      </c>
      <c r="L3197" s="11">
        <f t="shared" si="3382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3383"/>
        <v>59.142857142857139</v>
      </c>
      <c r="R3197" s="7">
        <f t="shared" si="3384"/>
        <v>53.07692307692308</v>
      </c>
      <c r="S3197" t="str">
        <f t="shared" si="3385"/>
        <v>theater</v>
      </c>
      <c r="T3197" t="str">
        <f t="shared" si="3386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ref="K3198:L3198" si="3445">(J3198/60/60/24)+DATE(1970,1,1)</f>
        <v>42157.598090277781</v>
      </c>
      <c r="L3198" s="11">
        <f t="shared" si="3382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3383"/>
        <v>0.06</v>
      </c>
      <c r="R3198" s="7">
        <f t="shared" si="3384"/>
        <v>300</v>
      </c>
      <c r="S3198" t="str">
        <f t="shared" si="3385"/>
        <v>theater</v>
      </c>
      <c r="T3198" t="str">
        <f t="shared" si="3386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ref="K3199:L3199" si="3446">(J3199/60/60/24)+DATE(1970,1,1)</f>
        <v>42009.493263888886</v>
      </c>
      <c r="L3199" s="11">
        <f t="shared" si="3382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3383"/>
        <v>11.450000000000001</v>
      </c>
      <c r="R3199" s="7">
        <f t="shared" si="3384"/>
        <v>286.25</v>
      </c>
      <c r="S3199" t="str">
        <f t="shared" si="3385"/>
        <v>theater</v>
      </c>
      <c r="T3199" t="str">
        <f t="shared" si="3386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ref="K3200:L3200" si="3447">(J3200/60/60/24)+DATE(1970,1,1)</f>
        <v>42013.424502314811</v>
      </c>
      <c r="L3200" s="11">
        <f t="shared" si="3382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3383"/>
        <v>0.36666666666666664</v>
      </c>
      <c r="R3200" s="7">
        <f t="shared" si="3384"/>
        <v>36.666666666666664</v>
      </c>
      <c r="S3200" t="str">
        <f t="shared" si="3385"/>
        <v>theater</v>
      </c>
      <c r="T3200" t="str">
        <f t="shared" si="3386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ref="K3201:L3201" si="3448">(J3201/60/60/24)+DATE(1970,1,1)</f>
        <v>41858.761782407404</v>
      </c>
      <c r="L3201" s="11">
        <f t="shared" si="3382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3383"/>
        <v>52.16</v>
      </c>
      <c r="R3201" s="7">
        <f t="shared" si="3384"/>
        <v>49.20754716981132</v>
      </c>
      <c r="S3201" t="str">
        <f t="shared" si="3385"/>
        <v>theater</v>
      </c>
      <c r="T3201" t="str">
        <f t="shared" si="3386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ref="K3202:L3202" si="3449">(J3202/60/60/24)+DATE(1970,1,1)</f>
        <v>42460.320613425924</v>
      </c>
      <c r="L3202" s="11">
        <f t="shared" si="3382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3383"/>
        <v>2E-3</v>
      </c>
      <c r="R3202" s="7">
        <f t="shared" si="3384"/>
        <v>1</v>
      </c>
      <c r="S3202" t="str">
        <f t="shared" si="3385"/>
        <v>theater</v>
      </c>
      <c r="T3202" t="str">
        <f t="shared" si="3386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ref="K3203:L3203" si="3450">(J3203/60/60/24)+DATE(1970,1,1)</f>
        <v>41861.767094907409</v>
      </c>
      <c r="L3203" s="11">
        <f t="shared" ref="L3203:L3266" si="3451">(I3203/60/60/24)+DATE(1970,1,1)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452">(E3203/D3203)*100</f>
        <v>1.25</v>
      </c>
      <c r="R3203" s="7">
        <f t="shared" ref="R3203:R3266" si="3453">IFERROR(E3203/N3203, 0)</f>
        <v>12.5</v>
      </c>
      <c r="S3203" t="str">
        <f t="shared" ref="S3203:S3266" si="3454">LEFT(P3203, SEARCH("/", P3203,1)-1)</f>
        <v>theater</v>
      </c>
      <c r="T3203" t="str">
        <f t="shared" ref="T3203:T3266" si="3455">RIGHT(P3203,LEN(P3203)-SEARCH("/",P3203,SEARCH("/",P3203)))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ref="K3204:L3204" si="3456">(J3204/60/60/24)+DATE(1970,1,1)</f>
        <v>42293.853541666671</v>
      </c>
      <c r="L3204" s="11">
        <f t="shared" si="345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452"/>
        <v>54.52</v>
      </c>
      <c r="R3204" s="7">
        <f t="shared" si="3453"/>
        <v>109.04</v>
      </c>
      <c r="S3204" t="str">
        <f t="shared" si="3454"/>
        <v>theater</v>
      </c>
      <c r="T3204" t="str">
        <f t="shared" si="345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ref="K3205:L3205" si="3457">(J3205/60/60/24)+DATE(1970,1,1)</f>
        <v>42242.988680555558</v>
      </c>
      <c r="L3205" s="11">
        <f t="shared" si="345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452"/>
        <v>25</v>
      </c>
      <c r="R3205" s="7">
        <f t="shared" si="3453"/>
        <v>41.666666666666664</v>
      </c>
      <c r="S3205" t="str">
        <f t="shared" si="3454"/>
        <v>theater</v>
      </c>
      <c r="T3205" t="str">
        <f t="shared" si="345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ref="K3206:L3206" si="3458">(J3206/60/60/24)+DATE(1970,1,1)</f>
        <v>42172.686099537037</v>
      </c>
      <c r="L3206" s="11">
        <f t="shared" si="345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452"/>
        <v>0</v>
      </c>
      <c r="R3206" s="7">
        <f t="shared" si="3453"/>
        <v>0</v>
      </c>
      <c r="S3206" t="str">
        <f t="shared" si="3454"/>
        <v>theater</v>
      </c>
      <c r="T3206" t="str">
        <f t="shared" si="345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ref="K3207:L3207" si="3459">(J3207/60/60/24)+DATE(1970,1,1)</f>
        <v>42095.374675925923</v>
      </c>
      <c r="L3207" s="11">
        <f t="shared" si="345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452"/>
        <v>3.4125000000000001</v>
      </c>
      <c r="R3207" s="7">
        <f t="shared" si="3453"/>
        <v>22.75</v>
      </c>
      <c r="S3207" t="str">
        <f t="shared" si="3454"/>
        <v>theater</v>
      </c>
      <c r="T3207" t="str">
        <f t="shared" si="345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ref="K3208:L3208" si="3460">(J3208/60/60/24)+DATE(1970,1,1)</f>
        <v>42236.276053240741</v>
      </c>
      <c r="L3208" s="11">
        <f t="shared" si="345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452"/>
        <v>0</v>
      </c>
      <c r="R3208" s="7">
        <f t="shared" si="3453"/>
        <v>0</v>
      </c>
      <c r="S3208" t="str">
        <f t="shared" si="3454"/>
        <v>theater</v>
      </c>
      <c r="T3208" t="str">
        <f t="shared" si="345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ref="K3209:L3209" si="3461">(J3209/60/60/24)+DATE(1970,1,1)</f>
        <v>42057.277858796297</v>
      </c>
      <c r="L3209" s="11">
        <f t="shared" si="345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452"/>
        <v>46.36363636363636</v>
      </c>
      <c r="R3209" s="7">
        <f t="shared" si="3453"/>
        <v>70.833333333333329</v>
      </c>
      <c r="S3209" t="str">
        <f t="shared" si="3454"/>
        <v>theater</v>
      </c>
      <c r="T3209" t="str">
        <f t="shared" si="345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ref="K3210:L3210" si="3462">(J3210/60/60/24)+DATE(1970,1,1)</f>
        <v>41827.605057870373</v>
      </c>
      <c r="L3210" s="11">
        <f t="shared" si="345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452"/>
        <v>103.49999999999999</v>
      </c>
      <c r="R3210" s="7">
        <f t="shared" si="3453"/>
        <v>63.109756097560975</v>
      </c>
      <c r="S3210" t="str">
        <f t="shared" si="3454"/>
        <v>theater</v>
      </c>
      <c r="T3210" t="str">
        <f t="shared" si="345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ref="K3211:L3211" si="3463">(J3211/60/60/24)+DATE(1970,1,1)</f>
        <v>41778.637245370373</v>
      </c>
      <c r="L3211" s="11">
        <f t="shared" si="345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452"/>
        <v>119.32315789473684</v>
      </c>
      <c r="R3211" s="7">
        <f t="shared" si="3453"/>
        <v>50.157964601769912</v>
      </c>
      <c r="S3211" t="str">
        <f t="shared" si="3454"/>
        <v>theater</v>
      </c>
      <c r="T3211" t="str">
        <f t="shared" si="345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ref="K3212:L3212" si="3464">(J3212/60/60/24)+DATE(1970,1,1)</f>
        <v>41013.936562499999</v>
      </c>
      <c r="L3212" s="11">
        <f t="shared" si="345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452"/>
        <v>125.76666666666667</v>
      </c>
      <c r="R3212" s="7">
        <f t="shared" si="3453"/>
        <v>62.883333333333333</v>
      </c>
      <c r="S3212" t="str">
        <f t="shared" si="3454"/>
        <v>theater</v>
      </c>
      <c r="T3212" t="str">
        <f t="shared" si="345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ref="K3213:L3213" si="3465">(J3213/60/60/24)+DATE(1970,1,1)</f>
        <v>41834.586574074077</v>
      </c>
      <c r="L3213" s="11">
        <f t="shared" si="345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452"/>
        <v>119.74347826086958</v>
      </c>
      <c r="R3213" s="7">
        <f t="shared" si="3453"/>
        <v>85.531055900621112</v>
      </c>
      <c r="S3213" t="str">
        <f t="shared" si="3454"/>
        <v>theater</v>
      </c>
      <c r="T3213" t="str">
        <f t="shared" si="345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ref="K3214:L3214" si="3466">(J3214/60/60/24)+DATE(1970,1,1)</f>
        <v>41829.795729166668</v>
      </c>
      <c r="L3214" s="11">
        <f t="shared" si="345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452"/>
        <v>126.25</v>
      </c>
      <c r="R3214" s="7">
        <f t="shared" si="3453"/>
        <v>53.723404255319146</v>
      </c>
      <c r="S3214" t="str">
        <f t="shared" si="3454"/>
        <v>theater</v>
      </c>
      <c r="T3214" t="str">
        <f t="shared" si="345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ref="K3215:L3215" si="3467">(J3215/60/60/24)+DATE(1970,1,1)</f>
        <v>42171.763414351852</v>
      </c>
      <c r="L3215" s="11">
        <f t="shared" si="345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452"/>
        <v>100.11666666666667</v>
      </c>
      <c r="R3215" s="7">
        <f t="shared" si="3453"/>
        <v>127.80851063829788</v>
      </c>
      <c r="S3215" t="str">
        <f t="shared" si="3454"/>
        <v>theater</v>
      </c>
      <c r="T3215" t="str">
        <f t="shared" si="345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ref="K3216:L3216" si="3468">(J3216/60/60/24)+DATE(1970,1,1)</f>
        <v>42337.792511574073</v>
      </c>
      <c r="L3216" s="11">
        <f t="shared" si="345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452"/>
        <v>102.13333333333334</v>
      </c>
      <c r="R3216" s="7">
        <f t="shared" si="3453"/>
        <v>106.57391304347826</v>
      </c>
      <c r="S3216" t="str">
        <f t="shared" si="3454"/>
        <v>theater</v>
      </c>
      <c r="T3216" t="str">
        <f t="shared" si="345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ref="K3217:L3217" si="3469">(J3217/60/60/24)+DATE(1970,1,1)</f>
        <v>42219.665173611109</v>
      </c>
      <c r="L3217" s="11">
        <f t="shared" si="345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452"/>
        <v>100.35142857142858</v>
      </c>
      <c r="R3217" s="7">
        <f t="shared" si="3453"/>
        <v>262.11194029850748</v>
      </c>
      <c r="S3217" t="str">
        <f t="shared" si="3454"/>
        <v>theater</v>
      </c>
      <c r="T3217" t="str">
        <f t="shared" si="345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ref="K3218:L3218" si="3470">(J3218/60/60/24)+DATE(1970,1,1)</f>
        <v>42165.462627314817</v>
      </c>
      <c r="L3218" s="11">
        <f t="shared" si="345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452"/>
        <v>100.05</v>
      </c>
      <c r="R3218" s="7">
        <f t="shared" si="3453"/>
        <v>57.171428571428571</v>
      </c>
      <c r="S3218" t="str">
        <f t="shared" si="3454"/>
        <v>theater</v>
      </c>
      <c r="T3218" t="str">
        <f t="shared" si="345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ref="K3219:L3219" si="3471">(J3219/60/60/24)+DATE(1970,1,1)</f>
        <v>42648.546111111107</v>
      </c>
      <c r="L3219" s="11">
        <f t="shared" si="345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452"/>
        <v>116.02222222222223</v>
      </c>
      <c r="R3219" s="7">
        <f t="shared" si="3453"/>
        <v>50.20192307692308</v>
      </c>
      <c r="S3219" t="str">
        <f t="shared" si="3454"/>
        <v>theater</v>
      </c>
      <c r="T3219" t="str">
        <f t="shared" si="345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ref="K3220:L3220" si="3472">(J3220/60/60/24)+DATE(1970,1,1)</f>
        <v>41971.002152777779</v>
      </c>
      <c r="L3220" s="11">
        <f t="shared" si="3451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452"/>
        <v>102.1</v>
      </c>
      <c r="R3220" s="7">
        <f t="shared" si="3453"/>
        <v>66.586956521739125</v>
      </c>
      <c r="S3220" t="str">
        <f t="shared" si="3454"/>
        <v>theater</v>
      </c>
      <c r="T3220" t="str">
        <f t="shared" si="345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ref="K3221:L3221" si="3473">(J3221/60/60/24)+DATE(1970,1,1)</f>
        <v>42050.983182870375</v>
      </c>
      <c r="L3221" s="11">
        <f t="shared" si="345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452"/>
        <v>100.11000000000001</v>
      </c>
      <c r="R3221" s="7">
        <f t="shared" si="3453"/>
        <v>168.25210084033614</v>
      </c>
      <c r="S3221" t="str">
        <f t="shared" si="3454"/>
        <v>theater</v>
      </c>
      <c r="T3221" t="str">
        <f t="shared" si="345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ref="K3222:L3222" si="3474">(J3222/60/60/24)+DATE(1970,1,1)</f>
        <v>42772.833379629628</v>
      </c>
      <c r="L3222" s="11">
        <f t="shared" si="3451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452"/>
        <v>100.84</v>
      </c>
      <c r="R3222" s="7">
        <f t="shared" si="3453"/>
        <v>256.37288135593218</v>
      </c>
      <c r="S3222" t="str">
        <f t="shared" si="3454"/>
        <v>theater</v>
      </c>
      <c r="T3222" t="str">
        <f t="shared" si="345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ref="K3223:L3223" si="3475">(J3223/60/60/24)+DATE(1970,1,1)</f>
        <v>42155.696793981479</v>
      </c>
      <c r="L3223" s="11">
        <f t="shared" si="345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452"/>
        <v>103.42499999999998</v>
      </c>
      <c r="R3223" s="7">
        <f t="shared" si="3453"/>
        <v>36.610619469026545</v>
      </c>
      <c r="S3223" t="str">
        <f t="shared" si="3454"/>
        <v>theater</v>
      </c>
      <c r="T3223" t="str">
        <f t="shared" si="345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ref="K3224:L3224" si="3476">(J3224/60/60/24)+DATE(1970,1,1)</f>
        <v>42270.582141203704</v>
      </c>
      <c r="L3224" s="11">
        <f t="shared" si="345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452"/>
        <v>124.8</v>
      </c>
      <c r="R3224" s="7">
        <f t="shared" si="3453"/>
        <v>37.142857142857146</v>
      </c>
      <c r="S3224" t="str">
        <f t="shared" si="3454"/>
        <v>theater</v>
      </c>
      <c r="T3224" t="str">
        <f t="shared" si="345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ref="K3225:L3225" si="3477">(J3225/60/60/24)+DATE(1970,1,1)</f>
        <v>42206.835370370376</v>
      </c>
      <c r="L3225" s="11">
        <f t="shared" si="345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452"/>
        <v>109.51612903225806</v>
      </c>
      <c r="R3225" s="7">
        <f t="shared" si="3453"/>
        <v>45.878378378378379</v>
      </c>
      <c r="S3225" t="str">
        <f t="shared" si="3454"/>
        <v>theater</v>
      </c>
      <c r="T3225" t="str">
        <f t="shared" si="345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ref="K3226:L3226" si="3478">(J3226/60/60/24)+DATE(1970,1,1)</f>
        <v>42697.850844907407</v>
      </c>
      <c r="L3226" s="11">
        <f t="shared" si="345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452"/>
        <v>102.03333333333333</v>
      </c>
      <c r="R3226" s="7">
        <f t="shared" si="3453"/>
        <v>141.71296296296296</v>
      </c>
      <c r="S3226" t="str">
        <f t="shared" si="3454"/>
        <v>theater</v>
      </c>
      <c r="T3226" t="str">
        <f t="shared" si="345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ref="K3227:L3227" si="3479">(J3227/60/60/24)+DATE(1970,1,1)</f>
        <v>42503.559467592597</v>
      </c>
      <c r="L3227" s="11">
        <f t="shared" si="3451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452"/>
        <v>102.35000000000001</v>
      </c>
      <c r="R3227" s="7">
        <f t="shared" si="3453"/>
        <v>52.487179487179489</v>
      </c>
      <c r="S3227" t="str">
        <f t="shared" si="3454"/>
        <v>theater</v>
      </c>
      <c r="T3227" t="str">
        <f t="shared" si="345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ref="K3228:L3228" si="3480">(J3228/60/60/24)+DATE(1970,1,1)</f>
        <v>42277.583472222221</v>
      </c>
      <c r="L3228" s="11">
        <f t="shared" si="345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452"/>
        <v>104.16666666666667</v>
      </c>
      <c r="R3228" s="7">
        <f t="shared" si="3453"/>
        <v>59.523809523809526</v>
      </c>
      <c r="S3228" t="str">
        <f t="shared" si="3454"/>
        <v>theater</v>
      </c>
      <c r="T3228" t="str">
        <f t="shared" si="345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ref="K3229:L3229" si="3481">(J3229/60/60/24)+DATE(1970,1,1)</f>
        <v>42722.882361111115</v>
      </c>
      <c r="L3229" s="11">
        <f t="shared" si="345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452"/>
        <v>125</v>
      </c>
      <c r="R3229" s="7">
        <f t="shared" si="3453"/>
        <v>50</v>
      </c>
      <c r="S3229" t="str">
        <f t="shared" si="3454"/>
        <v>theater</v>
      </c>
      <c r="T3229" t="str">
        <f t="shared" si="345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ref="K3230:L3230" si="3482">(J3230/60/60/24)+DATE(1970,1,1)</f>
        <v>42323.70930555556</v>
      </c>
      <c r="L3230" s="11">
        <f t="shared" si="345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452"/>
        <v>102.34285714285714</v>
      </c>
      <c r="R3230" s="7">
        <f t="shared" si="3453"/>
        <v>193.62162162162161</v>
      </c>
      <c r="S3230" t="str">
        <f t="shared" si="3454"/>
        <v>theater</v>
      </c>
      <c r="T3230" t="str">
        <f t="shared" si="345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ref="K3231:L3231" si="3483">(J3231/60/60/24)+DATE(1970,1,1)</f>
        <v>41933.291643518518</v>
      </c>
      <c r="L3231" s="11">
        <f t="shared" si="345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452"/>
        <v>107.86500000000001</v>
      </c>
      <c r="R3231" s="7">
        <f t="shared" si="3453"/>
        <v>106.79702970297029</v>
      </c>
      <c r="S3231" t="str">
        <f t="shared" si="3454"/>
        <v>theater</v>
      </c>
      <c r="T3231" t="str">
        <f t="shared" si="345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ref="K3232:L3232" si="3484">(J3232/60/60/24)+DATE(1970,1,1)</f>
        <v>41898.168125000004</v>
      </c>
      <c r="L3232" s="11">
        <f t="shared" si="345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452"/>
        <v>109.88461538461539</v>
      </c>
      <c r="R3232" s="7">
        <f t="shared" si="3453"/>
        <v>77.21621621621621</v>
      </c>
      <c r="S3232" t="str">
        <f t="shared" si="3454"/>
        <v>theater</v>
      </c>
      <c r="T3232" t="str">
        <f t="shared" si="345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ref="K3233:L3233" si="3485">(J3233/60/60/24)+DATE(1970,1,1)</f>
        <v>42446.943831018521</v>
      </c>
      <c r="L3233" s="11">
        <f t="shared" si="345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452"/>
        <v>161</v>
      </c>
      <c r="R3233" s="7">
        <f t="shared" si="3453"/>
        <v>57.5</v>
      </c>
      <c r="S3233" t="str">
        <f t="shared" si="3454"/>
        <v>theater</v>
      </c>
      <c r="T3233" t="str">
        <f t="shared" si="345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ref="K3234:L3234" si="3486">(J3234/60/60/24)+DATE(1970,1,1)</f>
        <v>42463.81385416667</v>
      </c>
      <c r="L3234" s="11">
        <f t="shared" si="345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452"/>
        <v>131.20000000000002</v>
      </c>
      <c r="R3234" s="7">
        <f t="shared" si="3453"/>
        <v>50.46153846153846</v>
      </c>
      <c r="S3234" t="str">
        <f t="shared" si="3454"/>
        <v>theater</v>
      </c>
      <c r="T3234" t="str">
        <f t="shared" si="345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ref="K3235:L3235" si="3487">(J3235/60/60/24)+DATE(1970,1,1)</f>
        <v>42766.805034722223</v>
      </c>
      <c r="L3235" s="11">
        <f t="shared" si="345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452"/>
        <v>118.8</v>
      </c>
      <c r="R3235" s="7">
        <f t="shared" si="3453"/>
        <v>97.377049180327873</v>
      </c>
      <c r="S3235" t="str">
        <f t="shared" si="3454"/>
        <v>theater</v>
      </c>
      <c r="T3235" t="str">
        <f t="shared" si="345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ref="K3236:L3236" si="3488">(J3236/60/60/24)+DATE(1970,1,1)</f>
        <v>42734.789444444439</v>
      </c>
      <c r="L3236" s="11">
        <f t="shared" si="345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452"/>
        <v>100.39275000000001</v>
      </c>
      <c r="R3236" s="7">
        <f t="shared" si="3453"/>
        <v>34.91921739130435</v>
      </c>
      <c r="S3236" t="str">
        <f t="shared" si="3454"/>
        <v>theater</v>
      </c>
      <c r="T3236" t="str">
        <f t="shared" si="345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ref="K3237:L3237" si="3489">(J3237/60/60/24)+DATE(1970,1,1)</f>
        <v>42522.347812499997</v>
      </c>
      <c r="L3237" s="11">
        <f t="shared" si="345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452"/>
        <v>103.20666666666666</v>
      </c>
      <c r="R3237" s="7">
        <f t="shared" si="3453"/>
        <v>85.530386740331494</v>
      </c>
      <c r="S3237" t="str">
        <f t="shared" si="3454"/>
        <v>theater</v>
      </c>
      <c r="T3237" t="str">
        <f t="shared" si="345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ref="K3238:L3238" si="3490">(J3238/60/60/24)+DATE(1970,1,1)</f>
        <v>42702.917048611111</v>
      </c>
      <c r="L3238" s="11">
        <f t="shared" si="345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452"/>
        <v>100.6</v>
      </c>
      <c r="R3238" s="7">
        <f t="shared" si="3453"/>
        <v>182.90909090909091</v>
      </c>
      <c r="S3238" t="str">
        <f t="shared" si="3454"/>
        <v>theater</v>
      </c>
      <c r="T3238" t="str">
        <f t="shared" si="345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ref="K3239:L3239" si="3491">(J3239/60/60/24)+DATE(1970,1,1)</f>
        <v>42252.474351851852</v>
      </c>
      <c r="L3239" s="11">
        <f t="shared" si="345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452"/>
        <v>100.78754285714287</v>
      </c>
      <c r="R3239" s="7">
        <f t="shared" si="3453"/>
        <v>131.13620817843866</v>
      </c>
      <c r="S3239" t="str">
        <f t="shared" si="3454"/>
        <v>theater</v>
      </c>
      <c r="T3239" t="str">
        <f t="shared" si="345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ref="K3240:L3240" si="3492">(J3240/60/60/24)+DATE(1970,1,1)</f>
        <v>42156.510393518518</v>
      </c>
      <c r="L3240" s="11">
        <f t="shared" si="345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452"/>
        <v>112.32142857142857</v>
      </c>
      <c r="R3240" s="7">
        <f t="shared" si="3453"/>
        <v>39.810126582278478</v>
      </c>
      <c r="S3240" t="str">
        <f t="shared" si="3454"/>
        <v>theater</v>
      </c>
      <c r="T3240" t="str">
        <f t="shared" si="345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ref="K3241:L3241" si="3493">(J3241/60/60/24)+DATE(1970,1,1)</f>
        <v>42278.089039351849</v>
      </c>
      <c r="L3241" s="11">
        <f t="shared" si="345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452"/>
        <v>105.91914022517912</v>
      </c>
      <c r="R3241" s="7">
        <f t="shared" si="3453"/>
        <v>59.701730769230764</v>
      </c>
      <c r="S3241" t="str">
        <f t="shared" si="3454"/>
        <v>theater</v>
      </c>
      <c r="T3241" t="str">
        <f t="shared" si="345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ref="K3242:L3242" si="3494">(J3242/60/60/24)+DATE(1970,1,1)</f>
        <v>42754.693842592591</v>
      </c>
      <c r="L3242" s="11">
        <f t="shared" si="345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452"/>
        <v>100.56666666666668</v>
      </c>
      <c r="R3242" s="7">
        <f t="shared" si="3453"/>
        <v>88.735294117647058</v>
      </c>
      <c r="S3242" t="str">
        <f t="shared" si="3454"/>
        <v>theater</v>
      </c>
      <c r="T3242" t="str">
        <f t="shared" si="345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ref="K3243:L3243" si="3495">(J3243/60/60/24)+DATE(1970,1,1)</f>
        <v>41893.324884259258</v>
      </c>
      <c r="L3243" s="11">
        <f t="shared" si="345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452"/>
        <v>115.30588235294117</v>
      </c>
      <c r="R3243" s="7">
        <f t="shared" si="3453"/>
        <v>58.688622754491021</v>
      </c>
      <c r="S3243" t="str">
        <f t="shared" si="3454"/>
        <v>theater</v>
      </c>
      <c r="T3243" t="str">
        <f t="shared" si="345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ref="K3244:L3244" si="3496">(J3244/60/60/24)+DATE(1970,1,1)</f>
        <v>41871.755694444444</v>
      </c>
      <c r="L3244" s="11">
        <f t="shared" si="345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452"/>
        <v>127.30419999999999</v>
      </c>
      <c r="R3244" s="7">
        <f t="shared" si="3453"/>
        <v>69.56513661202186</v>
      </c>
      <c r="S3244" t="str">
        <f t="shared" si="3454"/>
        <v>theater</v>
      </c>
      <c r="T3244" t="str">
        <f t="shared" si="345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ref="K3245:L3245" si="3497">(J3245/60/60/24)+DATE(1970,1,1)</f>
        <v>42262.096782407403</v>
      </c>
      <c r="L3245" s="11">
        <f t="shared" si="3451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452"/>
        <v>102.83750000000001</v>
      </c>
      <c r="R3245" s="7">
        <f t="shared" si="3453"/>
        <v>115.87323943661971</v>
      </c>
      <c r="S3245" t="str">
        <f t="shared" si="3454"/>
        <v>theater</v>
      </c>
      <c r="T3245" t="str">
        <f t="shared" si="345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ref="K3246:L3246" si="3498">(J3246/60/60/24)+DATE(1970,1,1)</f>
        <v>42675.694236111114</v>
      </c>
      <c r="L3246" s="11">
        <f t="shared" si="345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452"/>
        <v>102.9375</v>
      </c>
      <c r="R3246" s="7">
        <f t="shared" si="3453"/>
        <v>23.869565217391305</v>
      </c>
      <c r="S3246" t="str">
        <f t="shared" si="3454"/>
        <v>theater</v>
      </c>
      <c r="T3246" t="str">
        <f t="shared" si="345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ref="K3247:L3247" si="3499">(J3247/60/60/24)+DATE(1970,1,1)</f>
        <v>42135.60020833333</v>
      </c>
      <c r="L3247" s="11">
        <f t="shared" si="345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452"/>
        <v>104.3047619047619</v>
      </c>
      <c r="R3247" s="7">
        <f t="shared" si="3453"/>
        <v>81.125925925925927</v>
      </c>
      <c r="S3247" t="str">
        <f t="shared" si="3454"/>
        <v>theater</v>
      </c>
      <c r="T3247" t="str">
        <f t="shared" si="345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ref="K3248:L3248" si="3500">(J3248/60/60/24)+DATE(1970,1,1)</f>
        <v>42230.472222222219</v>
      </c>
      <c r="L3248" s="11">
        <f t="shared" si="345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452"/>
        <v>111.22000000000001</v>
      </c>
      <c r="R3248" s="7">
        <f t="shared" si="3453"/>
        <v>57.626943005181346</v>
      </c>
      <c r="S3248" t="str">
        <f t="shared" si="3454"/>
        <v>theater</v>
      </c>
      <c r="T3248" t="str">
        <f t="shared" si="345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ref="K3249:L3249" si="3501">(J3249/60/60/24)+DATE(1970,1,1)</f>
        <v>42167.434166666666</v>
      </c>
      <c r="L3249" s="11">
        <f t="shared" si="345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452"/>
        <v>105.86</v>
      </c>
      <c r="R3249" s="7">
        <f t="shared" si="3453"/>
        <v>46.429824561403507</v>
      </c>
      <c r="S3249" t="str">
        <f t="shared" si="3454"/>
        <v>theater</v>
      </c>
      <c r="T3249" t="str">
        <f t="shared" si="345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ref="K3250:L3250" si="3502">(J3250/60/60/24)+DATE(1970,1,1)</f>
        <v>42068.888391203705</v>
      </c>
      <c r="L3250" s="11">
        <f t="shared" si="345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452"/>
        <v>100.79166666666666</v>
      </c>
      <c r="R3250" s="7">
        <f t="shared" si="3453"/>
        <v>60.475000000000001</v>
      </c>
      <c r="S3250" t="str">
        <f t="shared" si="3454"/>
        <v>theater</v>
      </c>
      <c r="T3250" t="str">
        <f t="shared" si="345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ref="K3251:L3251" si="3503">(J3251/60/60/24)+DATE(1970,1,1)</f>
        <v>42145.746689814812</v>
      </c>
      <c r="L3251" s="11">
        <f t="shared" si="345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452"/>
        <v>104.92727272727274</v>
      </c>
      <c r="R3251" s="7">
        <f t="shared" si="3453"/>
        <v>65.579545454545453</v>
      </c>
      <c r="S3251" t="str">
        <f t="shared" si="3454"/>
        <v>theater</v>
      </c>
      <c r="T3251" t="str">
        <f t="shared" si="345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ref="K3252:L3252" si="3504">(J3252/60/60/24)+DATE(1970,1,1)</f>
        <v>41918.742175925923</v>
      </c>
      <c r="L3252" s="11">
        <f t="shared" si="345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452"/>
        <v>101.55199999999999</v>
      </c>
      <c r="R3252" s="7">
        <f t="shared" si="3453"/>
        <v>119.1924882629108</v>
      </c>
      <c r="S3252" t="str">
        <f t="shared" si="3454"/>
        <v>theater</v>
      </c>
      <c r="T3252" t="str">
        <f t="shared" si="345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ref="K3253:L3253" si="3505">(J3253/60/60/24)+DATE(1970,1,1)</f>
        <v>42146.731087962966</v>
      </c>
      <c r="L3253" s="11">
        <f t="shared" si="345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452"/>
        <v>110.73333333333333</v>
      </c>
      <c r="R3253" s="7">
        <f t="shared" si="3453"/>
        <v>83.05</v>
      </c>
      <c r="S3253" t="str">
        <f t="shared" si="3454"/>
        <v>theater</v>
      </c>
      <c r="T3253" t="str">
        <f t="shared" si="345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ref="K3254:L3254" si="3506">(J3254/60/60/24)+DATE(1970,1,1)</f>
        <v>42590.472685185188</v>
      </c>
      <c r="L3254" s="11">
        <f t="shared" si="345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452"/>
        <v>127.82222222222221</v>
      </c>
      <c r="R3254" s="7">
        <f t="shared" si="3453"/>
        <v>57.52</v>
      </c>
      <c r="S3254" t="str">
        <f t="shared" si="3454"/>
        <v>theater</v>
      </c>
      <c r="T3254" t="str">
        <f t="shared" si="345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ref="K3255:L3255" si="3507">(J3255/60/60/24)+DATE(1970,1,1)</f>
        <v>42602.576712962968</v>
      </c>
      <c r="L3255" s="11">
        <f t="shared" si="345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452"/>
        <v>101.82500000000002</v>
      </c>
      <c r="R3255" s="7">
        <f t="shared" si="3453"/>
        <v>177.08695652173913</v>
      </c>
      <c r="S3255" t="str">
        <f t="shared" si="3454"/>
        <v>theater</v>
      </c>
      <c r="T3255" t="str">
        <f t="shared" si="345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ref="K3256:L3256" si="3508">(J3256/60/60/24)+DATE(1970,1,1)</f>
        <v>42059.085752314815</v>
      </c>
      <c r="L3256" s="11">
        <f t="shared" si="345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452"/>
        <v>101.25769230769231</v>
      </c>
      <c r="R3256" s="7">
        <f t="shared" si="3453"/>
        <v>70.771505376344081</v>
      </c>
      <c r="S3256" t="str">
        <f t="shared" si="3454"/>
        <v>theater</v>
      </c>
      <c r="T3256" t="str">
        <f t="shared" si="345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ref="K3257:L3257" si="3509">(J3257/60/60/24)+DATE(1970,1,1)</f>
        <v>41889.768229166664</v>
      </c>
      <c r="L3257" s="11">
        <f t="shared" si="345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452"/>
        <v>175</v>
      </c>
      <c r="R3257" s="7">
        <f t="shared" si="3453"/>
        <v>29.166666666666668</v>
      </c>
      <c r="S3257" t="str">
        <f t="shared" si="3454"/>
        <v>theater</v>
      </c>
      <c r="T3257" t="str">
        <f t="shared" si="345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ref="K3258:L3258" si="3510">(J3258/60/60/24)+DATE(1970,1,1)</f>
        <v>42144.573807870373</v>
      </c>
      <c r="L3258" s="11">
        <f t="shared" si="345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452"/>
        <v>128.06</v>
      </c>
      <c r="R3258" s="7">
        <f t="shared" si="3453"/>
        <v>72.76136363636364</v>
      </c>
      <c r="S3258" t="str">
        <f t="shared" si="3454"/>
        <v>theater</v>
      </c>
      <c r="T3258" t="str">
        <f t="shared" si="345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ref="K3259:L3259" si="3511">(J3259/60/60/24)+DATE(1970,1,1)</f>
        <v>42758.559629629628</v>
      </c>
      <c r="L3259" s="11">
        <f t="shared" si="345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452"/>
        <v>106.29949999999999</v>
      </c>
      <c r="R3259" s="7">
        <f t="shared" si="3453"/>
        <v>51.853414634146333</v>
      </c>
      <c r="S3259" t="str">
        <f t="shared" si="3454"/>
        <v>theater</v>
      </c>
      <c r="T3259" t="str">
        <f t="shared" si="345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ref="K3260:L3260" si="3512">(J3260/60/60/24)+DATE(1970,1,1)</f>
        <v>41982.887280092589</v>
      </c>
      <c r="L3260" s="11">
        <f t="shared" si="345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452"/>
        <v>105.21428571428571</v>
      </c>
      <c r="R3260" s="7">
        <f t="shared" si="3453"/>
        <v>98.2</v>
      </c>
      <c r="S3260" t="str">
        <f t="shared" si="3454"/>
        <v>theater</v>
      </c>
      <c r="T3260" t="str">
        <f t="shared" si="345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ref="K3261:L3261" si="3513">(J3261/60/60/24)+DATE(1970,1,1)</f>
        <v>42614.760937500003</v>
      </c>
      <c r="L3261" s="11">
        <f t="shared" si="345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452"/>
        <v>106.16782608695652</v>
      </c>
      <c r="R3261" s="7">
        <f t="shared" si="3453"/>
        <v>251.7381443298969</v>
      </c>
      <c r="S3261" t="str">
        <f t="shared" si="3454"/>
        <v>theater</v>
      </c>
      <c r="T3261" t="str">
        <f t="shared" si="345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ref="K3262:L3262" si="3514">(J3262/60/60/24)+DATE(1970,1,1)</f>
        <v>42303.672662037032</v>
      </c>
      <c r="L3262" s="11">
        <f t="shared" si="345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452"/>
        <v>109.24000000000001</v>
      </c>
      <c r="R3262" s="7">
        <f t="shared" si="3453"/>
        <v>74.821917808219183</v>
      </c>
      <c r="S3262" t="str">
        <f t="shared" si="3454"/>
        <v>theater</v>
      </c>
      <c r="T3262" t="str">
        <f t="shared" si="345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ref="K3263:L3263" si="3515">(J3263/60/60/24)+DATE(1970,1,1)</f>
        <v>42171.725416666668</v>
      </c>
      <c r="L3263" s="11">
        <f t="shared" si="345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452"/>
        <v>100.45454545454547</v>
      </c>
      <c r="R3263" s="7">
        <f t="shared" si="3453"/>
        <v>67.65306122448979</v>
      </c>
      <c r="S3263" t="str">
        <f t="shared" si="3454"/>
        <v>theater</v>
      </c>
      <c r="T3263" t="str">
        <f t="shared" si="345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ref="K3264:L3264" si="3516">(J3264/60/60/24)+DATE(1970,1,1)</f>
        <v>41964.315532407403</v>
      </c>
      <c r="L3264" s="11">
        <f t="shared" si="345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452"/>
        <v>103.04098360655738</v>
      </c>
      <c r="R3264" s="7">
        <f t="shared" si="3453"/>
        <v>93.81343283582089</v>
      </c>
      <c r="S3264" t="str">
        <f t="shared" si="3454"/>
        <v>theater</v>
      </c>
      <c r="T3264" t="str">
        <f t="shared" si="345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ref="K3265:L3265" si="3517">(J3265/60/60/24)+DATE(1970,1,1)</f>
        <v>42284.516064814816</v>
      </c>
      <c r="L3265" s="11">
        <f t="shared" si="3451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452"/>
        <v>112.1664</v>
      </c>
      <c r="R3265" s="7">
        <f t="shared" si="3453"/>
        <v>41.237647058823526</v>
      </c>
      <c r="S3265" t="str">
        <f t="shared" si="3454"/>
        <v>theater</v>
      </c>
      <c r="T3265" t="str">
        <f t="shared" si="345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ref="K3266:L3266" si="3518">(J3266/60/60/24)+DATE(1970,1,1)</f>
        <v>42016.800208333334</v>
      </c>
      <c r="L3266" s="11">
        <f t="shared" si="345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452"/>
        <v>103</v>
      </c>
      <c r="R3266" s="7">
        <f t="shared" si="3453"/>
        <v>52.551020408163268</v>
      </c>
      <c r="S3266" t="str">
        <f t="shared" si="3454"/>
        <v>theater</v>
      </c>
      <c r="T3266" t="str">
        <f t="shared" si="345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ref="K3267:L3267" si="3519">(J3267/60/60/24)+DATE(1970,1,1)</f>
        <v>42311.711979166663</v>
      </c>
      <c r="L3267" s="11">
        <f t="shared" ref="L3267:L3330" si="3520">(I3267/60/60/24)+DATE(1970,1,1)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521">(E3267/D3267)*100</f>
        <v>164</v>
      </c>
      <c r="R3267" s="7">
        <f t="shared" ref="R3267:R3330" si="3522">IFERROR(E3267/N3267, 0)</f>
        <v>70.285714285714292</v>
      </c>
      <c r="S3267" t="str">
        <f t="shared" ref="S3267:S3330" si="3523">LEFT(P3267, SEARCH("/", P3267,1)-1)</f>
        <v>theater</v>
      </c>
      <c r="T3267" t="str">
        <f t="shared" ref="T3267:T3330" si="3524">RIGHT(P3267,LEN(P3267)-SEARCH("/",P3267,SEARCH("/",P3267)))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ref="K3268:L3268" si="3525">(J3268/60/60/24)+DATE(1970,1,1)</f>
        <v>42136.536134259266</v>
      </c>
      <c r="L3268" s="11">
        <f t="shared" si="3520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521"/>
        <v>131.28333333333333</v>
      </c>
      <c r="R3268" s="7">
        <f t="shared" si="3522"/>
        <v>48.325153374233132</v>
      </c>
      <c r="S3268" t="str">
        <f t="shared" si="3523"/>
        <v>theater</v>
      </c>
      <c r="T3268" t="str">
        <f t="shared" si="3524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ref="K3269:L3269" si="3526">(J3269/60/60/24)+DATE(1970,1,1)</f>
        <v>42172.757638888885</v>
      </c>
      <c r="L3269" s="11">
        <f t="shared" si="3520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521"/>
        <v>102.1</v>
      </c>
      <c r="R3269" s="7">
        <f t="shared" si="3522"/>
        <v>53.177083333333336</v>
      </c>
      <c r="S3269" t="str">
        <f t="shared" si="3523"/>
        <v>theater</v>
      </c>
      <c r="T3269" t="str">
        <f t="shared" si="3524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ref="K3270:L3270" si="3527">(J3270/60/60/24)+DATE(1970,1,1)</f>
        <v>42590.90425925926</v>
      </c>
      <c r="L3270" s="11">
        <f t="shared" si="3520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521"/>
        <v>128</v>
      </c>
      <c r="R3270" s="7">
        <f t="shared" si="3522"/>
        <v>60.952380952380949</v>
      </c>
      <c r="S3270" t="str">
        <f t="shared" si="3523"/>
        <v>theater</v>
      </c>
      <c r="T3270" t="str">
        <f t="shared" si="3524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ref="K3271:L3271" si="3528">(J3271/60/60/24)+DATE(1970,1,1)</f>
        <v>42137.395798611105</v>
      </c>
      <c r="L3271" s="11">
        <f t="shared" si="3520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521"/>
        <v>101.49999999999999</v>
      </c>
      <c r="R3271" s="7">
        <f t="shared" si="3522"/>
        <v>116</v>
      </c>
      <c r="S3271" t="str">
        <f t="shared" si="3523"/>
        <v>theater</v>
      </c>
      <c r="T3271" t="str">
        <f t="shared" si="3524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ref="K3272:L3272" si="3529">(J3272/60/60/24)+DATE(1970,1,1)</f>
        <v>42167.533159722225</v>
      </c>
      <c r="L3272" s="11">
        <f t="shared" si="3520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521"/>
        <v>101.66666666666666</v>
      </c>
      <c r="R3272" s="7">
        <f t="shared" si="3522"/>
        <v>61</v>
      </c>
      <c r="S3272" t="str">
        <f t="shared" si="3523"/>
        <v>theater</v>
      </c>
      <c r="T3272" t="str">
        <f t="shared" si="3524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ref="K3273:L3273" si="3530">(J3273/60/60/24)+DATE(1970,1,1)</f>
        <v>41915.437210648146</v>
      </c>
      <c r="L3273" s="11">
        <f t="shared" si="3520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521"/>
        <v>130</v>
      </c>
      <c r="R3273" s="7">
        <f t="shared" si="3522"/>
        <v>38.235294117647058</v>
      </c>
      <c r="S3273" t="str">
        <f t="shared" si="3523"/>
        <v>theater</v>
      </c>
      <c r="T3273" t="str">
        <f t="shared" si="3524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ref="K3274:L3274" si="3531">(J3274/60/60/24)+DATE(1970,1,1)</f>
        <v>42284.500104166669</v>
      </c>
      <c r="L3274" s="11">
        <f t="shared" si="3520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521"/>
        <v>154.43</v>
      </c>
      <c r="R3274" s="7">
        <f t="shared" si="3522"/>
        <v>106.50344827586207</v>
      </c>
      <c r="S3274" t="str">
        <f t="shared" si="3523"/>
        <v>theater</v>
      </c>
      <c r="T3274" t="str">
        <f t="shared" si="3524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ref="K3275:L3275" si="3532">(J3275/60/60/24)+DATE(1970,1,1)</f>
        <v>42611.801412037035</v>
      </c>
      <c r="L3275" s="11">
        <f t="shared" si="3520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521"/>
        <v>107.4</v>
      </c>
      <c r="R3275" s="7">
        <f t="shared" si="3522"/>
        <v>204.57142857142858</v>
      </c>
      <c r="S3275" t="str">
        <f t="shared" si="3523"/>
        <v>theater</v>
      </c>
      <c r="T3275" t="str">
        <f t="shared" si="3524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ref="K3276:L3276" si="3533">(J3276/60/60/24)+DATE(1970,1,1)</f>
        <v>42400.704537037032</v>
      </c>
      <c r="L3276" s="11">
        <f t="shared" si="3520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521"/>
        <v>101.32258064516128</v>
      </c>
      <c r="R3276" s="7">
        <f t="shared" si="3522"/>
        <v>54.912587412587413</v>
      </c>
      <c r="S3276" t="str">
        <f t="shared" si="3523"/>
        <v>theater</v>
      </c>
      <c r="T3276" t="str">
        <f t="shared" si="3524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ref="K3277:L3277" si="3534">(J3277/60/60/24)+DATE(1970,1,1)</f>
        <v>42017.88045138889</v>
      </c>
      <c r="L3277" s="11">
        <f t="shared" si="3520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521"/>
        <v>100.27777777777777</v>
      </c>
      <c r="R3277" s="7">
        <f t="shared" si="3522"/>
        <v>150.41666666666666</v>
      </c>
      <c r="S3277" t="str">
        <f t="shared" si="3523"/>
        <v>theater</v>
      </c>
      <c r="T3277" t="str">
        <f t="shared" si="3524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ref="K3278:L3278" si="3535">(J3278/60/60/24)+DATE(1970,1,1)</f>
        <v>42426.949988425928</v>
      </c>
      <c r="L3278" s="11">
        <f t="shared" si="3520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521"/>
        <v>116.84444444444443</v>
      </c>
      <c r="R3278" s="7">
        <f t="shared" si="3522"/>
        <v>52.58</v>
      </c>
      <c r="S3278" t="str">
        <f t="shared" si="3523"/>
        <v>theater</v>
      </c>
      <c r="T3278" t="str">
        <f t="shared" si="3524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ref="K3279:L3279" si="3536">(J3279/60/60/24)+DATE(1970,1,1)</f>
        <v>41931.682939814818</v>
      </c>
      <c r="L3279" s="11">
        <f t="shared" si="3520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521"/>
        <v>108.60000000000001</v>
      </c>
      <c r="R3279" s="7">
        <f t="shared" si="3522"/>
        <v>54.3</v>
      </c>
      <c r="S3279" t="str">
        <f t="shared" si="3523"/>
        <v>theater</v>
      </c>
      <c r="T3279" t="str">
        <f t="shared" si="3524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ref="K3280:L3280" si="3537">(J3280/60/60/24)+DATE(1970,1,1)</f>
        <v>42124.848414351851</v>
      </c>
      <c r="L3280" s="11">
        <f t="shared" si="3520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521"/>
        <v>103.4</v>
      </c>
      <c r="R3280" s="7">
        <f t="shared" si="3522"/>
        <v>76.029411764705884</v>
      </c>
      <c r="S3280" t="str">
        <f t="shared" si="3523"/>
        <v>theater</v>
      </c>
      <c r="T3280" t="str">
        <f t="shared" si="3524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ref="K3281:L3281" si="3538">(J3281/60/60/24)+DATE(1970,1,1)</f>
        <v>42431.102534722217</v>
      </c>
      <c r="L3281" s="11">
        <f t="shared" si="3520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521"/>
        <v>114.27586206896552</v>
      </c>
      <c r="R3281" s="7">
        <f t="shared" si="3522"/>
        <v>105.2063492063492</v>
      </c>
      <c r="S3281" t="str">
        <f t="shared" si="3523"/>
        <v>theater</v>
      </c>
      <c r="T3281" t="str">
        <f t="shared" si="3524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ref="K3282:L3282" si="3539">(J3282/60/60/24)+DATE(1970,1,1)</f>
        <v>42121.756921296299</v>
      </c>
      <c r="L3282" s="11">
        <f t="shared" si="3520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521"/>
        <v>103</v>
      </c>
      <c r="R3282" s="7">
        <f t="shared" si="3522"/>
        <v>68.666666666666671</v>
      </c>
      <c r="S3282" t="str">
        <f t="shared" si="3523"/>
        <v>theater</v>
      </c>
      <c r="T3282" t="str">
        <f t="shared" si="3524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ref="K3283:L3283" si="3540">(J3283/60/60/24)+DATE(1970,1,1)</f>
        <v>42219.019733796296</v>
      </c>
      <c r="L3283" s="11">
        <f t="shared" si="3520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521"/>
        <v>121.6</v>
      </c>
      <c r="R3283" s="7">
        <f t="shared" si="3522"/>
        <v>129.36170212765958</v>
      </c>
      <c r="S3283" t="str">
        <f t="shared" si="3523"/>
        <v>theater</v>
      </c>
      <c r="T3283" t="str">
        <f t="shared" si="3524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ref="K3284:L3284" si="3541">(J3284/60/60/24)+DATE(1970,1,1)</f>
        <v>42445.19430555556</v>
      </c>
      <c r="L3284" s="11">
        <f t="shared" si="3520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521"/>
        <v>102.6467741935484</v>
      </c>
      <c r="R3284" s="7">
        <f t="shared" si="3522"/>
        <v>134.26371308016877</v>
      </c>
      <c r="S3284" t="str">
        <f t="shared" si="3523"/>
        <v>theater</v>
      </c>
      <c r="T3284" t="str">
        <f t="shared" si="3524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ref="K3285:L3285" si="3542">(J3285/60/60/24)+DATE(1970,1,1)</f>
        <v>42379.74418981481</v>
      </c>
      <c r="L3285" s="11">
        <f t="shared" si="3520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521"/>
        <v>104.75000000000001</v>
      </c>
      <c r="R3285" s="7">
        <f t="shared" si="3522"/>
        <v>17.829787234042552</v>
      </c>
      <c r="S3285" t="str">
        <f t="shared" si="3523"/>
        <v>theater</v>
      </c>
      <c r="T3285" t="str">
        <f t="shared" si="3524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ref="K3286:L3286" si="3543">(J3286/60/60/24)+DATE(1970,1,1)</f>
        <v>42380.884872685187</v>
      </c>
      <c r="L3286" s="11">
        <f t="shared" si="3520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521"/>
        <v>101.6</v>
      </c>
      <c r="R3286" s="7">
        <f t="shared" si="3522"/>
        <v>203.2</v>
      </c>
      <c r="S3286" t="str">
        <f t="shared" si="3523"/>
        <v>theater</v>
      </c>
      <c r="T3286" t="str">
        <f t="shared" si="3524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ref="K3287:L3287" si="3544">(J3287/60/60/24)+DATE(1970,1,1)</f>
        <v>42762.942430555559</v>
      </c>
      <c r="L3287" s="11">
        <f t="shared" si="3520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521"/>
        <v>112.10242048409683</v>
      </c>
      <c r="R3287" s="7">
        <f t="shared" si="3522"/>
        <v>69.18518518518519</v>
      </c>
      <c r="S3287" t="str">
        <f t="shared" si="3523"/>
        <v>theater</v>
      </c>
      <c r="T3287" t="str">
        <f t="shared" si="3524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ref="K3288:L3288" si="3545">(J3288/60/60/24)+DATE(1970,1,1)</f>
        <v>42567.840069444443</v>
      </c>
      <c r="L3288" s="11">
        <f t="shared" si="3520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521"/>
        <v>101.76666666666667</v>
      </c>
      <c r="R3288" s="7">
        <f t="shared" si="3522"/>
        <v>125.12295081967213</v>
      </c>
      <c r="S3288" t="str">
        <f t="shared" si="3523"/>
        <v>theater</v>
      </c>
      <c r="T3288" t="str">
        <f t="shared" si="3524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ref="K3289:L3289" si="3546">(J3289/60/60/24)+DATE(1970,1,1)</f>
        <v>42311.750324074077</v>
      </c>
      <c r="L3289" s="11">
        <f t="shared" si="3520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521"/>
        <v>100</v>
      </c>
      <c r="R3289" s="7">
        <f t="shared" si="3522"/>
        <v>73.529411764705884</v>
      </c>
      <c r="S3289" t="str">
        <f t="shared" si="3523"/>
        <v>theater</v>
      </c>
      <c r="T3289" t="str">
        <f t="shared" si="3524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ref="K3290:L3290" si="3547">(J3290/60/60/24)+DATE(1970,1,1)</f>
        <v>42505.774479166663</v>
      </c>
      <c r="L3290" s="11">
        <f t="shared" si="3520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521"/>
        <v>100.26489999999998</v>
      </c>
      <c r="R3290" s="7">
        <f t="shared" si="3522"/>
        <v>48.437149758454105</v>
      </c>
      <c r="S3290" t="str">
        <f t="shared" si="3523"/>
        <v>theater</v>
      </c>
      <c r="T3290" t="str">
        <f t="shared" si="3524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ref="K3291:L3291" si="3548">(J3291/60/60/24)+DATE(1970,1,1)</f>
        <v>42758.368078703701</v>
      </c>
      <c r="L3291" s="11">
        <f t="shared" si="3520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521"/>
        <v>133.04200000000003</v>
      </c>
      <c r="R3291" s="7">
        <f t="shared" si="3522"/>
        <v>26.608400000000003</v>
      </c>
      <c r="S3291" t="str">
        <f t="shared" si="3523"/>
        <v>theater</v>
      </c>
      <c r="T3291" t="str">
        <f t="shared" si="3524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ref="K3292:L3292" si="3549">(J3292/60/60/24)+DATE(1970,1,1)</f>
        <v>42775.51494212963</v>
      </c>
      <c r="L3292" s="11">
        <f t="shared" si="3520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521"/>
        <v>121.2</v>
      </c>
      <c r="R3292" s="7">
        <f t="shared" si="3522"/>
        <v>33.666666666666664</v>
      </c>
      <c r="S3292" t="str">
        <f t="shared" si="3523"/>
        <v>theater</v>
      </c>
      <c r="T3292" t="str">
        <f t="shared" si="3524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ref="K3293:L3293" si="3550">(J3293/60/60/24)+DATE(1970,1,1)</f>
        <v>42232.702546296292</v>
      </c>
      <c r="L3293" s="11">
        <f t="shared" si="3520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521"/>
        <v>113.99999999999999</v>
      </c>
      <c r="R3293" s="7">
        <f t="shared" si="3522"/>
        <v>40.714285714285715</v>
      </c>
      <c r="S3293" t="str">
        <f t="shared" si="3523"/>
        <v>theater</v>
      </c>
      <c r="T3293" t="str">
        <f t="shared" si="3524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ref="K3294:L3294" si="3551">(J3294/60/60/24)+DATE(1970,1,1)</f>
        <v>42282.770231481481</v>
      </c>
      <c r="L3294" s="11">
        <f t="shared" si="3520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521"/>
        <v>286.13861386138615</v>
      </c>
      <c r="R3294" s="7">
        <f t="shared" si="3522"/>
        <v>19.266666666666666</v>
      </c>
      <c r="S3294" t="str">
        <f t="shared" si="3523"/>
        <v>theater</v>
      </c>
      <c r="T3294" t="str">
        <f t="shared" si="3524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ref="K3295:L3295" si="3552">(J3295/60/60/24)+DATE(1970,1,1)</f>
        <v>42768.425370370373</v>
      </c>
      <c r="L3295" s="11">
        <f t="shared" si="3520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521"/>
        <v>170.44444444444446</v>
      </c>
      <c r="R3295" s="7">
        <f t="shared" si="3522"/>
        <v>84.285714285714292</v>
      </c>
      <c r="S3295" t="str">
        <f t="shared" si="3523"/>
        <v>theater</v>
      </c>
      <c r="T3295" t="str">
        <f t="shared" si="3524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ref="K3296:L3296" si="3553">(J3296/60/60/24)+DATE(1970,1,1)</f>
        <v>42141.541134259256</v>
      </c>
      <c r="L3296" s="11">
        <f t="shared" si="3520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521"/>
        <v>118.33333333333333</v>
      </c>
      <c r="R3296" s="7">
        <f t="shared" si="3522"/>
        <v>29.583333333333332</v>
      </c>
      <c r="S3296" t="str">
        <f t="shared" si="3523"/>
        <v>theater</v>
      </c>
      <c r="T3296" t="str">
        <f t="shared" si="3524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ref="K3297:L3297" si="3554">(J3297/60/60/24)+DATE(1970,1,1)</f>
        <v>42609.442465277782</v>
      </c>
      <c r="L3297" s="11">
        <f t="shared" si="3520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521"/>
        <v>102.85857142857142</v>
      </c>
      <c r="R3297" s="7">
        <f t="shared" si="3522"/>
        <v>26.667037037037037</v>
      </c>
      <c r="S3297" t="str">
        <f t="shared" si="3523"/>
        <v>theater</v>
      </c>
      <c r="T3297" t="str">
        <f t="shared" si="3524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ref="K3298:L3298" si="3555">(J3298/60/60/24)+DATE(1970,1,1)</f>
        <v>42309.756620370375</v>
      </c>
      <c r="L3298" s="11">
        <f t="shared" si="3520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521"/>
        <v>144.06666666666666</v>
      </c>
      <c r="R3298" s="7">
        <f t="shared" si="3522"/>
        <v>45.978723404255319</v>
      </c>
      <c r="S3298" t="str">
        <f t="shared" si="3523"/>
        <v>theater</v>
      </c>
      <c r="T3298" t="str">
        <f t="shared" si="3524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ref="K3299:L3299" si="3556">(J3299/60/60/24)+DATE(1970,1,1)</f>
        <v>42193.771481481483</v>
      </c>
      <c r="L3299" s="11">
        <f t="shared" si="3520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521"/>
        <v>100.07272727272726</v>
      </c>
      <c r="R3299" s="7">
        <f t="shared" si="3522"/>
        <v>125.09090909090909</v>
      </c>
      <c r="S3299" t="str">
        <f t="shared" si="3523"/>
        <v>theater</v>
      </c>
      <c r="T3299" t="str">
        <f t="shared" si="3524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ref="K3300:L3300" si="3557">(J3300/60/60/24)+DATE(1970,1,1)</f>
        <v>42239.957962962959</v>
      </c>
      <c r="L3300" s="11">
        <f t="shared" si="3520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521"/>
        <v>101.73</v>
      </c>
      <c r="R3300" s="7">
        <f t="shared" si="3522"/>
        <v>141.29166666666666</v>
      </c>
      <c r="S3300" t="str">
        <f t="shared" si="3523"/>
        <v>theater</v>
      </c>
      <c r="T3300" t="str">
        <f t="shared" si="3524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ref="K3301:L3301" si="3558">(J3301/60/60/24)+DATE(1970,1,1)</f>
        <v>42261.917395833334</v>
      </c>
      <c r="L3301" s="11">
        <f t="shared" si="3520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521"/>
        <v>116.19999999999999</v>
      </c>
      <c r="R3301" s="7">
        <f t="shared" si="3522"/>
        <v>55.333333333333336</v>
      </c>
      <c r="S3301" t="str">
        <f t="shared" si="3523"/>
        <v>theater</v>
      </c>
      <c r="T3301" t="str">
        <f t="shared" si="3524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ref="K3302:L3302" si="3559">(J3302/60/60/24)+DATE(1970,1,1)</f>
        <v>42102.743773148148</v>
      </c>
      <c r="L3302" s="11">
        <f t="shared" si="3520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521"/>
        <v>136.16666666666666</v>
      </c>
      <c r="R3302" s="7">
        <f t="shared" si="3522"/>
        <v>46.420454545454547</v>
      </c>
      <c r="S3302" t="str">
        <f t="shared" si="3523"/>
        <v>theater</v>
      </c>
      <c r="T3302" t="str">
        <f t="shared" si="3524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ref="K3303:L3303" si="3560">(J3303/60/60/24)+DATE(1970,1,1)</f>
        <v>42538.73583333334</v>
      </c>
      <c r="L3303" s="11">
        <f t="shared" si="3520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521"/>
        <v>133.46666666666667</v>
      </c>
      <c r="R3303" s="7">
        <f t="shared" si="3522"/>
        <v>57.2</v>
      </c>
      <c r="S3303" t="str">
        <f t="shared" si="3523"/>
        <v>theater</v>
      </c>
      <c r="T3303" t="str">
        <f t="shared" si="3524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ref="K3304:L3304" si="3561">(J3304/60/60/24)+DATE(1970,1,1)</f>
        <v>42681.35157407407</v>
      </c>
      <c r="L3304" s="11">
        <f t="shared" si="3520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521"/>
        <v>103.39285714285715</v>
      </c>
      <c r="R3304" s="7">
        <f t="shared" si="3522"/>
        <v>173.7</v>
      </c>
      <c r="S3304" t="str">
        <f t="shared" si="3523"/>
        <v>theater</v>
      </c>
      <c r="T3304" t="str">
        <f t="shared" si="3524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ref="K3305:L3305" si="3562">(J3305/60/60/24)+DATE(1970,1,1)</f>
        <v>42056.65143518518</v>
      </c>
      <c r="L3305" s="11">
        <f t="shared" si="3520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521"/>
        <v>115.88888888888889</v>
      </c>
      <c r="R3305" s="7">
        <f t="shared" si="3522"/>
        <v>59.6</v>
      </c>
      <c r="S3305" t="str">
        <f t="shared" si="3523"/>
        <v>theater</v>
      </c>
      <c r="T3305" t="str">
        <f t="shared" si="3524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ref="K3306:L3306" si="3563">(J3306/60/60/24)+DATE(1970,1,1)</f>
        <v>42696.624444444446</v>
      </c>
      <c r="L3306" s="11">
        <f t="shared" si="3520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521"/>
        <v>104.51666666666665</v>
      </c>
      <c r="R3306" s="7">
        <f t="shared" si="3522"/>
        <v>89.585714285714289</v>
      </c>
      <c r="S3306" t="str">
        <f t="shared" si="3523"/>
        <v>theater</v>
      </c>
      <c r="T3306" t="str">
        <f t="shared" si="3524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ref="K3307:L3307" si="3564">(J3307/60/60/24)+DATE(1970,1,1)</f>
        <v>42186.855879629627</v>
      </c>
      <c r="L3307" s="11">
        <f t="shared" si="3520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521"/>
        <v>102.02500000000001</v>
      </c>
      <c r="R3307" s="7">
        <f t="shared" si="3522"/>
        <v>204.05</v>
      </c>
      <c r="S3307" t="str">
        <f t="shared" si="3523"/>
        <v>theater</v>
      </c>
      <c r="T3307" t="str">
        <f t="shared" si="3524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ref="K3308:L3308" si="3565">(J3308/60/60/24)+DATE(1970,1,1)</f>
        <v>42493.219236111108</v>
      </c>
      <c r="L3308" s="11">
        <f t="shared" si="3520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521"/>
        <v>175.33333333333334</v>
      </c>
      <c r="R3308" s="7">
        <f t="shared" si="3522"/>
        <v>48.703703703703702</v>
      </c>
      <c r="S3308" t="str">
        <f t="shared" si="3523"/>
        <v>theater</v>
      </c>
      <c r="T3308" t="str">
        <f t="shared" si="3524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ref="K3309:L3309" si="3566">(J3309/60/60/24)+DATE(1970,1,1)</f>
        <v>42475.057164351849</v>
      </c>
      <c r="L3309" s="11">
        <f t="shared" si="3520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521"/>
        <v>106.67999999999999</v>
      </c>
      <c r="R3309" s="7">
        <f t="shared" si="3522"/>
        <v>53.339999999999996</v>
      </c>
      <c r="S3309" t="str">
        <f t="shared" si="3523"/>
        <v>theater</v>
      </c>
      <c r="T3309" t="str">
        <f t="shared" si="3524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ref="K3310:L3310" si="3567">(J3310/60/60/24)+DATE(1970,1,1)</f>
        <v>42452.876909722225</v>
      </c>
      <c r="L3310" s="11">
        <f t="shared" si="3520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521"/>
        <v>122.28571428571429</v>
      </c>
      <c r="R3310" s="7">
        <f t="shared" si="3522"/>
        <v>75.087719298245617</v>
      </c>
      <c r="S3310" t="str">
        <f t="shared" si="3523"/>
        <v>theater</v>
      </c>
      <c r="T3310" t="str">
        <f t="shared" si="3524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ref="K3311:L3311" si="3568">(J3311/60/60/24)+DATE(1970,1,1)</f>
        <v>42628.650208333333</v>
      </c>
      <c r="L3311" s="11">
        <f t="shared" si="3520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521"/>
        <v>159.42857142857144</v>
      </c>
      <c r="R3311" s="7">
        <f t="shared" si="3522"/>
        <v>18</v>
      </c>
      <c r="S3311" t="str">
        <f t="shared" si="3523"/>
        <v>theater</v>
      </c>
      <c r="T3311" t="str">
        <f t="shared" si="3524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ref="K3312:L3312" si="3569">(J3312/60/60/24)+DATE(1970,1,1)</f>
        <v>42253.928530092591</v>
      </c>
      <c r="L3312" s="11">
        <f t="shared" si="3520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521"/>
        <v>100.07692307692308</v>
      </c>
      <c r="R3312" s="7">
        <f t="shared" si="3522"/>
        <v>209.83870967741936</v>
      </c>
      <c r="S3312" t="str">
        <f t="shared" si="3523"/>
        <v>theater</v>
      </c>
      <c r="T3312" t="str">
        <f t="shared" si="3524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ref="K3313:L3313" si="3570">(J3313/60/60/24)+DATE(1970,1,1)</f>
        <v>42264.29178240741</v>
      </c>
      <c r="L3313" s="11">
        <f t="shared" si="3520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521"/>
        <v>109.84</v>
      </c>
      <c r="R3313" s="7">
        <f t="shared" si="3522"/>
        <v>61.022222222222226</v>
      </c>
      <c r="S3313" t="str">
        <f t="shared" si="3523"/>
        <v>theater</v>
      </c>
      <c r="T3313" t="str">
        <f t="shared" si="3524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ref="K3314:L3314" si="3571">(J3314/60/60/24)+DATE(1970,1,1)</f>
        <v>42664.809560185182</v>
      </c>
      <c r="L3314" s="11">
        <f t="shared" si="3520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521"/>
        <v>100.03999999999999</v>
      </c>
      <c r="R3314" s="7">
        <f t="shared" si="3522"/>
        <v>61</v>
      </c>
      <c r="S3314" t="str">
        <f t="shared" si="3523"/>
        <v>theater</v>
      </c>
      <c r="T3314" t="str">
        <f t="shared" si="3524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ref="K3315:L3315" si="3572">(J3315/60/60/24)+DATE(1970,1,1)</f>
        <v>42382.244409722218</v>
      </c>
      <c r="L3315" s="11">
        <f t="shared" si="3520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521"/>
        <v>116.05000000000001</v>
      </c>
      <c r="R3315" s="7">
        <f t="shared" si="3522"/>
        <v>80.034482758620683</v>
      </c>
      <c r="S3315" t="str">
        <f t="shared" si="3523"/>
        <v>theater</v>
      </c>
      <c r="T3315" t="str">
        <f t="shared" si="3524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ref="K3316:L3316" si="3573">(J3316/60/60/24)+DATE(1970,1,1)</f>
        <v>42105.267488425925</v>
      </c>
      <c r="L3316" s="11">
        <f t="shared" si="3520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521"/>
        <v>210.75</v>
      </c>
      <c r="R3316" s="7">
        <f t="shared" si="3522"/>
        <v>29.068965517241381</v>
      </c>
      <c r="S3316" t="str">
        <f t="shared" si="3523"/>
        <v>theater</v>
      </c>
      <c r="T3316" t="str">
        <f t="shared" si="3524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ref="K3317:L3317" si="3574">(J3317/60/60/24)+DATE(1970,1,1)</f>
        <v>42466.303715277783</v>
      </c>
      <c r="L3317" s="11">
        <f t="shared" si="3520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521"/>
        <v>110.00000000000001</v>
      </c>
      <c r="R3317" s="7">
        <f t="shared" si="3522"/>
        <v>49.438202247191015</v>
      </c>
      <c r="S3317" t="str">
        <f t="shared" si="3523"/>
        <v>theater</v>
      </c>
      <c r="T3317" t="str">
        <f t="shared" si="3524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ref="K3318:L3318" si="3575">(J3318/60/60/24)+DATE(1970,1,1)</f>
        <v>41826.871238425927</v>
      </c>
      <c r="L3318" s="11">
        <f t="shared" si="3520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521"/>
        <v>100.08673425918037</v>
      </c>
      <c r="R3318" s="7">
        <f t="shared" si="3522"/>
        <v>93.977440000000001</v>
      </c>
      <c r="S3318" t="str">
        <f t="shared" si="3523"/>
        <v>theater</v>
      </c>
      <c r="T3318" t="str">
        <f t="shared" si="3524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ref="K3319:L3319" si="3576">(J3319/60/60/24)+DATE(1970,1,1)</f>
        <v>42499.039629629624</v>
      </c>
      <c r="L3319" s="11">
        <f t="shared" si="3520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521"/>
        <v>106.19047619047619</v>
      </c>
      <c r="R3319" s="7">
        <f t="shared" si="3522"/>
        <v>61.944444444444443</v>
      </c>
      <c r="S3319" t="str">
        <f t="shared" si="3523"/>
        <v>theater</v>
      </c>
      <c r="T3319" t="str">
        <f t="shared" si="3524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ref="K3320:L3320" si="3577">(J3320/60/60/24)+DATE(1970,1,1)</f>
        <v>42431.302002314813</v>
      </c>
      <c r="L3320" s="11">
        <f t="shared" si="3520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521"/>
        <v>125.6</v>
      </c>
      <c r="R3320" s="7">
        <f t="shared" si="3522"/>
        <v>78.5</v>
      </c>
      <c r="S3320" t="str">
        <f t="shared" si="3523"/>
        <v>theater</v>
      </c>
      <c r="T3320" t="str">
        <f t="shared" si="3524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ref="K3321:L3321" si="3578">(J3321/60/60/24)+DATE(1970,1,1)</f>
        <v>41990.585486111115</v>
      </c>
      <c r="L3321" s="11">
        <f t="shared" si="3520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521"/>
        <v>108</v>
      </c>
      <c r="R3321" s="7">
        <f t="shared" si="3522"/>
        <v>33.75</v>
      </c>
      <c r="S3321" t="str">
        <f t="shared" si="3523"/>
        <v>theater</v>
      </c>
      <c r="T3321" t="str">
        <f t="shared" si="3524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ref="K3322:L3322" si="3579">(J3322/60/60/24)+DATE(1970,1,1)</f>
        <v>42513.045798611114</v>
      </c>
      <c r="L3322" s="11">
        <f t="shared" si="3520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521"/>
        <v>101</v>
      </c>
      <c r="R3322" s="7">
        <f t="shared" si="3522"/>
        <v>66.44736842105263</v>
      </c>
      <c r="S3322" t="str">
        <f t="shared" si="3523"/>
        <v>theater</v>
      </c>
      <c r="T3322" t="str">
        <f t="shared" si="3524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ref="K3323:L3323" si="3580">(J3323/60/60/24)+DATE(1970,1,1)</f>
        <v>41914.100289351853</v>
      </c>
      <c r="L3323" s="11">
        <f t="shared" si="3520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521"/>
        <v>107.4</v>
      </c>
      <c r="R3323" s="7">
        <f t="shared" si="3522"/>
        <v>35.799999999999997</v>
      </c>
      <c r="S3323" t="str">
        <f t="shared" si="3523"/>
        <v>theater</v>
      </c>
      <c r="T3323" t="str">
        <f t="shared" si="3524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ref="K3324:L3324" si="3581">(J3324/60/60/24)+DATE(1970,1,1)</f>
        <v>42521.010370370372</v>
      </c>
      <c r="L3324" s="11">
        <f t="shared" si="3520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521"/>
        <v>101.51515151515152</v>
      </c>
      <c r="R3324" s="7">
        <f t="shared" si="3522"/>
        <v>145.65217391304347</v>
      </c>
      <c r="S3324" t="str">
        <f t="shared" si="3523"/>
        <v>theater</v>
      </c>
      <c r="T3324" t="str">
        <f t="shared" si="3524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ref="K3325:L3325" si="3582">(J3325/60/60/24)+DATE(1970,1,1)</f>
        <v>42608.36583333333</v>
      </c>
      <c r="L3325" s="11">
        <f t="shared" si="3520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521"/>
        <v>125.89999999999999</v>
      </c>
      <c r="R3325" s="7">
        <f t="shared" si="3522"/>
        <v>25.693877551020407</v>
      </c>
      <c r="S3325" t="str">
        <f t="shared" si="3523"/>
        <v>theater</v>
      </c>
      <c r="T3325" t="str">
        <f t="shared" si="3524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ref="K3326:L3326" si="3583">(J3326/60/60/24)+DATE(1970,1,1)</f>
        <v>42512.58321759259</v>
      </c>
      <c r="L3326" s="11">
        <f t="shared" si="3520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521"/>
        <v>101.66666666666666</v>
      </c>
      <c r="R3326" s="7">
        <f t="shared" si="3522"/>
        <v>152.5</v>
      </c>
      <c r="S3326" t="str">
        <f t="shared" si="3523"/>
        <v>theater</v>
      </c>
      <c r="T3326" t="str">
        <f t="shared" si="3524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ref="K3327:L3327" si="3584">(J3327/60/60/24)+DATE(1970,1,1)</f>
        <v>42064.785613425927</v>
      </c>
      <c r="L3327" s="11">
        <f t="shared" si="3520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521"/>
        <v>112.5</v>
      </c>
      <c r="R3327" s="7">
        <f t="shared" si="3522"/>
        <v>30</v>
      </c>
      <c r="S3327" t="str">
        <f t="shared" si="3523"/>
        <v>theater</v>
      </c>
      <c r="T3327" t="str">
        <f t="shared" si="3524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ref="K3328:L3328" si="3585">(J3328/60/60/24)+DATE(1970,1,1)</f>
        <v>42041.714178240742</v>
      </c>
      <c r="L3328" s="11">
        <f t="shared" si="3520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521"/>
        <v>101.375</v>
      </c>
      <c r="R3328" s="7">
        <f t="shared" si="3522"/>
        <v>142.28070175438597</v>
      </c>
      <c r="S3328" t="str">
        <f t="shared" si="3523"/>
        <v>theater</v>
      </c>
      <c r="T3328" t="str">
        <f t="shared" si="3524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ref="K3329:L3329" si="3586">(J3329/60/60/24)+DATE(1970,1,1)</f>
        <v>42468.374606481477</v>
      </c>
      <c r="L3329" s="11">
        <f t="shared" si="3520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521"/>
        <v>101.25</v>
      </c>
      <c r="R3329" s="7">
        <f t="shared" si="3522"/>
        <v>24.545454545454547</v>
      </c>
      <c r="S3329" t="str">
        <f t="shared" si="3523"/>
        <v>theater</v>
      </c>
      <c r="T3329" t="str">
        <f t="shared" si="3524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ref="K3330:L3330" si="3587">(J3330/60/60/24)+DATE(1970,1,1)</f>
        <v>41822.57503472222</v>
      </c>
      <c r="L3330" s="11">
        <f t="shared" si="3520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521"/>
        <v>146.38888888888889</v>
      </c>
      <c r="R3330" s="7">
        <f t="shared" si="3522"/>
        <v>292.77777777777777</v>
      </c>
      <c r="S3330" t="str">
        <f t="shared" si="3523"/>
        <v>theater</v>
      </c>
      <c r="T3330" t="str">
        <f t="shared" si="3524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ref="K3331:L3331" si="3588">(J3331/60/60/24)+DATE(1970,1,1)</f>
        <v>41837.323009259257</v>
      </c>
      <c r="L3331" s="11">
        <f t="shared" ref="L3331:L3394" si="3589">(I3331/60/60/24)+DATE(1970,1,1)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590">(E3331/D3331)*100</f>
        <v>116.8</v>
      </c>
      <c r="R3331" s="7">
        <f t="shared" ref="R3331:R3394" si="3591">IFERROR(E3331/N3331, 0)</f>
        <v>44.92307692307692</v>
      </c>
      <c r="S3331" t="str">
        <f t="shared" ref="S3331:S3394" si="3592">LEFT(P3331, SEARCH("/", P3331,1)-1)</f>
        <v>theater</v>
      </c>
      <c r="T3331" t="str">
        <f t="shared" ref="T3331:T3394" si="3593">RIGHT(P3331,LEN(P3331)-SEARCH("/",P3331,SEARCH("/",P3331)))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ref="K3332:L3332" si="3594">(J3332/60/60/24)+DATE(1970,1,1)</f>
        <v>42065.887361111112</v>
      </c>
      <c r="L3332" s="11">
        <f t="shared" si="358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590"/>
        <v>106.26666666666667</v>
      </c>
      <c r="R3332" s="7">
        <f t="shared" si="3591"/>
        <v>23.10144927536232</v>
      </c>
      <c r="S3332" t="str">
        <f t="shared" si="3592"/>
        <v>theater</v>
      </c>
      <c r="T3332" t="str">
        <f t="shared" si="3593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ref="K3333:L3333" si="3595">(J3333/60/60/24)+DATE(1970,1,1)</f>
        <v>42248.697754629626</v>
      </c>
      <c r="L3333" s="11">
        <f t="shared" si="358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590"/>
        <v>104.52</v>
      </c>
      <c r="R3333" s="7">
        <f t="shared" si="3591"/>
        <v>80.400000000000006</v>
      </c>
      <c r="S3333" t="str">
        <f t="shared" si="3592"/>
        <v>theater</v>
      </c>
      <c r="T3333" t="str">
        <f t="shared" si="3593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ref="K3334:L3334" si="3596">(J3334/60/60/24)+DATE(1970,1,1)</f>
        <v>41809.860300925924</v>
      </c>
      <c r="L3334" s="11">
        <f t="shared" si="358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590"/>
        <v>100</v>
      </c>
      <c r="R3334" s="7">
        <f t="shared" si="3591"/>
        <v>72.289156626506028</v>
      </c>
      <c r="S3334" t="str">
        <f t="shared" si="3592"/>
        <v>theater</v>
      </c>
      <c r="T3334" t="str">
        <f t="shared" si="3593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ref="K3335:L3335" si="3597">(J3335/60/60/24)+DATE(1970,1,1)</f>
        <v>42148.676851851851</v>
      </c>
      <c r="L3335" s="11">
        <f t="shared" si="358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590"/>
        <v>104.57142857142858</v>
      </c>
      <c r="R3335" s="7">
        <f t="shared" si="3591"/>
        <v>32.972972972972975</v>
      </c>
      <c r="S3335" t="str">
        <f t="shared" si="3592"/>
        <v>theater</v>
      </c>
      <c r="T3335" t="str">
        <f t="shared" si="3593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ref="K3336:L3336" si="3598">(J3336/60/60/24)+DATE(1970,1,1)</f>
        <v>42185.521087962959</v>
      </c>
      <c r="L3336" s="11">
        <f t="shared" si="358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590"/>
        <v>138.62051149573753</v>
      </c>
      <c r="R3336" s="7">
        <f t="shared" si="3591"/>
        <v>116.65217391304348</v>
      </c>
      <c r="S3336" t="str">
        <f t="shared" si="3592"/>
        <v>theater</v>
      </c>
      <c r="T3336" t="str">
        <f t="shared" si="3593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ref="K3337:L3337" si="3599">(J3337/60/60/24)+DATE(1970,1,1)</f>
        <v>41827.674143518518</v>
      </c>
      <c r="L3337" s="11">
        <f t="shared" si="358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590"/>
        <v>100.32000000000001</v>
      </c>
      <c r="R3337" s="7">
        <f t="shared" si="3591"/>
        <v>79.61904761904762</v>
      </c>
      <c r="S3337" t="str">
        <f t="shared" si="3592"/>
        <v>theater</v>
      </c>
      <c r="T3337" t="str">
        <f t="shared" si="3593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ref="K3338:L3338" si="3600">(J3338/60/60/24)+DATE(1970,1,1)</f>
        <v>42437.398680555561</v>
      </c>
      <c r="L3338" s="11">
        <f t="shared" si="358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590"/>
        <v>100</v>
      </c>
      <c r="R3338" s="7">
        <f t="shared" si="3591"/>
        <v>27.777777777777779</v>
      </c>
      <c r="S3338" t="str">
        <f t="shared" si="3592"/>
        <v>theater</v>
      </c>
      <c r="T3338" t="str">
        <f t="shared" si="3593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ref="K3339:L3339" si="3601">(J3339/60/60/24)+DATE(1970,1,1)</f>
        <v>41901.282025462962</v>
      </c>
      <c r="L3339" s="11">
        <f t="shared" si="3589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590"/>
        <v>110.2</v>
      </c>
      <c r="R3339" s="7">
        <f t="shared" si="3591"/>
        <v>81.029411764705884</v>
      </c>
      <c r="S3339" t="str">
        <f t="shared" si="3592"/>
        <v>theater</v>
      </c>
      <c r="T3339" t="str">
        <f t="shared" si="3593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ref="K3340:L3340" si="3602">(J3340/60/60/24)+DATE(1970,1,1)</f>
        <v>42769.574999999997</v>
      </c>
      <c r="L3340" s="11">
        <f t="shared" si="358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590"/>
        <v>102.18</v>
      </c>
      <c r="R3340" s="7">
        <f t="shared" si="3591"/>
        <v>136.84821428571428</v>
      </c>
      <c r="S3340" t="str">
        <f t="shared" si="3592"/>
        <v>theater</v>
      </c>
      <c r="T3340" t="str">
        <f t="shared" si="3593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ref="K3341:L3341" si="3603">(J3341/60/60/24)+DATE(1970,1,1)</f>
        <v>42549.665717592594</v>
      </c>
      <c r="L3341" s="11">
        <f t="shared" si="358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590"/>
        <v>104.35000000000001</v>
      </c>
      <c r="R3341" s="7">
        <f t="shared" si="3591"/>
        <v>177.61702127659575</v>
      </c>
      <c r="S3341" t="str">
        <f t="shared" si="3592"/>
        <v>theater</v>
      </c>
      <c r="T3341" t="str">
        <f t="shared" si="3593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ref="K3342:L3342" si="3604">(J3342/60/60/24)+DATE(1970,1,1)</f>
        <v>42685.974004629628</v>
      </c>
      <c r="L3342" s="11">
        <f t="shared" si="358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590"/>
        <v>138.16666666666666</v>
      </c>
      <c r="R3342" s="7">
        <f t="shared" si="3591"/>
        <v>109.07894736842105</v>
      </c>
      <c r="S3342" t="str">
        <f t="shared" si="3592"/>
        <v>theater</v>
      </c>
      <c r="T3342" t="str">
        <f t="shared" si="3593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ref="K3343:L3343" si="3605">(J3343/60/60/24)+DATE(1970,1,1)</f>
        <v>42510.798854166671</v>
      </c>
      <c r="L3343" s="11">
        <f t="shared" si="358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590"/>
        <v>100</v>
      </c>
      <c r="R3343" s="7">
        <f t="shared" si="3591"/>
        <v>119.64285714285714</v>
      </c>
      <c r="S3343" t="str">
        <f t="shared" si="3592"/>
        <v>theater</v>
      </c>
      <c r="T3343" t="str">
        <f t="shared" si="3593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ref="K3344:L3344" si="3606">(J3344/60/60/24)+DATE(1970,1,1)</f>
        <v>42062.296412037031</v>
      </c>
      <c r="L3344" s="11">
        <f t="shared" si="358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590"/>
        <v>101.66666666666666</v>
      </c>
      <c r="R3344" s="7">
        <f t="shared" si="3591"/>
        <v>78.205128205128204</v>
      </c>
      <c r="S3344" t="str">
        <f t="shared" si="3592"/>
        <v>theater</v>
      </c>
      <c r="T3344" t="str">
        <f t="shared" si="3593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ref="K3345:L3345" si="3607">(J3345/60/60/24)+DATE(1970,1,1)</f>
        <v>42452.916481481487</v>
      </c>
      <c r="L3345" s="11">
        <f t="shared" si="358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590"/>
        <v>171.42857142857142</v>
      </c>
      <c r="R3345" s="7">
        <f t="shared" si="3591"/>
        <v>52.173913043478258</v>
      </c>
      <c r="S3345" t="str">
        <f t="shared" si="3592"/>
        <v>theater</v>
      </c>
      <c r="T3345" t="str">
        <f t="shared" si="3593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ref="K3346:L3346" si="3608">(J3346/60/60/24)+DATE(1970,1,1)</f>
        <v>41851.200150462959</v>
      </c>
      <c r="L3346" s="11">
        <f t="shared" si="358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590"/>
        <v>101.44444444444444</v>
      </c>
      <c r="R3346" s="7">
        <f t="shared" si="3591"/>
        <v>114.125</v>
      </c>
      <c r="S3346" t="str">
        <f t="shared" si="3592"/>
        <v>theater</v>
      </c>
      <c r="T3346" t="str">
        <f t="shared" si="3593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ref="K3347:L3347" si="3609">(J3347/60/60/24)+DATE(1970,1,1)</f>
        <v>42053.106111111112</v>
      </c>
      <c r="L3347" s="11">
        <f t="shared" si="358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590"/>
        <v>130</v>
      </c>
      <c r="R3347" s="7">
        <f t="shared" si="3591"/>
        <v>50</v>
      </c>
      <c r="S3347" t="str">
        <f t="shared" si="3592"/>
        <v>theater</v>
      </c>
      <c r="T3347" t="str">
        <f t="shared" si="3593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ref="K3348:L3348" si="3610">(J3348/60/60/24)+DATE(1970,1,1)</f>
        <v>42054.024421296301</v>
      </c>
      <c r="L3348" s="11">
        <f t="shared" si="358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590"/>
        <v>110.00000000000001</v>
      </c>
      <c r="R3348" s="7">
        <f t="shared" si="3591"/>
        <v>91.666666666666671</v>
      </c>
      <c r="S3348" t="str">
        <f t="shared" si="3592"/>
        <v>theater</v>
      </c>
      <c r="T3348" t="str">
        <f t="shared" si="3593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ref="K3349:L3349" si="3611">(J3349/60/60/24)+DATE(1970,1,1)</f>
        <v>42484.551550925928</v>
      </c>
      <c r="L3349" s="11">
        <f t="shared" si="3589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590"/>
        <v>119.44999999999999</v>
      </c>
      <c r="R3349" s="7">
        <f t="shared" si="3591"/>
        <v>108.59090909090909</v>
      </c>
      <c r="S3349" t="str">
        <f t="shared" si="3592"/>
        <v>theater</v>
      </c>
      <c r="T3349" t="str">
        <f t="shared" si="3593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ref="K3350:L3350" si="3612">(J3350/60/60/24)+DATE(1970,1,1)</f>
        <v>42466.558796296296</v>
      </c>
      <c r="L3350" s="11">
        <f t="shared" si="358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590"/>
        <v>100.2909090909091</v>
      </c>
      <c r="R3350" s="7">
        <f t="shared" si="3591"/>
        <v>69.822784810126578</v>
      </c>
      <c r="S3350" t="str">
        <f t="shared" si="3592"/>
        <v>theater</v>
      </c>
      <c r="T3350" t="str">
        <f t="shared" si="3593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ref="K3351:L3351" si="3613">(J3351/60/60/24)+DATE(1970,1,1)</f>
        <v>42513.110787037032</v>
      </c>
      <c r="L3351" s="11">
        <f t="shared" si="358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590"/>
        <v>153.4</v>
      </c>
      <c r="R3351" s="7">
        <f t="shared" si="3591"/>
        <v>109.57142857142857</v>
      </c>
      <c r="S3351" t="str">
        <f t="shared" si="3592"/>
        <v>theater</v>
      </c>
      <c r="T3351" t="str">
        <f t="shared" si="3593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ref="K3352:L3352" si="3614">(J3352/60/60/24)+DATE(1970,1,1)</f>
        <v>42302.701516203699</v>
      </c>
      <c r="L3352" s="11">
        <f t="shared" si="358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590"/>
        <v>104.42857142857143</v>
      </c>
      <c r="R3352" s="7">
        <f t="shared" si="3591"/>
        <v>71.666666666666671</v>
      </c>
      <c r="S3352" t="str">
        <f t="shared" si="3592"/>
        <v>theater</v>
      </c>
      <c r="T3352" t="str">
        <f t="shared" si="3593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ref="K3353:L3353" si="3615">(J3353/60/60/24)+DATE(1970,1,1)</f>
        <v>41806.395428240743</v>
      </c>
      <c r="L3353" s="11">
        <f t="shared" si="358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590"/>
        <v>101.1</v>
      </c>
      <c r="R3353" s="7">
        <f t="shared" si="3591"/>
        <v>93.611111111111114</v>
      </c>
      <c r="S3353" t="str">
        <f t="shared" si="3592"/>
        <v>theater</v>
      </c>
      <c r="T3353" t="str">
        <f t="shared" si="3593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ref="K3354:L3354" si="3616">(J3354/60/60/24)+DATE(1970,1,1)</f>
        <v>42495.992800925931</v>
      </c>
      <c r="L3354" s="11">
        <f t="shared" si="358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590"/>
        <v>107.52</v>
      </c>
      <c r="R3354" s="7">
        <f t="shared" si="3591"/>
        <v>76.8</v>
      </c>
      <c r="S3354" t="str">
        <f t="shared" si="3592"/>
        <v>theater</v>
      </c>
      <c r="T3354" t="str">
        <f t="shared" si="3593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ref="K3355:L3355" si="3617">(J3355/60/60/24)+DATE(1970,1,1)</f>
        <v>42479.432291666672</v>
      </c>
      <c r="L3355" s="11">
        <f t="shared" si="358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590"/>
        <v>315</v>
      </c>
      <c r="R3355" s="7">
        <f t="shared" si="3591"/>
        <v>35.795454545454547</v>
      </c>
      <c r="S3355" t="str">
        <f t="shared" si="3592"/>
        <v>theater</v>
      </c>
      <c r="T3355" t="str">
        <f t="shared" si="3593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ref="K3356:L3356" si="3618">(J3356/60/60/24)+DATE(1970,1,1)</f>
        <v>42270.7269212963</v>
      </c>
      <c r="L3356" s="11">
        <f t="shared" si="358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590"/>
        <v>101.93333333333334</v>
      </c>
      <c r="R3356" s="7">
        <f t="shared" si="3591"/>
        <v>55.6</v>
      </c>
      <c r="S3356" t="str">
        <f t="shared" si="3592"/>
        <v>theater</v>
      </c>
      <c r="T3356" t="str">
        <f t="shared" si="3593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ref="K3357:L3357" si="3619">(J3357/60/60/24)+DATE(1970,1,1)</f>
        <v>42489.619525462964</v>
      </c>
      <c r="L3357" s="11">
        <f t="shared" si="358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590"/>
        <v>126.28571428571429</v>
      </c>
      <c r="R3357" s="7">
        <f t="shared" si="3591"/>
        <v>147.33333333333334</v>
      </c>
      <c r="S3357" t="str">
        <f t="shared" si="3592"/>
        <v>theater</v>
      </c>
      <c r="T3357" t="str">
        <f t="shared" si="3593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ref="K3358:L3358" si="3620">(J3358/60/60/24)+DATE(1970,1,1)</f>
        <v>42536.815648148149</v>
      </c>
      <c r="L3358" s="11">
        <f t="shared" si="358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590"/>
        <v>101.4</v>
      </c>
      <c r="R3358" s="7">
        <f t="shared" si="3591"/>
        <v>56.333333333333336</v>
      </c>
      <c r="S3358" t="str">
        <f t="shared" si="3592"/>
        <v>theater</v>
      </c>
      <c r="T3358" t="str">
        <f t="shared" si="3593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ref="K3359:L3359" si="3621">(J3359/60/60/24)+DATE(1970,1,1)</f>
        <v>41822.417939814812</v>
      </c>
      <c r="L3359" s="11">
        <f t="shared" si="358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590"/>
        <v>101</v>
      </c>
      <c r="R3359" s="7">
        <f t="shared" si="3591"/>
        <v>96.19047619047619</v>
      </c>
      <c r="S3359" t="str">
        <f t="shared" si="3592"/>
        <v>theater</v>
      </c>
      <c r="T3359" t="str">
        <f t="shared" si="3593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ref="K3360:L3360" si="3622">(J3360/60/60/24)+DATE(1970,1,1)</f>
        <v>41932.311099537037</v>
      </c>
      <c r="L3360" s="11">
        <f t="shared" si="358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590"/>
        <v>102.99000000000001</v>
      </c>
      <c r="R3360" s="7">
        <f t="shared" si="3591"/>
        <v>63.574074074074076</v>
      </c>
      <c r="S3360" t="str">
        <f t="shared" si="3592"/>
        <v>theater</v>
      </c>
      <c r="T3360" t="str">
        <f t="shared" si="3593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ref="K3361:L3361" si="3623">(J3361/60/60/24)+DATE(1970,1,1)</f>
        <v>42746.057106481487</v>
      </c>
      <c r="L3361" s="11">
        <f t="shared" si="358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590"/>
        <v>106.25</v>
      </c>
      <c r="R3361" s="7">
        <f t="shared" si="3591"/>
        <v>184.78260869565219</v>
      </c>
      <c r="S3361" t="str">
        <f t="shared" si="3592"/>
        <v>theater</v>
      </c>
      <c r="T3361" t="str">
        <f t="shared" si="3593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ref="K3362:L3362" si="3624">(J3362/60/60/24)+DATE(1970,1,1)</f>
        <v>42697.082673611112</v>
      </c>
      <c r="L3362" s="11">
        <f t="shared" si="358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590"/>
        <v>101.37777777777779</v>
      </c>
      <c r="R3362" s="7">
        <f t="shared" si="3591"/>
        <v>126.72222222222223</v>
      </c>
      <c r="S3362" t="str">
        <f t="shared" si="3592"/>
        <v>theater</v>
      </c>
      <c r="T3362" t="str">
        <f t="shared" si="3593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ref="K3363:L3363" si="3625">(J3363/60/60/24)+DATE(1970,1,1)</f>
        <v>41866.025347222225</v>
      </c>
      <c r="L3363" s="11">
        <f t="shared" si="358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590"/>
        <v>113.46000000000001</v>
      </c>
      <c r="R3363" s="7">
        <f t="shared" si="3591"/>
        <v>83.42647058823529</v>
      </c>
      <c r="S3363" t="str">
        <f t="shared" si="3592"/>
        <v>theater</v>
      </c>
      <c r="T3363" t="str">
        <f t="shared" si="3593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ref="K3364:L3364" si="3626">(J3364/60/60/24)+DATE(1970,1,1)</f>
        <v>42056.091631944444</v>
      </c>
      <c r="L3364" s="11">
        <f t="shared" si="358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590"/>
        <v>218.00000000000003</v>
      </c>
      <c r="R3364" s="7">
        <f t="shared" si="3591"/>
        <v>54.5</v>
      </c>
      <c r="S3364" t="str">
        <f t="shared" si="3592"/>
        <v>theater</v>
      </c>
      <c r="T3364" t="str">
        <f t="shared" si="3593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ref="K3365:L3365" si="3627">(J3365/60/60/24)+DATE(1970,1,1)</f>
        <v>41851.771354166667</v>
      </c>
      <c r="L3365" s="11">
        <f t="shared" si="358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590"/>
        <v>101.41935483870968</v>
      </c>
      <c r="R3365" s="7">
        <f t="shared" si="3591"/>
        <v>302.30769230769232</v>
      </c>
      <c r="S3365" t="str">
        <f t="shared" si="3592"/>
        <v>theater</v>
      </c>
      <c r="T3365" t="str">
        <f t="shared" si="3593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ref="K3366:L3366" si="3628">(J3366/60/60/24)+DATE(1970,1,1)</f>
        <v>42422.977418981478</v>
      </c>
      <c r="L3366" s="11">
        <f t="shared" si="3589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590"/>
        <v>105.93333333333332</v>
      </c>
      <c r="R3366" s="7">
        <f t="shared" si="3591"/>
        <v>44.138888888888886</v>
      </c>
      <c r="S3366" t="str">
        <f t="shared" si="3592"/>
        <v>theater</v>
      </c>
      <c r="T3366" t="str">
        <f t="shared" si="3593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ref="K3367:L3367" si="3629">(J3367/60/60/24)+DATE(1970,1,1)</f>
        <v>42321.101759259262</v>
      </c>
      <c r="L3367" s="11">
        <f t="shared" si="358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590"/>
        <v>104</v>
      </c>
      <c r="R3367" s="7">
        <f t="shared" si="3591"/>
        <v>866.66666666666663</v>
      </c>
      <c r="S3367" t="str">
        <f t="shared" si="3592"/>
        <v>theater</v>
      </c>
      <c r="T3367" t="str">
        <f t="shared" si="3593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ref="K3368:L3368" si="3630">(J3368/60/60/24)+DATE(1970,1,1)</f>
        <v>42107.067557870367</v>
      </c>
      <c r="L3368" s="11">
        <f t="shared" si="358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590"/>
        <v>221</v>
      </c>
      <c r="R3368" s="7">
        <f t="shared" si="3591"/>
        <v>61.388888888888886</v>
      </c>
      <c r="S3368" t="str">
        <f t="shared" si="3592"/>
        <v>theater</v>
      </c>
      <c r="T3368" t="str">
        <f t="shared" si="3593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ref="K3369:L3369" si="3631">(J3369/60/60/24)+DATE(1970,1,1)</f>
        <v>42192.933958333335</v>
      </c>
      <c r="L3369" s="11">
        <f t="shared" si="358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590"/>
        <v>118.66666666666667</v>
      </c>
      <c r="R3369" s="7">
        <f t="shared" si="3591"/>
        <v>29.666666666666668</v>
      </c>
      <c r="S3369" t="str">
        <f t="shared" si="3592"/>
        <v>theater</v>
      </c>
      <c r="T3369" t="str">
        <f t="shared" si="3593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ref="K3370:L3370" si="3632">(J3370/60/60/24)+DATE(1970,1,1)</f>
        <v>41969.199756944443</v>
      </c>
      <c r="L3370" s="11">
        <f t="shared" si="358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590"/>
        <v>104.60000000000001</v>
      </c>
      <c r="R3370" s="7">
        <f t="shared" si="3591"/>
        <v>45.478260869565219</v>
      </c>
      <c r="S3370" t="str">
        <f t="shared" si="3592"/>
        <v>theater</v>
      </c>
      <c r="T3370" t="str">
        <f t="shared" si="3593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ref="K3371:L3371" si="3633">(J3371/60/60/24)+DATE(1970,1,1)</f>
        <v>42690.041435185187</v>
      </c>
      <c r="L3371" s="11">
        <f t="shared" si="358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590"/>
        <v>103.89999999999999</v>
      </c>
      <c r="R3371" s="7">
        <f t="shared" si="3591"/>
        <v>96.203703703703709</v>
      </c>
      <c r="S3371" t="str">
        <f t="shared" si="3592"/>
        <v>theater</v>
      </c>
      <c r="T3371" t="str">
        <f t="shared" si="3593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ref="K3372:L3372" si="3634">(J3372/60/60/24)+DATE(1970,1,1)</f>
        <v>42690.334317129629</v>
      </c>
      <c r="L3372" s="11">
        <f t="shared" si="358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590"/>
        <v>117.73333333333333</v>
      </c>
      <c r="R3372" s="7">
        <f t="shared" si="3591"/>
        <v>67.92307692307692</v>
      </c>
      <c r="S3372" t="str">
        <f t="shared" si="3592"/>
        <v>theater</v>
      </c>
      <c r="T3372" t="str">
        <f t="shared" si="3593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ref="K3373:L3373" si="3635">(J3373/60/60/24)+DATE(1970,1,1)</f>
        <v>42312.874594907407</v>
      </c>
      <c r="L3373" s="11">
        <f t="shared" si="358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590"/>
        <v>138.5</v>
      </c>
      <c r="R3373" s="7">
        <f t="shared" si="3591"/>
        <v>30.777777777777779</v>
      </c>
      <c r="S3373" t="str">
        <f t="shared" si="3592"/>
        <v>theater</v>
      </c>
      <c r="T3373" t="str">
        <f t="shared" si="3593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ref="K3374:L3374" si="3636">(J3374/60/60/24)+DATE(1970,1,1)</f>
        <v>41855.548101851848</v>
      </c>
      <c r="L3374" s="11">
        <f t="shared" si="358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590"/>
        <v>103.49999999999999</v>
      </c>
      <c r="R3374" s="7">
        <f t="shared" si="3591"/>
        <v>38.333333333333336</v>
      </c>
      <c r="S3374" t="str">
        <f t="shared" si="3592"/>
        <v>theater</v>
      </c>
      <c r="T3374" t="str">
        <f t="shared" si="3593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ref="K3375:L3375" si="3637">(J3375/60/60/24)+DATE(1970,1,1)</f>
        <v>42179.854629629626</v>
      </c>
      <c r="L3375" s="11">
        <f t="shared" si="358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590"/>
        <v>100.25</v>
      </c>
      <c r="R3375" s="7">
        <f t="shared" si="3591"/>
        <v>66.833333333333329</v>
      </c>
      <c r="S3375" t="str">
        <f t="shared" si="3592"/>
        <v>theater</v>
      </c>
      <c r="T3375" t="str">
        <f t="shared" si="3593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ref="K3376:L3376" si="3638">(J3376/60/60/24)+DATE(1970,1,1)</f>
        <v>42275.731666666667</v>
      </c>
      <c r="L3376" s="11">
        <f t="shared" si="358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590"/>
        <v>106.57142857142856</v>
      </c>
      <c r="R3376" s="7">
        <f t="shared" si="3591"/>
        <v>71.730769230769226</v>
      </c>
      <c r="S3376" t="str">
        <f t="shared" si="3592"/>
        <v>theater</v>
      </c>
      <c r="T3376" t="str">
        <f t="shared" si="3593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ref="K3377:L3377" si="3639">(J3377/60/60/24)+DATE(1970,1,1)</f>
        <v>41765.610798611109</v>
      </c>
      <c r="L3377" s="11">
        <f t="shared" si="358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590"/>
        <v>100</v>
      </c>
      <c r="R3377" s="7">
        <f t="shared" si="3591"/>
        <v>176.47058823529412</v>
      </c>
      <c r="S3377" t="str">
        <f t="shared" si="3592"/>
        <v>theater</v>
      </c>
      <c r="T3377" t="str">
        <f t="shared" si="3593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ref="K3378:L3378" si="3640">(J3378/60/60/24)+DATE(1970,1,1)</f>
        <v>42059.701319444444</v>
      </c>
      <c r="L3378" s="11">
        <f t="shared" si="358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590"/>
        <v>100.01249999999999</v>
      </c>
      <c r="R3378" s="7">
        <f t="shared" si="3591"/>
        <v>421.10526315789474</v>
      </c>
      <c r="S3378" t="str">
        <f t="shared" si="3592"/>
        <v>theater</v>
      </c>
      <c r="T3378" t="str">
        <f t="shared" si="3593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ref="K3379:L3379" si="3641">(J3379/60/60/24)+DATE(1970,1,1)</f>
        <v>42053.732627314821</v>
      </c>
      <c r="L3379" s="11">
        <f t="shared" si="358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590"/>
        <v>101.05</v>
      </c>
      <c r="R3379" s="7">
        <f t="shared" si="3591"/>
        <v>104.98701298701299</v>
      </c>
      <c r="S3379" t="str">
        <f t="shared" si="3592"/>
        <v>theater</v>
      </c>
      <c r="T3379" t="str">
        <f t="shared" si="3593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ref="K3380:L3380" si="3642">(J3380/60/60/24)+DATE(1970,1,1)</f>
        <v>41858.355393518519</v>
      </c>
      <c r="L3380" s="11">
        <f t="shared" si="358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590"/>
        <v>107.63636363636364</v>
      </c>
      <c r="R3380" s="7">
        <f t="shared" si="3591"/>
        <v>28.19047619047619</v>
      </c>
      <c r="S3380" t="str">
        <f t="shared" si="3592"/>
        <v>theater</v>
      </c>
      <c r="T3380" t="str">
        <f t="shared" si="3593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ref="K3381:L3381" si="3643">(J3381/60/60/24)+DATE(1970,1,1)</f>
        <v>42225.513888888891</v>
      </c>
      <c r="L3381" s="11">
        <f t="shared" si="358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590"/>
        <v>103.64999999999999</v>
      </c>
      <c r="R3381" s="7">
        <f t="shared" si="3591"/>
        <v>54.55263157894737</v>
      </c>
      <c r="S3381" t="str">
        <f t="shared" si="3592"/>
        <v>theater</v>
      </c>
      <c r="T3381" t="str">
        <f t="shared" si="3593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ref="K3382:L3382" si="3644">(J3382/60/60/24)+DATE(1970,1,1)</f>
        <v>41937.95344907407</v>
      </c>
      <c r="L3382" s="11">
        <f t="shared" si="358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590"/>
        <v>104.43333333333334</v>
      </c>
      <c r="R3382" s="7">
        <f t="shared" si="3591"/>
        <v>111.89285714285714</v>
      </c>
      <c r="S3382" t="str">
        <f t="shared" si="3592"/>
        <v>theater</v>
      </c>
      <c r="T3382" t="str">
        <f t="shared" si="3593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ref="K3383:L3383" si="3645">(J3383/60/60/24)+DATE(1970,1,1)</f>
        <v>42044.184988425928</v>
      </c>
      <c r="L3383" s="11">
        <f t="shared" si="358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590"/>
        <v>102.25</v>
      </c>
      <c r="R3383" s="7">
        <f t="shared" si="3591"/>
        <v>85.208333333333329</v>
      </c>
      <c r="S3383" t="str">
        <f t="shared" si="3592"/>
        <v>theater</v>
      </c>
      <c r="T3383" t="str">
        <f t="shared" si="3593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ref="K3384:L3384" si="3646">(J3384/60/60/24)+DATE(1970,1,1)</f>
        <v>42559.431203703702</v>
      </c>
      <c r="L3384" s="11">
        <f t="shared" si="358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590"/>
        <v>100.74285714285713</v>
      </c>
      <c r="R3384" s="7">
        <f t="shared" si="3591"/>
        <v>76.652173913043484</v>
      </c>
      <c r="S3384" t="str">
        <f t="shared" si="3592"/>
        <v>theater</v>
      </c>
      <c r="T3384" t="str">
        <f t="shared" si="3593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ref="K3385:L3385" si="3647">(J3385/60/60/24)+DATE(1970,1,1)</f>
        <v>42524.782638888893</v>
      </c>
      <c r="L3385" s="11">
        <f t="shared" si="358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590"/>
        <v>111.71428571428572</v>
      </c>
      <c r="R3385" s="7">
        <f t="shared" si="3591"/>
        <v>65.166666666666671</v>
      </c>
      <c r="S3385" t="str">
        <f t="shared" si="3592"/>
        <v>theater</v>
      </c>
      <c r="T3385" t="str">
        <f t="shared" si="3593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ref="K3386:L3386" si="3648">(J3386/60/60/24)+DATE(1970,1,1)</f>
        <v>42292.087592592594</v>
      </c>
      <c r="L3386" s="11">
        <f t="shared" si="3589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590"/>
        <v>100.01100000000001</v>
      </c>
      <c r="R3386" s="7">
        <f t="shared" si="3591"/>
        <v>93.760312499999998</v>
      </c>
      <c r="S3386" t="str">
        <f t="shared" si="3592"/>
        <v>theater</v>
      </c>
      <c r="T3386" t="str">
        <f t="shared" si="3593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ref="K3387:L3387" si="3649">(J3387/60/60/24)+DATE(1970,1,1)</f>
        <v>41953.8675</v>
      </c>
      <c r="L3387" s="11">
        <f t="shared" si="3589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590"/>
        <v>100</v>
      </c>
      <c r="R3387" s="7">
        <f t="shared" si="3591"/>
        <v>133.33333333333334</v>
      </c>
      <c r="S3387" t="str">
        <f t="shared" si="3592"/>
        <v>theater</v>
      </c>
      <c r="T3387" t="str">
        <f t="shared" si="3593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ref="K3388:L3388" si="3650">(J3388/60/60/24)+DATE(1970,1,1)</f>
        <v>41946.644745370373</v>
      </c>
      <c r="L3388" s="11">
        <f t="shared" si="358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590"/>
        <v>105</v>
      </c>
      <c r="R3388" s="7">
        <f t="shared" si="3591"/>
        <v>51.219512195121951</v>
      </c>
      <c r="S3388" t="str">
        <f t="shared" si="3592"/>
        <v>theater</v>
      </c>
      <c r="T3388" t="str">
        <f t="shared" si="3593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ref="K3389:L3389" si="3651">(J3389/60/60/24)+DATE(1970,1,1)</f>
        <v>41947.762592592589</v>
      </c>
      <c r="L3389" s="11">
        <f t="shared" si="358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590"/>
        <v>116.86666666666667</v>
      </c>
      <c r="R3389" s="7">
        <f t="shared" si="3591"/>
        <v>100.17142857142858</v>
      </c>
      <c r="S3389" t="str">
        <f t="shared" si="3592"/>
        <v>theater</v>
      </c>
      <c r="T3389" t="str">
        <f t="shared" si="3593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ref="K3390:L3390" si="3652">(J3390/60/60/24)+DATE(1970,1,1)</f>
        <v>42143.461122685185</v>
      </c>
      <c r="L3390" s="11">
        <f t="shared" si="358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590"/>
        <v>103.8</v>
      </c>
      <c r="R3390" s="7">
        <f t="shared" si="3591"/>
        <v>34.6</v>
      </c>
      <c r="S3390" t="str">
        <f t="shared" si="3592"/>
        <v>theater</v>
      </c>
      <c r="T3390" t="str">
        <f t="shared" si="3593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ref="K3391:L3391" si="3653">(J3391/60/60/24)+DATE(1970,1,1)</f>
        <v>42494.563449074078</v>
      </c>
      <c r="L3391" s="11">
        <f t="shared" si="358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590"/>
        <v>114.5</v>
      </c>
      <c r="R3391" s="7">
        <f t="shared" si="3591"/>
        <v>184.67741935483872</v>
      </c>
      <c r="S3391" t="str">
        <f t="shared" si="3592"/>
        <v>theater</v>
      </c>
      <c r="T3391" t="str">
        <f t="shared" si="3593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ref="K3392:L3392" si="3654">(J3392/60/60/24)+DATE(1970,1,1)</f>
        <v>41815.774826388886</v>
      </c>
      <c r="L3392" s="11">
        <f t="shared" si="358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590"/>
        <v>102.4</v>
      </c>
      <c r="R3392" s="7">
        <f t="shared" si="3591"/>
        <v>69.818181818181813</v>
      </c>
      <c r="S3392" t="str">
        <f t="shared" si="3592"/>
        <v>theater</v>
      </c>
      <c r="T3392" t="str">
        <f t="shared" si="3593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ref="K3393:L3393" si="3655">(J3393/60/60/24)+DATE(1970,1,1)</f>
        <v>41830.545694444445</v>
      </c>
      <c r="L3393" s="11">
        <f t="shared" si="358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590"/>
        <v>223</v>
      </c>
      <c r="R3393" s="7">
        <f t="shared" si="3591"/>
        <v>61.944444444444443</v>
      </c>
      <c r="S3393" t="str">
        <f t="shared" si="3592"/>
        <v>theater</v>
      </c>
      <c r="T3393" t="str">
        <f t="shared" si="3593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ref="K3394:L3394" si="3656">(J3394/60/60/24)+DATE(1970,1,1)</f>
        <v>42446.845543981486</v>
      </c>
      <c r="L3394" s="11">
        <f t="shared" si="358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590"/>
        <v>100</v>
      </c>
      <c r="R3394" s="7">
        <f t="shared" si="3591"/>
        <v>41.666666666666664</v>
      </c>
      <c r="S3394" t="str">
        <f t="shared" si="3592"/>
        <v>theater</v>
      </c>
      <c r="T3394" t="str">
        <f t="shared" si="3593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ref="K3395:L3395" si="3657">(J3395/60/60/24)+DATE(1970,1,1)</f>
        <v>41923.921643518523</v>
      </c>
      <c r="L3395" s="11">
        <f t="shared" ref="L3395:L3458" si="3658">(I3395/60/60/24)+DATE(1970,1,1)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659">(E3395/D3395)*100</f>
        <v>105.80000000000001</v>
      </c>
      <c r="R3395" s="7">
        <f t="shared" ref="R3395:R3458" si="3660">IFERROR(E3395/N3395, 0)</f>
        <v>36.06818181818182</v>
      </c>
      <c r="S3395" t="str">
        <f t="shared" ref="S3395:S3458" si="3661">LEFT(P3395, SEARCH("/", P3395,1)-1)</f>
        <v>theater</v>
      </c>
      <c r="T3395" t="str">
        <f t="shared" ref="T3395:T3458" si="3662">RIGHT(P3395,LEN(P3395)-SEARCH("/",P3395,SEARCH("/",P3395)))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ref="K3396:L3396" si="3663">(J3396/60/60/24)+DATE(1970,1,1)</f>
        <v>41817.59542824074</v>
      </c>
      <c r="L3396" s="11">
        <f t="shared" si="3658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659"/>
        <v>142.36363636363635</v>
      </c>
      <c r="R3396" s="7">
        <f t="shared" si="3660"/>
        <v>29</v>
      </c>
      <c r="S3396" t="str">
        <f t="shared" si="3661"/>
        <v>theater</v>
      </c>
      <c r="T3396" t="str">
        <f t="shared" si="3662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ref="K3397:L3397" si="3664">(J3397/60/60/24)+DATE(1970,1,1)</f>
        <v>42140.712314814817</v>
      </c>
      <c r="L3397" s="11">
        <f t="shared" si="3658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659"/>
        <v>184</v>
      </c>
      <c r="R3397" s="7">
        <f t="shared" si="3660"/>
        <v>24.210526315789473</v>
      </c>
      <c r="S3397" t="str">
        <f t="shared" si="3661"/>
        <v>theater</v>
      </c>
      <c r="T3397" t="str">
        <f t="shared" si="3662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ref="K3398:L3398" si="3665">(J3398/60/60/24)+DATE(1970,1,1)</f>
        <v>41764.44663194444</v>
      </c>
      <c r="L3398" s="11">
        <f t="shared" si="3658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659"/>
        <v>104.33333333333333</v>
      </c>
      <c r="R3398" s="7">
        <f t="shared" si="3660"/>
        <v>55.892857142857146</v>
      </c>
      <c r="S3398" t="str">
        <f t="shared" si="3661"/>
        <v>theater</v>
      </c>
      <c r="T3398" t="str">
        <f t="shared" si="3662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ref="K3399:L3399" si="3666">(J3399/60/60/24)+DATE(1970,1,1)</f>
        <v>42378.478344907402</v>
      </c>
      <c r="L3399" s="11">
        <f t="shared" si="3658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659"/>
        <v>112.00000000000001</v>
      </c>
      <c r="R3399" s="7">
        <f t="shared" si="3660"/>
        <v>11.666666666666666</v>
      </c>
      <c r="S3399" t="str">
        <f t="shared" si="3661"/>
        <v>theater</v>
      </c>
      <c r="T3399" t="str">
        <f t="shared" si="3662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ref="K3400:L3400" si="3667">(J3400/60/60/24)+DATE(1970,1,1)</f>
        <v>41941.75203703704</v>
      </c>
      <c r="L3400" s="11">
        <f t="shared" si="3658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659"/>
        <v>111.07499999999999</v>
      </c>
      <c r="R3400" s="7">
        <f t="shared" si="3660"/>
        <v>68.353846153846149</v>
      </c>
      <c r="S3400" t="str">
        <f t="shared" si="3661"/>
        <v>theater</v>
      </c>
      <c r="T3400" t="str">
        <f t="shared" si="3662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ref="K3401:L3401" si="3668">(J3401/60/60/24)+DATE(1970,1,1)</f>
        <v>42026.920428240745</v>
      </c>
      <c r="L3401" s="11">
        <f t="shared" si="3658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659"/>
        <v>103.75000000000001</v>
      </c>
      <c r="R3401" s="7">
        <f t="shared" si="3660"/>
        <v>27.065217391304348</v>
      </c>
      <c r="S3401" t="str">
        <f t="shared" si="3661"/>
        <v>theater</v>
      </c>
      <c r="T3401" t="str">
        <f t="shared" si="3662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ref="K3402:L3402" si="3669">(J3402/60/60/24)+DATE(1970,1,1)</f>
        <v>41834.953865740739</v>
      </c>
      <c r="L3402" s="11">
        <f t="shared" si="3658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659"/>
        <v>100.41</v>
      </c>
      <c r="R3402" s="7">
        <f t="shared" si="3660"/>
        <v>118.12941176470588</v>
      </c>
      <c r="S3402" t="str">
        <f t="shared" si="3661"/>
        <v>theater</v>
      </c>
      <c r="T3402" t="str">
        <f t="shared" si="3662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ref="K3403:L3403" si="3670">(J3403/60/60/24)+DATE(1970,1,1)</f>
        <v>42193.723912037036</v>
      </c>
      <c r="L3403" s="11">
        <f t="shared" si="3658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659"/>
        <v>101.86206896551724</v>
      </c>
      <c r="R3403" s="7">
        <f t="shared" si="3660"/>
        <v>44.757575757575758</v>
      </c>
      <c r="S3403" t="str">
        <f t="shared" si="3661"/>
        <v>theater</v>
      </c>
      <c r="T3403" t="str">
        <f t="shared" si="3662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ref="K3404:L3404" si="3671">(J3404/60/60/24)+DATE(1970,1,1)</f>
        <v>42290.61855324074</v>
      </c>
      <c r="L3404" s="11">
        <f t="shared" si="3658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659"/>
        <v>109.76666666666665</v>
      </c>
      <c r="R3404" s="7">
        <f t="shared" si="3660"/>
        <v>99.787878787878782</v>
      </c>
      <c r="S3404" t="str">
        <f t="shared" si="3661"/>
        <v>theater</v>
      </c>
      <c r="T3404" t="str">
        <f t="shared" si="3662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ref="K3405:L3405" si="3672">(J3405/60/60/24)+DATE(1970,1,1)</f>
        <v>42150.462083333332</v>
      </c>
      <c r="L3405" s="11">
        <f t="shared" si="3658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659"/>
        <v>100</v>
      </c>
      <c r="R3405" s="7">
        <f t="shared" si="3660"/>
        <v>117.64705882352941</v>
      </c>
      <c r="S3405" t="str">
        <f t="shared" si="3661"/>
        <v>theater</v>
      </c>
      <c r="T3405" t="str">
        <f t="shared" si="3662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ref="K3406:L3406" si="3673">(J3406/60/60/24)+DATE(1970,1,1)</f>
        <v>42152.503495370373</v>
      </c>
      <c r="L3406" s="11">
        <f t="shared" si="3658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659"/>
        <v>122</v>
      </c>
      <c r="R3406" s="7">
        <f t="shared" si="3660"/>
        <v>203.33333333333334</v>
      </c>
      <c r="S3406" t="str">
        <f t="shared" si="3661"/>
        <v>theater</v>
      </c>
      <c r="T3406" t="str">
        <f t="shared" si="3662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ref="K3407:L3407" si="3674">(J3407/60/60/24)+DATE(1970,1,1)</f>
        <v>42410.017199074078</v>
      </c>
      <c r="L3407" s="11">
        <f t="shared" si="3658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659"/>
        <v>137.57142857142856</v>
      </c>
      <c r="R3407" s="7">
        <f t="shared" si="3660"/>
        <v>28.323529411764707</v>
      </c>
      <c r="S3407" t="str">
        <f t="shared" si="3661"/>
        <v>theater</v>
      </c>
      <c r="T3407" t="str">
        <f t="shared" si="3662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ref="K3408:L3408" si="3675">(J3408/60/60/24)+DATE(1970,1,1)</f>
        <v>41791.492777777778</v>
      </c>
      <c r="L3408" s="11">
        <f t="shared" si="3658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659"/>
        <v>100.31000000000002</v>
      </c>
      <c r="R3408" s="7">
        <f t="shared" si="3660"/>
        <v>110.23076923076923</v>
      </c>
      <c r="S3408" t="str">
        <f t="shared" si="3661"/>
        <v>theater</v>
      </c>
      <c r="T3408" t="str">
        <f t="shared" si="3662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ref="K3409:L3409" si="3676">(J3409/60/60/24)+DATE(1970,1,1)</f>
        <v>41796.422326388885</v>
      </c>
      <c r="L3409" s="11">
        <f t="shared" si="3658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659"/>
        <v>107.1</v>
      </c>
      <c r="R3409" s="7">
        <f t="shared" si="3660"/>
        <v>31.970149253731343</v>
      </c>
      <c r="S3409" t="str">
        <f t="shared" si="3661"/>
        <v>theater</v>
      </c>
      <c r="T3409" t="str">
        <f t="shared" si="3662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ref="K3410:L3410" si="3677">(J3410/60/60/24)+DATE(1970,1,1)</f>
        <v>41808.991944444446</v>
      </c>
      <c r="L3410" s="11">
        <f t="shared" si="3658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659"/>
        <v>211</v>
      </c>
      <c r="R3410" s="7">
        <f t="shared" si="3660"/>
        <v>58.611111111111114</v>
      </c>
      <c r="S3410" t="str">
        <f t="shared" si="3661"/>
        <v>theater</v>
      </c>
      <c r="T3410" t="str">
        <f t="shared" si="3662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ref="K3411:L3411" si="3678">(J3411/60/60/24)+DATE(1970,1,1)</f>
        <v>42544.814328703709</v>
      </c>
      <c r="L3411" s="11">
        <f t="shared" si="3658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659"/>
        <v>123.6</v>
      </c>
      <c r="R3411" s="7">
        <f t="shared" si="3660"/>
        <v>29.428571428571427</v>
      </c>
      <c r="S3411" t="str">
        <f t="shared" si="3661"/>
        <v>theater</v>
      </c>
      <c r="T3411" t="str">
        <f t="shared" si="3662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ref="K3412:L3412" si="3679">(J3412/60/60/24)+DATE(1970,1,1)</f>
        <v>42500.041550925926</v>
      </c>
      <c r="L3412" s="11">
        <f t="shared" si="3658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659"/>
        <v>108.5</v>
      </c>
      <c r="R3412" s="7">
        <f t="shared" si="3660"/>
        <v>81.375</v>
      </c>
      <c r="S3412" t="str">
        <f t="shared" si="3661"/>
        <v>theater</v>
      </c>
      <c r="T3412" t="str">
        <f t="shared" si="3662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ref="K3413:L3413" si="3680">(J3413/60/60/24)+DATE(1970,1,1)</f>
        <v>42265.022824074069</v>
      </c>
      <c r="L3413" s="11">
        <f t="shared" si="3658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659"/>
        <v>103.56666666666668</v>
      </c>
      <c r="R3413" s="7">
        <f t="shared" si="3660"/>
        <v>199.16666666666666</v>
      </c>
      <c r="S3413" t="str">
        <f t="shared" si="3661"/>
        <v>theater</v>
      </c>
      <c r="T3413" t="str">
        <f t="shared" si="3662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ref="K3414:L3414" si="3681">(J3414/60/60/24)+DATE(1970,1,1)</f>
        <v>41879.959050925929</v>
      </c>
      <c r="L3414" s="11">
        <f t="shared" si="3658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659"/>
        <v>100</v>
      </c>
      <c r="R3414" s="7">
        <f t="shared" si="3660"/>
        <v>115.38461538461539</v>
      </c>
      <c r="S3414" t="str">
        <f t="shared" si="3661"/>
        <v>theater</v>
      </c>
      <c r="T3414" t="str">
        <f t="shared" si="3662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ref="K3415:L3415" si="3682">(J3415/60/60/24)+DATE(1970,1,1)</f>
        <v>42053.733078703706</v>
      </c>
      <c r="L3415" s="11">
        <f t="shared" si="3658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659"/>
        <v>130</v>
      </c>
      <c r="R3415" s="7">
        <f t="shared" si="3660"/>
        <v>46.428571428571431</v>
      </c>
      <c r="S3415" t="str">
        <f t="shared" si="3661"/>
        <v>theater</v>
      </c>
      <c r="T3415" t="str">
        <f t="shared" si="3662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ref="K3416:L3416" si="3683">(J3416/60/60/24)+DATE(1970,1,1)</f>
        <v>42675.832465277781</v>
      </c>
      <c r="L3416" s="11">
        <f t="shared" si="3658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659"/>
        <v>103.49999999999999</v>
      </c>
      <c r="R3416" s="7">
        <f t="shared" si="3660"/>
        <v>70.568181818181813</v>
      </c>
      <c r="S3416" t="str">
        <f t="shared" si="3661"/>
        <v>theater</v>
      </c>
      <c r="T3416" t="str">
        <f t="shared" si="3662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ref="K3417:L3417" si="3684">(J3417/60/60/24)+DATE(1970,1,1)</f>
        <v>42467.144166666665</v>
      </c>
      <c r="L3417" s="11">
        <f t="shared" si="3658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659"/>
        <v>100</v>
      </c>
      <c r="R3417" s="7">
        <f t="shared" si="3660"/>
        <v>22.222222222222221</v>
      </c>
      <c r="S3417" t="str">
        <f t="shared" si="3661"/>
        <v>theater</v>
      </c>
      <c r="T3417" t="str">
        <f t="shared" si="3662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ref="K3418:L3418" si="3685">(J3418/60/60/24)+DATE(1970,1,1)</f>
        <v>42089.412557870368</v>
      </c>
      <c r="L3418" s="11">
        <f t="shared" si="3658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659"/>
        <v>119.6</v>
      </c>
      <c r="R3418" s="7">
        <f t="shared" si="3660"/>
        <v>159.46666666666667</v>
      </c>
      <c r="S3418" t="str">
        <f t="shared" si="3661"/>
        <v>theater</v>
      </c>
      <c r="T3418" t="str">
        <f t="shared" si="3662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ref="K3419:L3419" si="3686">(J3419/60/60/24)+DATE(1970,1,1)</f>
        <v>41894.91375</v>
      </c>
      <c r="L3419" s="11">
        <f t="shared" si="3658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659"/>
        <v>100.00058823529412</v>
      </c>
      <c r="R3419" s="7">
        <f t="shared" si="3660"/>
        <v>37.777999999999999</v>
      </c>
      <c r="S3419" t="str">
        <f t="shared" si="3661"/>
        <v>theater</v>
      </c>
      <c r="T3419" t="str">
        <f t="shared" si="3662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ref="K3420:L3420" si="3687">(J3420/60/60/24)+DATE(1970,1,1)</f>
        <v>41752.83457175926</v>
      </c>
      <c r="L3420" s="11">
        <f t="shared" si="3658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659"/>
        <v>100.875</v>
      </c>
      <c r="R3420" s="7">
        <f t="shared" si="3660"/>
        <v>72.053571428571431</v>
      </c>
      <c r="S3420" t="str">
        <f t="shared" si="3661"/>
        <v>theater</v>
      </c>
      <c r="T3420" t="str">
        <f t="shared" si="3662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ref="K3421:L3421" si="3688">(J3421/60/60/24)+DATE(1970,1,1)</f>
        <v>42448.821585648147</v>
      </c>
      <c r="L3421" s="11">
        <f t="shared" si="3658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659"/>
        <v>106.54545454545455</v>
      </c>
      <c r="R3421" s="7">
        <f t="shared" si="3660"/>
        <v>63.695652173913047</v>
      </c>
      <c r="S3421" t="str">
        <f t="shared" si="3661"/>
        <v>theater</v>
      </c>
      <c r="T3421" t="str">
        <f t="shared" si="3662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ref="K3422:L3422" si="3689">(J3422/60/60/24)+DATE(1970,1,1)</f>
        <v>42405.090300925927</v>
      </c>
      <c r="L3422" s="11">
        <f t="shared" si="3658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659"/>
        <v>138</v>
      </c>
      <c r="R3422" s="7">
        <f t="shared" si="3660"/>
        <v>28.411764705882351</v>
      </c>
      <c r="S3422" t="str">
        <f t="shared" si="3661"/>
        <v>theater</v>
      </c>
      <c r="T3422" t="str">
        <f t="shared" si="3662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ref="K3423:L3423" si="3690">(J3423/60/60/24)+DATE(1970,1,1)</f>
        <v>42037.791238425925</v>
      </c>
      <c r="L3423" s="11">
        <f t="shared" si="3658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659"/>
        <v>101.15</v>
      </c>
      <c r="R3423" s="7">
        <f t="shared" si="3660"/>
        <v>103.21428571428571</v>
      </c>
      <c r="S3423" t="str">
        <f t="shared" si="3661"/>
        <v>theater</v>
      </c>
      <c r="T3423" t="str">
        <f t="shared" si="3662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ref="K3424:L3424" si="3691">(J3424/60/60/24)+DATE(1970,1,1)</f>
        <v>42323.562222222223</v>
      </c>
      <c r="L3424" s="11">
        <f t="shared" si="3658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659"/>
        <v>109.1</v>
      </c>
      <c r="R3424" s="7">
        <f t="shared" si="3660"/>
        <v>71.152173913043484</v>
      </c>
      <c r="S3424" t="str">
        <f t="shared" si="3661"/>
        <v>theater</v>
      </c>
      <c r="T3424" t="str">
        <f t="shared" si="3662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ref="K3425:L3425" si="3692">(J3425/60/60/24)+DATE(1970,1,1)</f>
        <v>42088.911354166667</v>
      </c>
      <c r="L3425" s="11">
        <f t="shared" si="3658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659"/>
        <v>140</v>
      </c>
      <c r="R3425" s="7">
        <f t="shared" si="3660"/>
        <v>35</v>
      </c>
      <c r="S3425" t="str">
        <f t="shared" si="3661"/>
        <v>theater</v>
      </c>
      <c r="T3425" t="str">
        <f t="shared" si="3662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ref="K3426:L3426" si="3693">(J3426/60/60/24)+DATE(1970,1,1)</f>
        <v>42018.676898148144</v>
      </c>
      <c r="L3426" s="11">
        <f t="shared" si="3658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659"/>
        <v>103.58333333333334</v>
      </c>
      <c r="R3426" s="7">
        <f t="shared" si="3660"/>
        <v>81.776315789473685</v>
      </c>
      <c r="S3426" t="str">
        <f t="shared" si="3661"/>
        <v>theater</v>
      </c>
      <c r="T3426" t="str">
        <f t="shared" si="3662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ref="K3427:L3427" si="3694">(J3427/60/60/24)+DATE(1970,1,1)</f>
        <v>41884.617314814815</v>
      </c>
      <c r="L3427" s="11">
        <f t="shared" si="3658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659"/>
        <v>102.97033333333331</v>
      </c>
      <c r="R3427" s="7">
        <f t="shared" si="3660"/>
        <v>297.02980769230766</v>
      </c>
      <c r="S3427" t="str">
        <f t="shared" si="3661"/>
        <v>theater</v>
      </c>
      <c r="T3427" t="str">
        <f t="shared" si="3662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ref="K3428:L3428" si="3695">(J3428/60/60/24)+DATE(1970,1,1)</f>
        <v>41884.056747685187</v>
      </c>
      <c r="L3428" s="11">
        <f t="shared" si="3658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659"/>
        <v>108.13333333333333</v>
      </c>
      <c r="R3428" s="7">
        <f t="shared" si="3660"/>
        <v>46.609195402298852</v>
      </c>
      <c r="S3428" t="str">
        <f t="shared" si="3661"/>
        <v>theater</v>
      </c>
      <c r="T3428" t="str">
        <f t="shared" si="3662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ref="K3429:L3429" si="3696">(J3429/60/60/24)+DATE(1970,1,1)</f>
        <v>41792.645277777774</v>
      </c>
      <c r="L3429" s="11">
        <f t="shared" si="3658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659"/>
        <v>100</v>
      </c>
      <c r="R3429" s="7">
        <f t="shared" si="3660"/>
        <v>51.724137931034484</v>
      </c>
      <c r="S3429" t="str">
        <f t="shared" si="3661"/>
        <v>theater</v>
      </c>
      <c r="T3429" t="str">
        <f t="shared" si="3662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ref="K3430:L3430" si="3697">(J3430/60/60/24)+DATE(1970,1,1)</f>
        <v>42038.720451388886</v>
      </c>
      <c r="L3430" s="11">
        <f t="shared" si="3658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659"/>
        <v>102.75000000000001</v>
      </c>
      <c r="R3430" s="7">
        <f t="shared" si="3660"/>
        <v>40.294117647058826</v>
      </c>
      <c r="S3430" t="str">
        <f t="shared" si="3661"/>
        <v>theater</v>
      </c>
      <c r="T3430" t="str">
        <f t="shared" si="3662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ref="K3431:L3431" si="3698">(J3431/60/60/24)+DATE(1970,1,1)</f>
        <v>42662.021539351852</v>
      </c>
      <c r="L3431" s="11">
        <f t="shared" si="3658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659"/>
        <v>130</v>
      </c>
      <c r="R3431" s="7">
        <f t="shared" si="3660"/>
        <v>16.25</v>
      </c>
      <c r="S3431" t="str">
        <f t="shared" si="3661"/>
        <v>theater</v>
      </c>
      <c r="T3431" t="str">
        <f t="shared" si="3662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ref="K3432:L3432" si="3699">(J3432/60/60/24)+DATE(1970,1,1)</f>
        <v>41820.945613425924</v>
      </c>
      <c r="L3432" s="11">
        <f t="shared" si="3658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659"/>
        <v>108.54949999999999</v>
      </c>
      <c r="R3432" s="7">
        <f t="shared" si="3660"/>
        <v>30.152638888888887</v>
      </c>
      <c r="S3432" t="str">
        <f t="shared" si="3661"/>
        <v>theater</v>
      </c>
      <c r="T3432" t="str">
        <f t="shared" si="3662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ref="K3433:L3433" si="3700">(J3433/60/60/24)+DATE(1970,1,1)</f>
        <v>41839.730937500004</v>
      </c>
      <c r="L3433" s="11">
        <f t="shared" si="3658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659"/>
        <v>100</v>
      </c>
      <c r="R3433" s="7">
        <f t="shared" si="3660"/>
        <v>95.238095238095241</v>
      </c>
      <c r="S3433" t="str">
        <f t="shared" si="3661"/>
        <v>theater</v>
      </c>
      <c r="T3433" t="str">
        <f t="shared" si="3662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ref="K3434:L3434" si="3701">(J3434/60/60/24)+DATE(1970,1,1)</f>
        <v>42380.581180555557</v>
      </c>
      <c r="L3434" s="11">
        <f t="shared" si="3658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659"/>
        <v>109.65</v>
      </c>
      <c r="R3434" s="7">
        <f t="shared" si="3660"/>
        <v>52.214285714285715</v>
      </c>
      <c r="S3434" t="str">
        <f t="shared" si="3661"/>
        <v>theater</v>
      </c>
      <c r="T3434" t="str">
        <f t="shared" si="3662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ref="K3435:L3435" si="3702">(J3435/60/60/24)+DATE(1970,1,1)</f>
        <v>41776.063136574077</v>
      </c>
      <c r="L3435" s="11">
        <f t="shared" si="3658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659"/>
        <v>100.26315789473684</v>
      </c>
      <c r="R3435" s="7">
        <f t="shared" si="3660"/>
        <v>134.1549295774648</v>
      </c>
      <c r="S3435" t="str">
        <f t="shared" si="3661"/>
        <v>theater</v>
      </c>
      <c r="T3435" t="str">
        <f t="shared" si="3662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ref="K3436:L3436" si="3703">(J3436/60/60/24)+DATE(1970,1,1)</f>
        <v>41800.380428240744</v>
      </c>
      <c r="L3436" s="11">
        <f t="shared" si="3658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659"/>
        <v>105.55000000000001</v>
      </c>
      <c r="R3436" s="7">
        <f t="shared" si="3660"/>
        <v>62.827380952380949</v>
      </c>
      <c r="S3436" t="str">
        <f t="shared" si="3661"/>
        <v>theater</v>
      </c>
      <c r="T3436" t="str">
        <f t="shared" si="3662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ref="K3437:L3437" si="3704">(J3437/60/60/24)+DATE(1970,1,1)</f>
        <v>42572.61681712963</v>
      </c>
      <c r="L3437" s="11">
        <f t="shared" si="3658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659"/>
        <v>112.00000000000001</v>
      </c>
      <c r="R3437" s="7">
        <f t="shared" si="3660"/>
        <v>58.94736842105263</v>
      </c>
      <c r="S3437" t="str">
        <f t="shared" si="3661"/>
        <v>theater</v>
      </c>
      <c r="T3437" t="str">
        <f t="shared" si="3662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ref="K3438:L3438" si="3705">(J3438/60/60/24)+DATE(1970,1,1)</f>
        <v>41851.541585648149</v>
      </c>
      <c r="L3438" s="11">
        <f t="shared" si="3658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659"/>
        <v>105.89999999999999</v>
      </c>
      <c r="R3438" s="7">
        <f t="shared" si="3660"/>
        <v>143.1081081081081</v>
      </c>
      <c r="S3438" t="str">
        <f t="shared" si="3661"/>
        <v>theater</v>
      </c>
      <c r="T3438" t="str">
        <f t="shared" si="3662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ref="K3439:L3439" si="3706">(J3439/60/60/24)+DATE(1970,1,1)</f>
        <v>42205.710879629631</v>
      </c>
      <c r="L3439" s="11">
        <f t="shared" si="3658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659"/>
        <v>101</v>
      </c>
      <c r="R3439" s="7">
        <f t="shared" si="3660"/>
        <v>84.166666666666671</v>
      </c>
      <c r="S3439" t="str">
        <f t="shared" si="3661"/>
        <v>theater</v>
      </c>
      <c r="T3439" t="str">
        <f t="shared" si="3662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ref="K3440:L3440" si="3707">(J3440/60/60/24)+DATE(1970,1,1)</f>
        <v>42100.927858796291</v>
      </c>
      <c r="L3440" s="11">
        <f t="shared" si="3658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659"/>
        <v>104.2</v>
      </c>
      <c r="R3440" s="7">
        <f t="shared" si="3660"/>
        <v>186.07142857142858</v>
      </c>
      <c r="S3440" t="str">
        <f t="shared" si="3661"/>
        <v>theater</v>
      </c>
      <c r="T3440" t="str">
        <f t="shared" si="3662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ref="K3441:L3441" si="3708">(J3441/60/60/24)+DATE(1970,1,1)</f>
        <v>42374.911226851851</v>
      </c>
      <c r="L3441" s="11">
        <f t="shared" si="3658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659"/>
        <v>134.67833333333334</v>
      </c>
      <c r="R3441" s="7">
        <f t="shared" si="3660"/>
        <v>89.785555555555561</v>
      </c>
      <c r="S3441" t="str">
        <f t="shared" si="3661"/>
        <v>theater</v>
      </c>
      <c r="T3441" t="str">
        <f t="shared" si="3662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ref="K3442:L3442" si="3709">(J3442/60/60/24)+DATE(1970,1,1)</f>
        <v>41809.12300925926</v>
      </c>
      <c r="L3442" s="11">
        <f t="shared" si="3658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659"/>
        <v>105.2184</v>
      </c>
      <c r="R3442" s="7">
        <f t="shared" si="3660"/>
        <v>64.157560975609755</v>
      </c>
      <c r="S3442" t="str">
        <f t="shared" si="3661"/>
        <v>theater</v>
      </c>
      <c r="T3442" t="str">
        <f t="shared" si="3662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ref="K3443:L3443" si="3710">(J3443/60/60/24)+DATE(1970,1,1)</f>
        <v>42294.429641203707</v>
      </c>
      <c r="L3443" s="11">
        <f t="shared" si="3658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659"/>
        <v>102.60000000000001</v>
      </c>
      <c r="R3443" s="7">
        <f t="shared" si="3660"/>
        <v>59.651162790697676</v>
      </c>
      <c r="S3443" t="str">
        <f t="shared" si="3661"/>
        <v>theater</v>
      </c>
      <c r="T3443" t="str">
        <f t="shared" si="3662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ref="K3444:L3444" si="3711">(J3444/60/60/24)+DATE(1970,1,1)</f>
        <v>42124.841111111105</v>
      </c>
      <c r="L3444" s="11">
        <f t="shared" si="3658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659"/>
        <v>100</v>
      </c>
      <c r="R3444" s="7">
        <f t="shared" si="3660"/>
        <v>31.25</v>
      </c>
      <c r="S3444" t="str">
        <f t="shared" si="3661"/>
        <v>theater</v>
      </c>
      <c r="T3444" t="str">
        <f t="shared" si="3662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ref="K3445:L3445" si="3712">(J3445/60/60/24)+DATE(1970,1,1)</f>
        <v>41861.524837962963</v>
      </c>
      <c r="L3445" s="11">
        <f t="shared" si="3658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659"/>
        <v>185.5</v>
      </c>
      <c r="R3445" s="7">
        <f t="shared" si="3660"/>
        <v>41.222222222222221</v>
      </c>
      <c r="S3445" t="str">
        <f t="shared" si="3661"/>
        <v>theater</v>
      </c>
      <c r="T3445" t="str">
        <f t="shared" si="3662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ref="K3446:L3446" si="3713">(J3446/60/60/24)+DATE(1970,1,1)</f>
        <v>42521.291504629626</v>
      </c>
      <c r="L3446" s="11">
        <f t="shared" si="3658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659"/>
        <v>289</v>
      </c>
      <c r="R3446" s="7">
        <f t="shared" si="3660"/>
        <v>43.35</v>
      </c>
      <c r="S3446" t="str">
        <f t="shared" si="3661"/>
        <v>theater</v>
      </c>
      <c r="T3446" t="str">
        <f t="shared" si="3662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ref="K3447:L3447" si="3714">(J3447/60/60/24)+DATE(1970,1,1)</f>
        <v>42272.530509259261</v>
      </c>
      <c r="L3447" s="11">
        <f t="shared" si="3658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659"/>
        <v>100</v>
      </c>
      <c r="R3447" s="7">
        <f t="shared" si="3660"/>
        <v>64.516129032258064</v>
      </c>
      <c r="S3447" t="str">
        <f t="shared" si="3661"/>
        <v>theater</v>
      </c>
      <c r="T3447" t="str">
        <f t="shared" si="3662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ref="K3448:L3448" si="3715">(J3448/60/60/24)+DATE(1970,1,1)</f>
        <v>42016.832465277781</v>
      </c>
      <c r="L3448" s="11">
        <f t="shared" si="3658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659"/>
        <v>108.2</v>
      </c>
      <c r="R3448" s="7">
        <f t="shared" si="3660"/>
        <v>43.28</v>
      </c>
      <c r="S3448" t="str">
        <f t="shared" si="3661"/>
        <v>theater</v>
      </c>
      <c r="T3448" t="str">
        <f t="shared" si="3662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ref="K3449:L3449" si="3716">(J3449/60/60/24)+DATE(1970,1,1)</f>
        <v>42402.889027777783</v>
      </c>
      <c r="L3449" s="11">
        <f t="shared" si="3658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659"/>
        <v>107.80000000000001</v>
      </c>
      <c r="R3449" s="7">
        <f t="shared" si="3660"/>
        <v>77</v>
      </c>
      <c r="S3449" t="str">
        <f t="shared" si="3661"/>
        <v>theater</v>
      </c>
      <c r="T3449" t="str">
        <f t="shared" si="3662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ref="K3450:L3450" si="3717">(J3450/60/60/24)+DATE(1970,1,1)</f>
        <v>41960.119085648148</v>
      </c>
      <c r="L3450" s="11">
        <f t="shared" si="3658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659"/>
        <v>109.76190476190477</v>
      </c>
      <c r="R3450" s="7">
        <f t="shared" si="3660"/>
        <v>51.222222222222221</v>
      </c>
      <c r="S3450" t="str">
        <f t="shared" si="3661"/>
        <v>theater</v>
      </c>
      <c r="T3450" t="str">
        <f t="shared" si="3662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ref="K3451:L3451" si="3718">(J3451/60/60/24)+DATE(1970,1,1)</f>
        <v>42532.052523148144</v>
      </c>
      <c r="L3451" s="11">
        <f t="shared" si="3658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659"/>
        <v>170.625</v>
      </c>
      <c r="R3451" s="7">
        <f t="shared" si="3660"/>
        <v>68.25</v>
      </c>
      <c r="S3451" t="str">
        <f t="shared" si="3661"/>
        <v>theater</v>
      </c>
      <c r="T3451" t="str">
        <f t="shared" si="3662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ref="K3452:L3452" si="3719">(J3452/60/60/24)+DATE(1970,1,1)</f>
        <v>42036.704525462963</v>
      </c>
      <c r="L3452" s="11">
        <f t="shared" si="3658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659"/>
        <v>152</v>
      </c>
      <c r="R3452" s="7">
        <f t="shared" si="3660"/>
        <v>19.487179487179485</v>
      </c>
      <c r="S3452" t="str">
        <f t="shared" si="3661"/>
        <v>theater</v>
      </c>
      <c r="T3452" t="str">
        <f t="shared" si="3662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ref="K3453:L3453" si="3720">(J3453/60/60/24)+DATE(1970,1,1)</f>
        <v>42088.723692129628</v>
      </c>
      <c r="L3453" s="11">
        <f t="shared" si="3658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659"/>
        <v>101.23076923076924</v>
      </c>
      <c r="R3453" s="7">
        <f t="shared" si="3660"/>
        <v>41.125</v>
      </c>
      <c r="S3453" t="str">
        <f t="shared" si="3661"/>
        <v>theater</v>
      </c>
      <c r="T3453" t="str">
        <f t="shared" si="3662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ref="K3454:L3454" si="3721">(J3454/60/60/24)+DATE(1970,1,1)</f>
        <v>41820.639189814814</v>
      </c>
      <c r="L3454" s="11">
        <f t="shared" si="3658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659"/>
        <v>153.19999999999999</v>
      </c>
      <c r="R3454" s="7">
        <f t="shared" si="3660"/>
        <v>41.405405405405403</v>
      </c>
      <c r="S3454" t="str">
        <f t="shared" si="3661"/>
        <v>theater</v>
      </c>
      <c r="T3454" t="str">
        <f t="shared" si="3662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ref="K3455:L3455" si="3722">(J3455/60/60/24)+DATE(1970,1,1)</f>
        <v>42535.97865740741</v>
      </c>
      <c r="L3455" s="11">
        <f t="shared" si="3658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659"/>
        <v>128.33333333333334</v>
      </c>
      <c r="R3455" s="7">
        <f t="shared" si="3660"/>
        <v>27.5</v>
      </c>
      <c r="S3455" t="str">
        <f t="shared" si="3661"/>
        <v>theater</v>
      </c>
      <c r="T3455" t="str">
        <f t="shared" si="3662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ref="K3456:L3456" si="3723">(J3456/60/60/24)+DATE(1970,1,1)</f>
        <v>41821.698599537034</v>
      </c>
      <c r="L3456" s="11">
        <f t="shared" si="3658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659"/>
        <v>100.71428571428571</v>
      </c>
      <c r="R3456" s="7">
        <f t="shared" si="3660"/>
        <v>33.571428571428569</v>
      </c>
      <c r="S3456" t="str">
        <f t="shared" si="3661"/>
        <v>theater</v>
      </c>
      <c r="T3456" t="str">
        <f t="shared" si="3662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ref="K3457:L3457" si="3724">(J3457/60/60/24)+DATE(1970,1,1)</f>
        <v>42626.7503125</v>
      </c>
      <c r="L3457" s="11">
        <f t="shared" si="3658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659"/>
        <v>100.64999999999999</v>
      </c>
      <c r="R3457" s="7">
        <f t="shared" si="3660"/>
        <v>145.86956521739131</v>
      </c>
      <c r="S3457" t="str">
        <f t="shared" si="3661"/>
        <v>theater</v>
      </c>
      <c r="T3457" t="str">
        <f t="shared" si="3662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ref="K3458:L3458" si="3725">(J3458/60/60/24)+DATE(1970,1,1)</f>
        <v>41821.205636574072</v>
      </c>
      <c r="L3458" s="11">
        <f t="shared" si="3658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659"/>
        <v>191.3</v>
      </c>
      <c r="R3458" s="7">
        <f t="shared" si="3660"/>
        <v>358.6875</v>
      </c>
      <c r="S3458" t="str">
        <f t="shared" si="3661"/>
        <v>theater</v>
      </c>
      <c r="T3458" t="str">
        <f t="shared" si="3662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ref="K3459:L3459" si="3726">(J3459/60/60/24)+DATE(1970,1,1)</f>
        <v>42016.706678240742</v>
      </c>
      <c r="L3459" s="11">
        <f t="shared" ref="L3459:L3522" si="3727">(I3459/60/60/24)+DATE(1970,1,1)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728">(E3459/D3459)*100</f>
        <v>140.19999999999999</v>
      </c>
      <c r="R3459" s="7">
        <f t="shared" ref="R3459:R3522" si="3729">IFERROR(E3459/N3459, 0)</f>
        <v>50.981818181818184</v>
      </c>
      <c r="S3459" t="str">
        <f t="shared" ref="S3459:S3522" si="3730">LEFT(P3459, SEARCH("/", P3459,1)-1)</f>
        <v>theater</v>
      </c>
      <c r="T3459" t="str">
        <f t="shared" ref="T3459:T3522" si="3731">RIGHT(P3459,LEN(P3459)-SEARCH("/",P3459,SEARCH("/",P3459)))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ref="K3460:L3460" si="3732">(J3460/60/60/24)+DATE(1970,1,1)</f>
        <v>42011.202581018515</v>
      </c>
      <c r="L3460" s="11">
        <f t="shared" si="372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728"/>
        <v>124.33537832310839</v>
      </c>
      <c r="R3460" s="7">
        <f t="shared" si="3729"/>
        <v>45.037037037037038</v>
      </c>
      <c r="S3460" t="str">
        <f t="shared" si="3730"/>
        <v>theater</v>
      </c>
      <c r="T3460" t="str">
        <f t="shared" si="3731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ref="K3461:L3461" si="3733">(J3461/60/60/24)+DATE(1970,1,1)</f>
        <v>42480.479861111111</v>
      </c>
      <c r="L3461" s="11">
        <f t="shared" si="372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728"/>
        <v>126.2</v>
      </c>
      <c r="R3461" s="7">
        <f t="shared" si="3729"/>
        <v>17.527777777777779</v>
      </c>
      <c r="S3461" t="str">
        <f t="shared" si="3730"/>
        <v>theater</v>
      </c>
      <c r="T3461" t="str">
        <f t="shared" si="3731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ref="K3462:L3462" si="3734">(J3462/60/60/24)+DATE(1970,1,1)</f>
        <v>41852.527222222219</v>
      </c>
      <c r="L3462" s="11">
        <f t="shared" si="372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728"/>
        <v>190</v>
      </c>
      <c r="R3462" s="7">
        <f t="shared" si="3729"/>
        <v>50</v>
      </c>
      <c r="S3462" t="str">
        <f t="shared" si="3730"/>
        <v>theater</v>
      </c>
      <c r="T3462" t="str">
        <f t="shared" si="3731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ref="K3463:L3463" si="3735">(J3463/60/60/24)+DATE(1970,1,1)</f>
        <v>42643.632858796293</v>
      </c>
      <c r="L3463" s="11">
        <f t="shared" si="3727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728"/>
        <v>139</v>
      </c>
      <c r="R3463" s="7">
        <f t="shared" si="3729"/>
        <v>57.916666666666664</v>
      </c>
      <c r="S3463" t="str">
        <f t="shared" si="3730"/>
        <v>theater</v>
      </c>
      <c r="T3463" t="str">
        <f t="shared" si="3731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ref="K3464:L3464" si="3736">(J3464/60/60/24)+DATE(1970,1,1)</f>
        <v>42179.898472222223</v>
      </c>
      <c r="L3464" s="11">
        <f t="shared" si="3727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728"/>
        <v>202</v>
      </c>
      <c r="R3464" s="7">
        <f t="shared" si="3729"/>
        <v>29.705882352941178</v>
      </c>
      <c r="S3464" t="str">
        <f t="shared" si="3730"/>
        <v>theater</v>
      </c>
      <c r="T3464" t="str">
        <f t="shared" si="3731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ref="K3465:L3465" si="3737">(J3465/60/60/24)+DATE(1970,1,1)</f>
        <v>42612.918807870374</v>
      </c>
      <c r="L3465" s="11">
        <f t="shared" si="372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728"/>
        <v>103.38000000000001</v>
      </c>
      <c r="R3465" s="7">
        <f t="shared" si="3729"/>
        <v>90.684210526315795</v>
      </c>
      <c r="S3465" t="str">
        <f t="shared" si="3730"/>
        <v>theater</v>
      </c>
      <c r="T3465" t="str">
        <f t="shared" si="3731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ref="K3466:L3466" si="3738">(J3466/60/60/24)+DATE(1970,1,1)</f>
        <v>42575.130057870367</v>
      </c>
      <c r="L3466" s="11">
        <f t="shared" si="372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728"/>
        <v>102.3236</v>
      </c>
      <c r="R3466" s="7">
        <f t="shared" si="3729"/>
        <v>55.012688172043013</v>
      </c>
      <c r="S3466" t="str">
        <f t="shared" si="3730"/>
        <v>theater</v>
      </c>
      <c r="T3466" t="str">
        <f t="shared" si="3731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ref="K3467:L3467" si="3739">(J3467/60/60/24)+DATE(1970,1,1)</f>
        <v>42200.625833333332</v>
      </c>
      <c r="L3467" s="11">
        <f t="shared" si="372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728"/>
        <v>103</v>
      </c>
      <c r="R3467" s="7">
        <f t="shared" si="3729"/>
        <v>57.222222222222221</v>
      </c>
      <c r="S3467" t="str">
        <f t="shared" si="3730"/>
        <v>theater</v>
      </c>
      <c r="T3467" t="str">
        <f t="shared" si="3731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ref="K3468:L3468" si="3740">(J3468/60/60/24)+DATE(1970,1,1)</f>
        <v>42420.019097222219</v>
      </c>
      <c r="L3468" s="11">
        <f t="shared" si="372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728"/>
        <v>127.14285714285714</v>
      </c>
      <c r="R3468" s="7">
        <f t="shared" si="3729"/>
        <v>72.950819672131146</v>
      </c>
      <c r="S3468" t="str">
        <f t="shared" si="3730"/>
        <v>theater</v>
      </c>
      <c r="T3468" t="str">
        <f t="shared" si="3731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ref="K3469:L3469" si="3741">(J3469/60/60/24)+DATE(1970,1,1)</f>
        <v>42053.671666666662</v>
      </c>
      <c r="L3469" s="11">
        <f t="shared" si="372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728"/>
        <v>101</v>
      </c>
      <c r="R3469" s="7">
        <f t="shared" si="3729"/>
        <v>64.468085106382972</v>
      </c>
      <c r="S3469" t="str">
        <f t="shared" si="3730"/>
        <v>theater</v>
      </c>
      <c r="T3469" t="str">
        <f t="shared" si="3731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ref="K3470:L3470" si="3742">(J3470/60/60/24)+DATE(1970,1,1)</f>
        <v>42605.765381944439</v>
      </c>
      <c r="L3470" s="11">
        <f t="shared" si="3727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728"/>
        <v>121.78</v>
      </c>
      <c r="R3470" s="7">
        <f t="shared" si="3729"/>
        <v>716.35294117647061</v>
      </c>
      <c r="S3470" t="str">
        <f t="shared" si="3730"/>
        <v>theater</v>
      </c>
      <c r="T3470" t="str">
        <f t="shared" si="3731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ref="K3471:L3471" si="3743">(J3471/60/60/24)+DATE(1970,1,1)</f>
        <v>42458.641724537039</v>
      </c>
      <c r="L3471" s="11">
        <f t="shared" si="372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728"/>
        <v>113.39285714285714</v>
      </c>
      <c r="R3471" s="7">
        <f t="shared" si="3729"/>
        <v>50.396825396825399</v>
      </c>
      <c r="S3471" t="str">
        <f t="shared" si="3730"/>
        <v>theater</v>
      </c>
      <c r="T3471" t="str">
        <f t="shared" si="3731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ref="K3472:L3472" si="3744">(J3472/60/60/24)+DATE(1970,1,1)</f>
        <v>42529.022013888884</v>
      </c>
      <c r="L3472" s="11">
        <f t="shared" si="372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728"/>
        <v>150</v>
      </c>
      <c r="R3472" s="7">
        <f t="shared" si="3729"/>
        <v>41.666666666666664</v>
      </c>
      <c r="S3472" t="str">
        <f t="shared" si="3730"/>
        <v>theater</v>
      </c>
      <c r="T3472" t="str">
        <f t="shared" si="3731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ref="K3473:L3473" si="3745">(J3473/60/60/24)+DATE(1970,1,1)</f>
        <v>41841.820486111108</v>
      </c>
      <c r="L3473" s="11">
        <f t="shared" si="372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728"/>
        <v>214.6</v>
      </c>
      <c r="R3473" s="7">
        <f t="shared" si="3729"/>
        <v>35.766666666666666</v>
      </c>
      <c r="S3473" t="str">
        <f t="shared" si="3730"/>
        <v>theater</v>
      </c>
      <c r="T3473" t="str">
        <f t="shared" si="3731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ref="K3474:L3474" si="3746">(J3474/60/60/24)+DATE(1970,1,1)</f>
        <v>41928.170497685183</v>
      </c>
      <c r="L3474" s="11">
        <f t="shared" si="372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728"/>
        <v>102.05</v>
      </c>
      <c r="R3474" s="7">
        <f t="shared" si="3729"/>
        <v>88.739130434782609</v>
      </c>
      <c r="S3474" t="str">
        <f t="shared" si="3730"/>
        <v>theater</v>
      </c>
      <c r="T3474" t="str">
        <f t="shared" si="3731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ref="K3475:L3475" si="3747">(J3475/60/60/24)+DATE(1970,1,1)</f>
        <v>42062.834444444445</v>
      </c>
      <c r="L3475" s="11">
        <f t="shared" si="372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728"/>
        <v>100</v>
      </c>
      <c r="R3475" s="7">
        <f t="shared" si="3729"/>
        <v>148.4848484848485</v>
      </c>
      <c r="S3475" t="str">
        <f t="shared" si="3730"/>
        <v>theater</v>
      </c>
      <c r="T3475" t="str">
        <f t="shared" si="3731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ref="K3476:L3476" si="3748">(J3476/60/60/24)+DATE(1970,1,1)</f>
        <v>42541.501516203702</v>
      </c>
      <c r="L3476" s="11">
        <f t="shared" si="372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728"/>
        <v>101</v>
      </c>
      <c r="R3476" s="7">
        <f t="shared" si="3729"/>
        <v>51.794871794871796</v>
      </c>
      <c r="S3476" t="str">
        <f t="shared" si="3730"/>
        <v>theater</v>
      </c>
      <c r="T3476" t="str">
        <f t="shared" si="3731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ref="K3477:L3477" si="3749">(J3477/60/60/24)+DATE(1970,1,1)</f>
        <v>41918.880833333329</v>
      </c>
      <c r="L3477" s="11">
        <f t="shared" si="3727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728"/>
        <v>113.33333333333333</v>
      </c>
      <c r="R3477" s="7">
        <f t="shared" si="3729"/>
        <v>20</v>
      </c>
      <c r="S3477" t="str">
        <f t="shared" si="3730"/>
        <v>theater</v>
      </c>
      <c r="T3477" t="str">
        <f t="shared" si="3731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ref="K3478:L3478" si="3750">(J3478/60/60/24)+DATE(1970,1,1)</f>
        <v>41921.279976851853</v>
      </c>
      <c r="L3478" s="11">
        <f t="shared" si="3727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728"/>
        <v>104</v>
      </c>
      <c r="R3478" s="7">
        <f t="shared" si="3729"/>
        <v>52</v>
      </c>
      <c r="S3478" t="str">
        <f t="shared" si="3730"/>
        <v>theater</v>
      </c>
      <c r="T3478" t="str">
        <f t="shared" si="3731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ref="K3479:L3479" si="3751">(J3479/60/60/24)+DATE(1970,1,1)</f>
        <v>42128.736608796295</v>
      </c>
      <c r="L3479" s="11">
        <f t="shared" si="3727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728"/>
        <v>115.33333333333333</v>
      </c>
      <c r="R3479" s="7">
        <f t="shared" si="3729"/>
        <v>53.230769230769234</v>
      </c>
      <c r="S3479" t="str">
        <f t="shared" si="3730"/>
        <v>theater</v>
      </c>
      <c r="T3479" t="str">
        <f t="shared" si="3731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ref="K3480:L3480" si="3752">(J3480/60/60/24)+DATE(1970,1,1)</f>
        <v>42053.916921296302</v>
      </c>
      <c r="L3480" s="11">
        <f t="shared" si="3727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728"/>
        <v>112.85000000000001</v>
      </c>
      <c r="R3480" s="7">
        <f t="shared" si="3729"/>
        <v>39.596491228070178</v>
      </c>
      <c r="S3480" t="str">
        <f t="shared" si="3730"/>
        <v>theater</v>
      </c>
      <c r="T3480" t="str">
        <f t="shared" si="3731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ref="K3481:L3481" si="3753">(J3481/60/60/24)+DATE(1970,1,1)</f>
        <v>41781.855092592588</v>
      </c>
      <c r="L3481" s="11">
        <f t="shared" si="372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728"/>
        <v>127.86666666666666</v>
      </c>
      <c r="R3481" s="7">
        <f t="shared" si="3729"/>
        <v>34.25</v>
      </c>
      <c r="S3481" t="str">
        <f t="shared" si="3730"/>
        <v>theater</v>
      </c>
      <c r="T3481" t="str">
        <f t="shared" si="3731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ref="K3482:L3482" si="3754">(J3482/60/60/24)+DATE(1970,1,1)</f>
        <v>42171.317442129628</v>
      </c>
      <c r="L3482" s="11">
        <f t="shared" si="3727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728"/>
        <v>142.66666666666669</v>
      </c>
      <c r="R3482" s="7">
        <f t="shared" si="3729"/>
        <v>164.61538461538461</v>
      </c>
      <c r="S3482" t="str">
        <f t="shared" si="3730"/>
        <v>theater</v>
      </c>
      <c r="T3482" t="str">
        <f t="shared" si="3731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ref="K3483:L3483" si="3755">(J3483/60/60/24)+DATE(1970,1,1)</f>
        <v>41989.24754629629</v>
      </c>
      <c r="L3483" s="11">
        <f t="shared" si="372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728"/>
        <v>118.8</v>
      </c>
      <c r="R3483" s="7">
        <f t="shared" si="3729"/>
        <v>125.05263157894737</v>
      </c>
      <c r="S3483" t="str">
        <f t="shared" si="3730"/>
        <v>theater</v>
      </c>
      <c r="T3483" t="str">
        <f t="shared" si="3731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ref="K3484:L3484" si="3756">(J3484/60/60/24)+DATE(1970,1,1)</f>
        <v>41796.771597222221</v>
      </c>
      <c r="L3484" s="11">
        <f t="shared" si="372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728"/>
        <v>138.33333333333334</v>
      </c>
      <c r="R3484" s="7">
        <f t="shared" si="3729"/>
        <v>51.875</v>
      </c>
      <c r="S3484" t="str">
        <f t="shared" si="3730"/>
        <v>theater</v>
      </c>
      <c r="T3484" t="str">
        <f t="shared" si="3731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ref="K3485:L3485" si="3757">(J3485/60/60/24)+DATE(1970,1,1)</f>
        <v>41793.668761574074</v>
      </c>
      <c r="L3485" s="11">
        <f t="shared" si="372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728"/>
        <v>159.9402985074627</v>
      </c>
      <c r="R3485" s="7">
        <f t="shared" si="3729"/>
        <v>40.285714285714285</v>
      </c>
      <c r="S3485" t="str">
        <f t="shared" si="3730"/>
        <v>theater</v>
      </c>
      <c r="T3485" t="str">
        <f t="shared" si="3731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ref="K3486:L3486" si="3758">(J3486/60/60/24)+DATE(1970,1,1)</f>
        <v>42506.760405092587</v>
      </c>
      <c r="L3486" s="11">
        <f t="shared" si="372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728"/>
        <v>114.24000000000001</v>
      </c>
      <c r="R3486" s="7">
        <f t="shared" si="3729"/>
        <v>64.909090909090907</v>
      </c>
      <c r="S3486" t="str">
        <f t="shared" si="3730"/>
        <v>theater</v>
      </c>
      <c r="T3486" t="str">
        <f t="shared" si="3731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ref="K3487:L3487" si="3759">(J3487/60/60/24)+DATE(1970,1,1)</f>
        <v>42372.693055555559</v>
      </c>
      <c r="L3487" s="11">
        <f t="shared" si="372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728"/>
        <v>100.60606060606061</v>
      </c>
      <c r="R3487" s="7">
        <f t="shared" si="3729"/>
        <v>55.333333333333336</v>
      </c>
      <c r="S3487" t="str">
        <f t="shared" si="3730"/>
        <v>theater</v>
      </c>
      <c r="T3487" t="str">
        <f t="shared" si="3731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ref="K3488:L3488" si="3760">(J3488/60/60/24)+DATE(1970,1,1)</f>
        <v>42126.87501157407</v>
      </c>
      <c r="L3488" s="11">
        <f t="shared" si="372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728"/>
        <v>155.20000000000002</v>
      </c>
      <c r="R3488" s="7">
        <f t="shared" si="3729"/>
        <v>83.142857142857139</v>
      </c>
      <c r="S3488" t="str">
        <f t="shared" si="3730"/>
        <v>theater</v>
      </c>
      <c r="T3488" t="str">
        <f t="shared" si="3731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ref="K3489:L3489" si="3761">(J3489/60/60/24)+DATE(1970,1,1)</f>
        <v>42149.940416666665</v>
      </c>
      <c r="L3489" s="11">
        <f t="shared" si="372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728"/>
        <v>127.75000000000001</v>
      </c>
      <c r="R3489" s="7">
        <f t="shared" si="3729"/>
        <v>38.712121212121211</v>
      </c>
      <c r="S3489" t="str">
        <f t="shared" si="3730"/>
        <v>theater</v>
      </c>
      <c r="T3489" t="str">
        <f t="shared" si="3731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ref="K3490:L3490" si="3762">(J3490/60/60/24)+DATE(1970,1,1)</f>
        <v>42087.768055555556</v>
      </c>
      <c r="L3490" s="11">
        <f t="shared" si="372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728"/>
        <v>121.2</v>
      </c>
      <c r="R3490" s="7">
        <f t="shared" si="3729"/>
        <v>125.37931034482759</v>
      </c>
      <c r="S3490" t="str">
        <f t="shared" si="3730"/>
        <v>theater</v>
      </c>
      <c r="T3490" t="str">
        <f t="shared" si="3731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ref="K3491:L3491" si="3763">(J3491/60/60/24)+DATE(1970,1,1)</f>
        <v>41753.635775462964</v>
      </c>
      <c r="L3491" s="11">
        <f t="shared" si="3727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728"/>
        <v>112.7</v>
      </c>
      <c r="R3491" s="7">
        <f t="shared" si="3729"/>
        <v>78.263888888888886</v>
      </c>
      <c r="S3491" t="str">
        <f t="shared" si="3730"/>
        <v>theater</v>
      </c>
      <c r="T3491" t="str">
        <f t="shared" si="3731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ref="K3492:L3492" si="3764">(J3492/60/60/24)+DATE(1970,1,1)</f>
        <v>42443.802361111113</v>
      </c>
      <c r="L3492" s="11">
        <f t="shared" si="372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728"/>
        <v>127.49999999999999</v>
      </c>
      <c r="R3492" s="7">
        <f t="shared" si="3729"/>
        <v>47.222222222222221</v>
      </c>
      <c r="S3492" t="str">
        <f t="shared" si="3730"/>
        <v>theater</v>
      </c>
      <c r="T3492" t="str">
        <f t="shared" si="3731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ref="K3493:L3493" si="3765">(J3493/60/60/24)+DATE(1970,1,1)</f>
        <v>42121.249814814815</v>
      </c>
      <c r="L3493" s="11">
        <f t="shared" si="372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728"/>
        <v>158.20000000000002</v>
      </c>
      <c r="R3493" s="7">
        <f t="shared" si="3729"/>
        <v>79.099999999999994</v>
      </c>
      <c r="S3493" t="str">
        <f t="shared" si="3730"/>
        <v>theater</v>
      </c>
      <c r="T3493" t="str">
        <f t="shared" si="3731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ref="K3494:L3494" si="3766">(J3494/60/60/24)+DATE(1970,1,1)</f>
        <v>42268.009224537032</v>
      </c>
      <c r="L3494" s="11">
        <f t="shared" si="372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728"/>
        <v>105.26894736842105</v>
      </c>
      <c r="R3494" s="7">
        <f t="shared" si="3729"/>
        <v>114.29199999999999</v>
      </c>
      <c r="S3494" t="str">
        <f t="shared" si="3730"/>
        <v>theater</v>
      </c>
      <c r="T3494" t="str">
        <f t="shared" si="3731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ref="K3495:L3495" si="3767">(J3495/60/60/24)+DATE(1970,1,1)</f>
        <v>41848.866157407407</v>
      </c>
      <c r="L3495" s="11">
        <f t="shared" si="372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728"/>
        <v>100</v>
      </c>
      <c r="R3495" s="7">
        <f t="shared" si="3729"/>
        <v>51.724137931034484</v>
      </c>
      <c r="S3495" t="str">
        <f t="shared" si="3730"/>
        <v>theater</v>
      </c>
      <c r="T3495" t="str">
        <f t="shared" si="3731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ref="K3496:L3496" si="3768">(J3496/60/60/24)+DATE(1970,1,1)</f>
        <v>42689.214988425927</v>
      </c>
      <c r="L3496" s="11">
        <f t="shared" si="3727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728"/>
        <v>100</v>
      </c>
      <c r="R3496" s="7">
        <f t="shared" si="3729"/>
        <v>30.76923076923077</v>
      </c>
      <c r="S3496" t="str">
        <f t="shared" si="3730"/>
        <v>theater</v>
      </c>
      <c r="T3496" t="str">
        <f t="shared" si="3731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ref="K3497:L3497" si="3769">(J3497/60/60/24)+DATE(1970,1,1)</f>
        <v>41915.762835648151</v>
      </c>
      <c r="L3497" s="11">
        <f t="shared" si="372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728"/>
        <v>106.86</v>
      </c>
      <c r="R3497" s="7">
        <f t="shared" si="3729"/>
        <v>74.208333333333329</v>
      </c>
      <c r="S3497" t="str">
        <f t="shared" si="3730"/>
        <v>theater</v>
      </c>
      <c r="T3497" t="str">
        <f t="shared" si="3731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ref="K3498:L3498" si="3770">(J3498/60/60/24)+DATE(1970,1,1)</f>
        <v>42584.846828703703</v>
      </c>
      <c r="L3498" s="11">
        <f t="shared" si="372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728"/>
        <v>124.4</v>
      </c>
      <c r="R3498" s="7">
        <f t="shared" si="3729"/>
        <v>47.846153846153847</v>
      </c>
      <c r="S3498" t="str">
        <f t="shared" si="3730"/>
        <v>theater</v>
      </c>
      <c r="T3498" t="str">
        <f t="shared" si="3731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ref="K3499:L3499" si="3771">(J3499/60/60/24)+DATE(1970,1,1)</f>
        <v>42511.741944444439</v>
      </c>
      <c r="L3499" s="11">
        <f t="shared" si="372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728"/>
        <v>108.70406189555126</v>
      </c>
      <c r="R3499" s="7">
        <f t="shared" si="3729"/>
        <v>34.408163265306122</v>
      </c>
      <c r="S3499" t="str">
        <f t="shared" si="3730"/>
        <v>theater</v>
      </c>
      <c r="T3499" t="str">
        <f t="shared" si="3731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ref="K3500:L3500" si="3772">(J3500/60/60/24)+DATE(1970,1,1)</f>
        <v>42459.15861111111</v>
      </c>
      <c r="L3500" s="11">
        <f t="shared" si="372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728"/>
        <v>102.42424242424242</v>
      </c>
      <c r="R3500" s="7">
        <f t="shared" si="3729"/>
        <v>40.238095238095241</v>
      </c>
      <c r="S3500" t="str">
        <f t="shared" si="3730"/>
        <v>theater</v>
      </c>
      <c r="T3500" t="str">
        <f t="shared" si="3731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ref="K3501:L3501" si="3773">(J3501/60/60/24)+DATE(1970,1,1)</f>
        <v>42132.036168981482</v>
      </c>
      <c r="L3501" s="11">
        <f t="shared" si="372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728"/>
        <v>105.5</v>
      </c>
      <c r="R3501" s="7">
        <f t="shared" si="3729"/>
        <v>60.285714285714285</v>
      </c>
      <c r="S3501" t="str">
        <f t="shared" si="3730"/>
        <v>theater</v>
      </c>
      <c r="T3501" t="str">
        <f t="shared" si="3731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ref="K3502:L3502" si="3774">(J3502/60/60/24)+DATE(1970,1,1)</f>
        <v>42419.91942129629</v>
      </c>
      <c r="L3502" s="11">
        <f t="shared" si="372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728"/>
        <v>106.3</v>
      </c>
      <c r="R3502" s="7">
        <f t="shared" si="3729"/>
        <v>25.30952380952381</v>
      </c>
      <c r="S3502" t="str">
        <f t="shared" si="3730"/>
        <v>theater</v>
      </c>
      <c r="T3502" t="str">
        <f t="shared" si="3731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ref="K3503:L3503" si="3775">(J3503/60/60/24)+DATE(1970,1,1)</f>
        <v>42233.763831018514</v>
      </c>
      <c r="L3503" s="11">
        <f t="shared" si="372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728"/>
        <v>100.66666666666666</v>
      </c>
      <c r="R3503" s="7">
        <f t="shared" si="3729"/>
        <v>35.952380952380949</v>
      </c>
      <c r="S3503" t="str">
        <f t="shared" si="3730"/>
        <v>theater</v>
      </c>
      <c r="T3503" t="str">
        <f t="shared" si="3731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ref="K3504:L3504" si="3776">(J3504/60/60/24)+DATE(1970,1,1)</f>
        <v>42430.839398148149</v>
      </c>
      <c r="L3504" s="11">
        <f t="shared" si="372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728"/>
        <v>105.4</v>
      </c>
      <c r="R3504" s="7">
        <f t="shared" si="3729"/>
        <v>136</v>
      </c>
      <c r="S3504" t="str">
        <f t="shared" si="3730"/>
        <v>theater</v>
      </c>
      <c r="T3504" t="str">
        <f t="shared" si="3731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ref="K3505:L3505" si="3777">(J3505/60/60/24)+DATE(1970,1,1)</f>
        <v>42545.478333333333</v>
      </c>
      <c r="L3505" s="11">
        <f t="shared" si="372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728"/>
        <v>107.55999999999999</v>
      </c>
      <c r="R3505" s="7">
        <f t="shared" si="3729"/>
        <v>70.763157894736835</v>
      </c>
      <c r="S3505" t="str">
        <f t="shared" si="3730"/>
        <v>theater</v>
      </c>
      <c r="T3505" t="str">
        <f t="shared" si="3731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ref="K3506:L3506" si="3778">(J3506/60/60/24)+DATE(1970,1,1)</f>
        <v>42297.748738425929</v>
      </c>
      <c r="L3506" s="11">
        <f t="shared" si="372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728"/>
        <v>100</v>
      </c>
      <c r="R3506" s="7">
        <f t="shared" si="3729"/>
        <v>125</v>
      </c>
      <c r="S3506" t="str">
        <f t="shared" si="3730"/>
        <v>theater</v>
      </c>
      <c r="T3506" t="str">
        <f t="shared" si="3731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ref="K3507:L3507" si="3779">(J3507/60/60/24)+DATE(1970,1,1)</f>
        <v>41760.935706018521</v>
      </c>
      <c r="L3507" s="11">
        <f t="shared" si="372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728"/>
        <v>103.76</v>
      </c>
      <c r="R3507" s="7">
        <f t="shared" si="3729"/>
        <v>66.512820512820511</v>
      </c>
      <c r="S3507" t="str">
        <f t="shared" si="3730"/>
        <v>theater</v>
      </c>
      <c r="T3507" t="str">
        <f t="shared" si="3731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ref="K3508:L3508" si="3780">(J3508/60/60/24)+DATE(1970,1,1)</f>
        <v>41829.734259259261</v>
      </c>
      <c r="L3508" s="11">
        <f t="shared" si="372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728"/>
        <v>101.49999999999999</v>
      </c>
      <c r="R3508" s="7">
        <f t="shared" si="3729"/>
        <v>105</v>
      </c>
      <c r="S3508" t="str">
        <f t="shared" si="3730"/>
        <v>theater</v>
      </c>
      <c r="T3508" t="str">
        <f t="shared" si="3731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ref="K3509:L3509" si="3781">(J3509/60/60/24)+DATE(1970,1,1)</f>
        <v>42491.92288194444</v>
      </c>
      <c r="L3509" s="11">
        <f t="shared" si="372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728"/>
        <v>104.4</v>
      </c>
      <c r="R3509" s="7">
        <f t="shared" si="3729"/>
        <v>145</v>
      </c>
      <c r="S3509" t="str">
        <f t="shared" si="3730"/>
        <v>theater</v>
      </c>
      <c r="T3509" t="str">
        <f t="shared" si="3731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ref="K3510:L3510" si="3782">(J3510/60/60/24)+DATE(1970,1,1)</f>
        <v>42477.729780092588</v>
      </c>
      <c r="L3510" s="11">
        <f t="shared" si="3727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728"/>
        <v>180</v>
      </c>
      <c r="R3510" s="7">
        <f t="shared" si="3729"/>
        <v>12</v>
      </c>
      <c r="S3510" t="str">
        <f t="shared" si="3730"/>
        <v>theater</v>
      </c>
      <c r="T3510" t="str">
        <f t="shared" si="3731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ref="K3511:L3511" si="3783">(J3511/60/60/24)+DATE(1970,1,1)</f>
        <v>41950.859560185185</v>
      </c>
      <c r="L3511" s="11">
        <f t="shared" si="372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728"/>
        <v>106.33333333333333</v>
      </c>
      <c r="R3511" s="7">
        <f t="shared" si="3729"/>
        <v>96.666666666666671</v>
      </c>
      <c r="S3511" t="str">
        <f t="shared" si="3730"/>
        <v>theater</v>
      </c>
      <c r="T3511" t="str">
        <f t="shared" si="3731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ref="K3512:L3512" si="3784">(J3512/60/60/24)+DATE(1970,1,1)</f>
        <v>41802.62090277778</v>
      </c>
      <c r="L3512" s="11">
        <f t="shared" si="372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728"/>
        <v>100.55555555555556</v>
      </c>
      <c r="R3512" s="7">
        <f t="shared" si="3729"/>
        <v>60.333333333333336</v>
      </c>
      <c r="S3512" t="str">
        <f t="shared" si="3730"/>
        <v>theater</v>
      </c>
      <c r="T3512" t="str">
        <f t="shared" si="3731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ref="K3513:L3513" si="3785">(J3513/60/60/24)+DATE(1970,1,1)</f>
        <v>41927.873784722222</v>
      </c>
      <c r="L3513" s="11">
        <f t="shared" si="372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728"/>
        <v>101.2</v>
      </c>
      <c r="R3513" s="7">
        <f t="shared" si="3729"/>
        <v>79.89473684210526</v>
      </c>
      <c r="S3513" t="str">
        <f t="shared" si="3730"/>
        <v>theater</v>
      </c>
      <c r="T3513" t="str">
        <f t="shared" si="3731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ref="K3514:L3514" si="3786">(J3514/60/60/24)+DATE(1970,1,1)</f>
        <v>42057.536944444444</v>
      </c>
      <c r="L3514" s="11">
        <f t="shared" si="372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728"/>
        <v>100</v>
      </c>
      <c r="R3514" s="7">
        <f t="shared" si="3729"/>
        <v>58.823529411764703</v>
      </c>
      <c r="S3514" t="str">
        <f t="shared" si="3730"/>
        <v>theater</v>
      </c>
      <c r="T3514" t="str">
        <f t="shared" si="3731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ref="K3515:L3515" si="3787">(J3515/60/60/24)+DATE(1970,1,1)</f>
        <v>41781.096203703702</v>
      </c>
      <c r="L3515" s="11">
        <f t="shared" si="372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728"/>
        <v>118.39285714285714</v>
      </c>
      <c r="R3515" s="7">
        <f t="shared" si="3729"/>
        <v>75.340909090909093</v>
      </c>
      <c r="S3515" t="str">
        <f t="shared" si="3730"/>
        <v>theater</v>
      </c>
      <c r="T3515" t="str">
        <f t="shared" si="3731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ref="K3516:L3516" si="3788">(J3516/60/60/24)+DATE(1970,1,1)</f>
        <v>42020.846666666665</v>
      </c>
      <c r="L3516" s="11">
        <f t="shared" si="372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728"/>
        <v>110.00000000000001</v>
      </c>
      <c r="R3516" s="7">
        <f t="shared" si="3729"/>
        <v>55</v>
      </c>
      <c r="S3516" t="str">
        <f t="shared" si="3730"/>
        <v>theater</v>
      </c>
      <c r="T3516" t="str">
        <f t="shared" si="3731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ref="K3517:L3517" si="3789">(J3517/60/60/24)+DATE(1970,1,1)</f>
        <v>42125.772812499999</v>
      </c>
      <c r="L3517" s="11">
        <f t="shared" si="372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728"/>
        <v>102.66666666666666</v>
      </c>
      <c r="R3517" s="7">
        <f t="shared" si="3729"/>
        <v>66.956521739130437</v>
      </c>
      <c r="S3517" t="str">
        <f t="shared" si="3730"/>
        <v>theater</v>
      </c>
      <c r="T3517" t="str">
        <f t="shared" si="3731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ref="K3518:L3518" si="3790">(J3518/60/60/24)+DATE(1970,1,1)</f>
        <v>41856.010069444441</v>
      </c>
      <c r="L3518" s="11">
        <f t="shared" si="3727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728"/>
        <v>100</v>
      </c>
      <c r="R3518" s="7">
        <f t="shared" si="3729"/>
        <v>227.27272727272728</v>
      </c>
      <c r="S3518" t="str">
        <f t="shared" si="3730"/>
        <v>theater</v>
      </c>
      <c r="T3518" t="str">
        <f t="shared" si="3731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ref="K3519:L3519" si="3791">(J3519/60/60/24)+DATE(1970,1,1)</f>
        <v>41794.817523148151</v>
      </c>
      <c r="L3519" s="11">
        <f t="shared" si="372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728"/>
        <v>100</v>
      </c>
      <c r="R3519" s="7">
        <f t="shared" si="3729"/>
        <v>307.69230769230768</v>
      </c>
      <c r="S3519" t="str">
        <f t="shared" si="3730"/>
        <v>theater</v>
      </c>
      <c r="T3519" t="str">
        <f t="shared" si="3731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ref="K3520:L3520" si="3792">(J3520/60/60/24)+DATE(1970,1,1)</f>
        <v>41893.783553240741</v>
      </c>
      <c r="L3520" s="11">
        <f t="shared" si="372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728"/>
        <v>110.04599999999999</v>
      </c>
      <c r="R3520" s="7">
        <f t="shared" si="3729"/>
        <v>50.020909090909093</v>
      </c>
      <c r="S3520" t="str">
        <f t="shared" si="3730"/>
        <v>theater</v>
      </c>
      <c r="T3520" t="str">
        <f t="shared" si="3731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ref="K3521:L3521" si="3793">(J3521/60/60/24)+DATE(1970,1,1)</f>
        <v>42037.598958333328</v>
      </c>
      <c r="L3521" s="11">
        <f t="shared" si="372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728"/>
        <v>101.35000000000001</v>
      </c>
      <c r="R3521" s="7">
        <f t="shared" si="3729"/>
        <v>72.392857142857139</v>
      </c>
      <c r="S3521" t="str">
        <f t="shared" si="3730"/>
        <v>theater</v>
      </c>
      <c r="T3521" t="str">
        <f t="shared" si="3731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ref="K3522:L3522" si="3794">(J3522/60/60/24)+DATE(1970,1,1)</f>
        <v>42227.824212962965</v>
      </c>
      <c r="L3522" s="11">
        <f t="shared" si="372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728"/>
        <v>100.75</v>
      </c>
      <c r="R3522" s="7">
        <f t="shared" si="3729"/>
        <v>95.952380952380949</v>
      </c>
      <c r="S3522" t="str">
        <f t="shared" si="3730"/>
        <v>theater</v>
      </c>
      <c r="T3522" t="str">
        <f t="shared" si="3731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ref="K3523:L3523" si="3795">(J3523/60/60/24)+DATE(1970,1,1)</f>
        <v>41881.361342592594</v>
      </c>
      <c r="L3523" s="11">
        <f t="shared" ref="L3523:L3586" si="3796">(I3523/60/60/24)+DATE(1970,1,1)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797">(E3523/D3523)*100</f>
        <v>169.42857142857144</v>
      </c>
      <c r="R3523" s="7">
        <f t="shared" ref="R3523:R3586" si="3798">IFERROR(E3523/N3523, 0)</f>
        <v>45.615384615384613</v>
      </c>
      <c r="S3523" t="str">
        <f t="shared" ref="S3523:S3586" si="3799">LEFT(P3523, SEARCH("/", P3523,1)-1)</f>
        <v>theater</v>
      </c>
      <c r="T3523" t="str">
        <f t="shared" ref="T3523:T3586" si="3800">RIGHT(P3523,LEN(P3523)-SEARCH("/",P3523,SEARCH("/",P3523)))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ref="K3524:L3524" si="3801">(J3524/60/60/24)+DATE(1970,1,1)</f>
        <v>42234.789884259255</v>
      </c>
      <c r="L3524" s="11">
        <f t="shared" si="3796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797"/>
        <v>100</v>
      </c>
      <c r="R3524" s="7">
        <f t="shared" si="3798"/>
        <v>41.029411764705884</v>
      </c>
      <c r="S3524" t="str">
        <f t="shared" si="3799"/>
        <v>theater</v>
      </c>
      <c r="T3524" t="str">
        <f t="shared" si="3800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ref="K3525:L3525" si="3802">(J3525/60/60/24)+DATE(1970,1,1)</f>
        <v>42581.397546296299</v>
      </c>
      <c r="L3525" s="11">
        <f t="shared" si="3796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797"/>
        <v>113.65</v>
      </c>
      <c r="R3525" s="7">
        <f t="shared" si="3798"/>
        <v>56.825000000000003</v>
      </c>
      <c r="S3525" t="str">
        <f t="shared" si="3799"/>
        <v>theater</v>
      </c>
      <c r="T3525" t="str">
        <f t="shared" si="3800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ref="K3526:L3526" si="3803">(J3526/60/60/24)+DATE(1970,1,1)</f>
        <v>41880.76357638889</v>
      </c>
      <c r="L3526" s="11">
        <f t="shared" si="3796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797"/>
        <v>101.56</v>
      </c>
      <c r="R3526" s="7">
        <f t="shared" si="3798"/>
        <v>137.24324324324326</v>
      </c>
      <c r="S3526" t="str">
        <f t="shared" si="3799"/>
        <v>theater</v>
      </c>
      <c r="T3526" t="str">
        <f t="shared" si="3800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ref="K3527:L3527" si="3804">(J3527/60/60/24)+DATE(1970,1,1)</f>
        <v>42214.6956712963</v>
      </c>
      <c r="L3527" s="11">
        <f t="shared" si="3796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797"/>
        <v>106</v>
      </c>
      <c r="R3527" s="7">
        <f t="shared" si="3798"/>
        <v>75.714285714285708</v>
      </c>
      <c r="S3527" t="str">
        <f t="shared" si="3799"/>
        <v>theater</v>
      </c>
      <c r="T3527" t="str">
        <f t="shared" si="3800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ref="K3528:L3528" si="3805">(J3528/60/60/24)+DATE(1970,1,1)</f>
        <v>42460.335312499999</v>
      </c>
      <c r="L3528" s="11">
        <f t="shared" si="3796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797"/>
        <v>102</v>
      </c>
      <c r="R3528" s="7">
        <f t="shared" si="3798"/>
        <v>99</v>
      </c>
      <c r="S3528" t="str">
        <f t="shared" si="3799"/>
        <v>theater</v>
      </c>
      <c r="T3528" t="str">
        <f t="shared" si="3800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ref="K3529:L3529" si="3806">(J3529/60/60/24)+DATE(1970,1,1)</f>
        <v>42167.023206018523</v>
      </c>
      <c r="L3529" s="11">
        <f t="shared" si="3796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797"/>
        <v>116.91666666666667</v>
      </c>
      <c r="R3529" s="7">
        <f t="shared" si="3798"/>
        <v>81.569767441860463</v>
      </c>
      <c r="S3529" t="str">
        <f t="shared" si="3799"/>
        <v>theater</v>
      </c>
      <c r="T3529" t="str">
        <f t="shared" si="3800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ref="K3530:L3530" si="3807">(J3530/60/60/24)+DATE(1970,1,1)</f>
        <v>42733.50136574074</v>
      </c>
      <c r="L3530" s="11">
        <f t="shared" si="3796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797"/>
        <v>101.15151515151514</v>
      </c>
      <c r="R3530" s="7">
        <f t="shared" si="3798"/>
        <v>45.108108108108105</v>
      </c>
      <c r="S3530" t="str">
        <f t="shared" si="3799"/>
        <v>theater</v>
      </c>
      <c r="T3530" t="str">
        <f t="shared" si="3800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ref="K3531:L3531" si="3808">(J3531/60/60/24)+DATE(1970,1,1)</f>
        <v>42177.761782407411</v>
      </c>
      <c r="L3531" s="11">
        <f t="shared" si="3796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797"/>
        <v>132</v>
      </c>
      <c r="R3531" s="7">
        <f t="shared" si="3798"/>
        <v>36.666666666666664</v>
      </c>
      <c r="S3531" t="str">
        <f t="shared" si="3799"/>
        <v>theater</v>
      </c>
      <c r="T3531" t="str">
        <f t="shared" si="3800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ref="K3532:L3532" si="3809">(J3532/60/60/24)+DATE(1970,1,1)</f>
        <v>42442.623344907406</v>
      </c>
      <c r="L3532" s="11">
        <f t="shared" si="3796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797"/>
        <v>100</v>
      </c>
      <c r="R3532" s="7">
        <f t="shared" si="3798"/>
        <v>125</v>
      </c>
      <c r="S3532" t="str">
        <f t="shared" si="3799"/>
        <v>theater</v>
      </c>
      <c r="T3532" t="str">
        <f t="shared" si="3800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ref="K3533:L3533" si="3810">(J3533/60/60/24)+DATE(1970,1,1)</f>
        <v>42521.654328703706</v>
      </c>
      <c r="L3533" s="11">
        <f t="shared" si="3796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797"/>
        <v>128</v>
      </c>
      <c r="R3533" s="7">
        <f t="shared" si="3798"/>
        <v>49.230769230769234</v>
      </c>
      <c r="S3533" t="str">
        <f t="shared" si="3799"/>
        <v>theater</v>
      </c>
      <c r="T3533" t="str">
        <f t="shared" si="3800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ref="K3534:L3534" si="3811">(J3534/60/60/24)+DATE(1970,1,1)</f>
        <v>41884.599849537037</v>
      </c>
      <c r="L3534" s="11">
        <f t="shared" si="3796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797"/>
        <v>118.95833333333334</v>
      </c>
      <c r="R3534" s="7">
        <f t="shared" si="3798"/>
        <v>42.296296296296298</v>
      </c>
      <c r="S3534" t="str">
        <f t="shared" si="3799"/>
        <v>theater</v>
      </c>
      <c r="T3534" t="str">
        <f t="shared" si="3800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ref="K3535:L3535" si="3812">(J3535/60/60/24)+DATE(1970,1,1)</f>
        <v>42289.761192129634</v>
      </c>
      <c r="L3535" s="11">
        <f t="shared" si="3796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797"/>
        <v>126.2</v>
      </c>
      <c r="R3535" s="7">
        <f t="shared" si="3798"/>
        <v>78.875</v>
      </c>
      <c r="S3535" t="str">
        <f t="shared" si="3799"/>
        <v>theater</v>
      </c>
      <c r="T3535" t="str">
        <f t="shared" si="3800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ref="K3536:L3536" si="3813">(J3536/60/60/24)+DATE(1970,1,1)</f>
        <v>42243.6252662037</v>
      </c>
      <c r="L3536" s="11">
        <f t="shared" si="3796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797"/>
        <v>156.20000000000002</v>
      </c>
      <c r="R3536" s="7">
        <f t="shared" si="3798"/>
        <v>38.284313725490193</v>
      </c>
      <c r="S3536" t="str">
        <f t="shared" si="3799"/>
        <v>theater</v>
      </c>
      <c r="T3536" t="str">
        <f t="shared" si="3800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ref="K3537:L3537" si="3814">(J3537/60/60/24)+DATE(1970,1,1)</f>
        <v>42248.640162037031</v>
      </c>
      <c r="L3537" s="11">
        <f t="shared" si="3796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797"/>
        <v>103.15</v>
      </c>
      <c r="R3537" s="7">
        <f t="shared" si="3798"/>
        <v>44.847826086956523</v>
      </c>
      <c r="S3537" t="str">
        <f t="shared" si="3799"/>
        <v>theater</v>
      </c>
      <c r="T3537" t="str">
        <f t="shared" si="3800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ref="K3538:L3538" si="3815">(J3538/60/60/24)+DATE(1970,1,1)</f>
        <v>42328.727141203708</v>
      </c>
      <c r="L3538" s="11">
        <f t="shared" si="3796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797"/>
        <v>153.33333333333334</v>
      </c>
      <c r="R3538" s="7">
        <f t="shared" si="3798"/>
        <v>13.529411764705882</v>
      </c>
      <c r="S3538" t="str">
        <f t="shared" si="3799"/>
        <v>theater</v>
      </c>
      <c r="T3538" t="str">
        <f t="shared" si="3800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ref="K3539:L3539" si="3816">(J3539/60/60/24)+DATE(1970,1,1)</f>
        <v>41923.354351851849</v>
      </c>
      <c r="L3539" s="11">
        <f t="shared" si="3796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797"/>
        <v>180.44444444444446</v>
      </c>
      <c r="R3539" s="7">
        <f t="shared" si="3798"/>
        <v>43.5</v>
      </c>
      <c r="S3539" t="str">
        <f t="shared" si="3799"/>
        <v>theater</v>
      </c>
      <c r="T3539" t="str">
        <f t="shared" si="3800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ref="K3540:L3540" si="3817">(J3540/60/60/24)+DATE(1970,1,1)</f>
        <v>42571.420601851853</v>
      </c>
      <c r="L3540" s="11">
        <f t="shared" si="3796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797"/>
        <v>128.44999999999999</v>
      </c>
      <c r="R3540" s="7">
        <f t="shared" si="3798"/>
        <v>30.951807228915662</v>
      </c>
      <c r="S3540" t="str">
        <f t="shared" si="3799"/>
        <v>theater</v>
      </c>
      <c r="T3540" t="str">
        <f t="shared" si="3800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ref="K3541:L3541" si="3818">(J3541/60/60/24)+DATE(1970,1,1)</f>
        <v>42600.756041666667</v>
      </c>
      <c r="L3541" s="11">
        <f t="shared" si="3796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797"/>
        <v>119.66666666666667</v>
      </c>
      <c r="R3541" s="7">
        <f t="shared" si="3798"/>
        <v>55.230769230769234</v>
      </c>
      <c r="S3541" t="str">
        <f t="shared" si="3799"/>
        <v>theater</v>
      </c>
      <c r="T3541" t="str">
        <f t="shared" si="3800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ref="K3542:L3542" si="3819">(J3542/60/60/24)+DATE(1970,1,1)</f>
        <v>42517.003368055557</v>
      </c>
      <c r="L3542" s="11">
        <f t="shared" si="3796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797"/>
        <v>123</v>
      </c>
      <c r="R3542" s="7">
        <f t="shared" si="3798"/>
        <v>46.125</v>
      </c>
      <c r="S3542" t="str">
        <f t="shared" si="3799"/>
        <v>theater</v>
      </c>
      <c r="T3542" t="str">
        <f t="shared" si="3800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ref="K3543:L3543" si="3820">(J3543/60/60/24)+DATE(1970,1,1)</f>
        <v>42222.730034722219</v>
      </c>
      <c r="L3543" s="11">
        <f t="shared" si="3796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797"/>
        <v>105</v>
      </c>
      <c r="R3543" s="7">
        <f t="shared" si="3798"/>
        <v>39.375</v>
      </c>
      <c r="S3543" t="str">
        <f t="shared" si="3799"/>
        <v>theater</v>
      </c>
      <c r="T3543" t="str">
        <f t="shared" si="3800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ref="K3544:L3544" si="3821">(J3544/60/60/24)+DATE(1970,1,1)</f>
        <v>41829.599791666667</v>
      </c>
      <c r="L3544" s="11">
        <f t="shared" si="3796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797"/>
        <v>102.23636363636363</v>
      </c>
      <c r="R3544" s="7">
        <f t="shared" si="3798"/>
        <v>66.152941176470591</v>
      </c>
      <c r="S3544" t="str">
        <f t="shared" si="3799"/>
        <v>theater</v>
      </c>
      <c r="T3544" t="str">
        <f t="shared" si="3800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ref="K3545:L3545" si="3822">(J3545/60/60/24)+DATE(1970,1,1)</f>
        <v>42150.755312499998</v>
      </c>
      <c r="L3545" s="11">
        <f t="shared" si="3796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797"/>
        <v>104.66666666666666</v>
      </c>
      <c r="R3545" s="7">
        <f t="shared" si="3798"/>
        <v>54.137931034482762</v>
      </c>
      <c r="S3545" t="str">
        <f t="shared" si="3799"/>
        <v>theater</v>
      </c>
      <c r="T3545" t="str">
        <f t="shared" si="3800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ref="K3546:L3546" si="3823">(J3546/60/60/24)+DATE(1970,1,1)</f>
        <v>42040.831678240742</v>
      </c>
      <c r="L3546" s="11">
        <f t="shared" si="3796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797"/>
        <v>100</v>
      </c>
      <c r="R3546" s="7">
        <f t="shared" si="3798"/>
        <v>104.16666666666667</v>
      </c>
      <c r="S3546" t="str">
        <f t="shared" si="3799"/>
        <v>theater</v>
      </c>
      <c r="T3546" t="str">
        <f t="shared" si="3800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ref="K3547:L3547" si="3824">(J3547/60/60/24)+DATE(1970,1,1)</f>
        <v>42075.807395833333</v>
      </c>
      <c r="L3547" s="11">
        <f t="shared" si="3796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797"/>
        <v>100.4</v>
      </c>
      <c r="R3547" s="7">
        <f t="shared" si="3798"/>
        <v>31.375</v>
      </c>
      <c r="S3547" t="str">
        <f t="shared" si="3799"/>
        <v>theater</v>
      </c>
      <c r="T3547" t="str">
        <f t="shared" si="3800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ref="K3548:L3548" si="3825">(J3548/60/60/24)+DATE(1970,1,1)</f>
        <v>42073.660694444443</v>
      </c>
      <c r="L3548" s="11">
        <f t="shared" si="3796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797"/>
        <v>102.27272727272727</v>
      </c>
      <c r="R3548" s="7">
        <f t="shared" si="3798"/>
        <v>59.210526315789473</v>
      </c>
      <c r="S3548" t="str">
        <f t="shared" si="3799"/>
        <v>theater</v>
      </c>
      <c r="T3548" t="str">
        <f t="shared" si="3800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ref="K3549:L3549" si="3826">(J3549/60/60/24)+DATE(1970,1,1)</f>
        <v>42480.078715277778</v>
      </c>
      <c r="L3549" s="11">
        <f t="shared" si="3796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797"/>
        <v>114.40928571428573</v>
      </c>
      <c r="R3549" s="7">
        <f t="shared" si="3798"/>
        <v>119.17633928571429</v>
      </c>
      <c r="S3549" t="str">
        <f t="shared" si="3799"/>
        <v>theater</v>
      </c>
      <c r="T3549" t="str">
        <f t="shared" si="3800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ref="K3550:L3550" si="3827">(J3550/60/60/24)+DATE(1970,1,1)</f>
        <v>42411.942291666666</v>
      </c>
      <c r="L3550" s="11">
        <f t="shared" si="3796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797"/>
        <v>101.9047619047619</v>
      </c>
      <c r="R3550" s="7">
        <f t="shared" si="3798"/>
        <v>164.61538461538461</v>
      </c>
      <c r="S3550" t="str">
        <f t="shared" si="3799"/>
        <v>theater</v>
      </c>
      <c r="T3550" t="str">
        <f t="shared" si="3800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ref="K3551:L3551" si="3828">(J3551/60/60/24)+DATE(1970,1,1)</f>
        <v>42223.394363425927</v>
      </c>
      <c r="L3551" s="11">
        <f t="shared" si="3796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797"/>
        <v>102</v>
      </c>
      <c r="R3551" s="7">
        <f t="shared" si="3798"/>
        <v>24.285714285714285</v>
      </c>
      <c r="S3551" t="str">
        <f t="shared" si="3799"/>
        <v>theater</v>
      </c>
      <c r="T3551" t="str">
        <f t="shared" si="3800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ref="K3552:L3552" si="3829">(J3552/60/60/24)+DATE(1970,1,1)</f>
        <v>42462.893495370372</v>
      </c>
      <c r="L3552" s="11">
        <f t="shared" si="3796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797"/>
        <v>104.80000000000001</v>
      </c>
      <c r="R3552" s="7">
        <f t="shared" si="3798"/>
        <v>40.9375</v>
      </c>
      <c r="S3552" t="str">
        <f t="shared" si="3799"/>
        <v>theater</v>
      </c>
      <c r="T3552" t="str">
        <f t="shared" si="3800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ref="K3553:L3553" si="3830">(J3553/60/60/24)+DATE(1970,1,1)</f>
        <v>41753.515856481477</v>
      </c>
      <c r="L3553" s="11">
        <f t="shared" si="3796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797"/>
        <v>101.83333333333333</v>
      </c>
      <c r="R3553" s="7">
        <f t="shared" si="3798"/>
        <v>61.1</v>
      </c>
      <c r="S3553" t="str">
        <f t="shared" si="3799"/>
        <v>theater</v>
      </c>
      <c r="T3553" t="str">
        <f t="shared" si="3800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ref="K3554:L3554" si="3831">(J3554/60/60/24)+DATE(1970,1,1)</f>
        <v>41788.587083333332</v>
      </c>
      <c r="L3554" s="11">
        <f t="shared" si="3796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797"/>
        <v>100</v>
      </c>
      <c r="R3554" s="7">
        <f t="shared" si="3798"/>
        <v>38.65</v>
      </c>
      <c r="S3554" t="str">
        <f t="shared" si="3799"/>
        <v>theater</v>
      </c>
      <c r="T3554" t="str">
        <f t="shared" si="3800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ref="K3555:L3555" si="3832">(J3555/60/60/24)+DATE(1970,1,1)</f>
        <v>42196.028703703705</v>
      </c>
      <c r="L3555" s="11">
        <f t="shared" si="3796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797"/>
        <v>106.27272727272728</v>
      </c>
      <c r="R3555" s="7">
        <f t="shared" si="3798"/>
        <v>56.20192307692308</v>
      </c>
      <c r="S3555" t="str">
        <f t="shared" si="3799"/>
        <v>theater</v>
      </c>
      <c r="T3555" t="str">
        <f t="shared" si="3800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ref="K3556:L3556" si="3833">(J3556/60/60/24)+DATE(1970,1,1)</f>
        <v>42016.050451388888</v>
      </c>
      <c r="L3556" s="11">
        <f t="shared" si="3796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797"/>
        <v>113.42219999999999</v>
      </c>
      <c r="R3556" s="7">
        <f t="shared" si="3798"/>
        <v>107.00207547169811</v>
      </c>
      <c r="S3556" t="str">
        <f t="shared" si="3799"/>
        <v>theater</v>
      </c>
      <c r="T3556" t="str">
        <f t="shared" si="3800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ref="K3557:L3557" si="3834">(J3557/60/60/24)+DATE(1970,1,1)</f>
        <v>42661.442060185189</v>
      </c>
      <c r="L3557" s="11">
        <f t="shared" si="3796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797"/>
        <v>100</v>
      </c>
      <c r="R3557" s="7">
        <f t="shared" si="3798"/>
        <v>171.42857142857142</v>
      </c>
      <c r="S3557" t="str">
        <f t="shared" si="3799"/>
        <v>theater</v>
      </c>
      <c r="T3557" t="str">
        <f t="shared" si="3800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ref="K3558:L3558" si="3835">(J3558/60/60/24)+DATE(1970,1,1)</f>
        <v>41808.649583333332</v>
      </c>
      <c r="L3558" s="11">
        <f t="shared" si="3796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797"/>
        <v>100.45454545454547</v>
      </c>
      <c r="R3558" s="7">
        <f t="shared" si="3798"/>
        <v>110.5</v>
      </c>
      <c r="S3558" t="str">
        <f t="shared" si="3799"/>
        <v>theater</v>
      </c>
      <c r="T3558" t="str">
        <f t="shared" si="3800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ref="K3559:L3559" si="3836">(J3559/60/60/24)+DATE(1970,1,1)</f>
        <v>41730.276747685188</v>
      </c>
      <c r="L3559" s="11">
        <f t="shared" si="3796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797"/>
        <v>100.03599999999999</v>
      </c>
      <c r="R3559" s="7">
        <f t="shared" si="3798"/>
        <v>179.27598566308242</v>
      </c>
      <c r="S3559" t="str">
        <f t="shared" si="3799"/>
        <v>theater</v>
      </c>
      <c r="T3559" t="str">
        <f t="shared" si="3800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ref="K3560:L3560" si="3837">(J3560/60/60/24)+DATE(1970,1,1)</f>
        <v>42139.816840277781</v>
      </c>
      <c r="L3560" s="11">
        <f t="shared" si="3796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797"/>
        <v>144</v>
      </c>
      <c r="R3560" s="7">
        <f t="shared" si="3798"/>
        <v>22.90909090909091</v>
      </c>
      <c r="S3560" t="str">
        <f t="shared" si="3799"/>
        <v>theater</v>
      </c>
      <c r="T3560" t="str">
        <f t="shared" si="3800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ref="K3561:L3561" si="3838">(J3561/60/60/24)+DATE(1970,1,1)</f>
        <v>42194.096157407403</v>
      </c>
      <c r="L3561" s="11">
        <f t="shared" si="3796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797"/>
        <v>103.49999999999999</v>
      </c>
      <c r="R3561" s="7">
        <f t="shared" si="3798"/>
        <v>43.125</v>
      </c>
      <c r="S3561" t="str">
        <f t="shared" si="3799"/>
        <v>theater</v>
      </c>
      <c r="T3561" t="str">
        <f t="shared" si="3800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ref="K3562:L3562" si="3839">(J3562/60/60/24)+DATE(1970,1,1)</f>
        <v>42115.889652777783</v>
      </c>
      <c r="L3562" s="11">
        <f t="shared" si="3796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797"/>
        <v>108.43750000000001</v>
      </c>
      <c r="R3562" s="7">
        <f t="shared" si="3798"/>
        <v>46.891891891891895</v>
      </c>
      <c r="S3562" t="str">
        <f t="shared" si="3799"/>
        <v>theater</v>
      </c>
      <c r="T3562" t="str">
        <f t="shared" si="3800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ref="K3563:L3563" si="3840">(J3563/60/60/24)+DATE(1970,1,1)</f>
        <v>42203.680300925931</v>
      </c>
      <c r="L3563" s="11">
        <f t="shared" si="3796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797"/>
        <v>102.4</v>
      </c>
      <c r="R3563" s="7">
        <f t="shared" si="3798"/>
        <v>47.407407407407405</v>
      </c>
      <c r="S3563" t="str">
        <f t="shared" si="3799"/>
        <v>theater</v>
      </c>
      <c r="T3563" t="str">
        <f t="shared" si="3800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ref="K3564:L3564" si="3841">(J3564/60/60/24)+DATE(1970,1,1)</f>
        <v>42433.761886574073</v>
      </c>
      <c r="L3564" s="11">
        <f t="shared" si="3796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797"/>
        <v>148.88888888888889</v>
      </c>
      <c r="R3564" s="7">
        <f t="shared" si="3798"/>
        <v>15.129032258064516</v>
      </c>
      <c r="S3564" t="str">
        <f t="shared" si="3799"/>
        <v>theater</v>
      </c>
      <c r="T3564" t="str">
        <f t="shared" si="3800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ref="K3565:L3565" si="3842">(J3565/60/60/24)+DATE(1970,1,1)</f>
        <v>42555.671944444446</v>
      </c>
      <c r="L3565" s="11">
        <f t="shared" si="3796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797"/>
        <v>105.49000000000002</v>
      </c>
      <c r="R3565" s="7">
        <f t="shared" si="3798"/>
        <v>21.098000000000003</v>
      </c>
      <c r="S3565" t="str">
        <f t="shared" si="3799"/>
        <v>theater</v>
      </c>
      <c r="T3565" t="str">
        <f t="shared" si="3800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ref="K3566:L3566" si="3843">(J3566/60/60/24)+DATE(1970,1,1)</f>
        <v>42236.623252314821</v>
      </c>
      <c r="L3566" s="11">
        <f t="shared" si="3796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797"/>
        <v>100.49999999999999</v>
      </c>
      <c r="R3566" s="7">
        <f t="shared" si="3798"/>
        <v>59.117647058823529</v>
      </c>
      <c r="S3566" t="str">
        <f t="shared" si="3799"/>
        <v>theater</v>
      </c>
      <c r="T3566" t="str">
        <f t="shared" si="3800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ref="K3567:L3567" si="3844">(J3567/60/60/24)+DATE(1970,1,1)</f>
        <v>41974.743148148147</v>
      </c>
      <c r="L3567" s="11">
        <f t="shared" si="3796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797"/>
        <v>130.55555555555557</v>
      </c>
      <c r="R3567" s="7">
        <f t="shared" si="3798"/>
        <v>97.916666666666671</v>
      </c>
      <c r="S3567" t="str">
        <f t="shared" si="3799"/>
        <v>theater</v>
      </c>
      <c r="T3567" t="str">
        <f t="shared" si="3800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ref="K3568:L3568" si="3845">(J3568/60/60/24)+DATE(1970,1,1)</f>
        <v>41997.507905092592</v>
      </c>
      <c r="L3568" s="11">
        <f t="shared" si="3796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797"/>
        <v>104.75000000000001</v>
      </c>
      <c r="R3568" s="7">
        <f t="shared" si="3798"/>
        <v>55.131578947368418</v>
      </c>
      <c r="S3568" t="str">
        <f t="shared" si="3799"/>
        <v>theater</v>
      </c>
      <c r="T3568" t="str">
        <f t="shared" si="3800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ref="K3569:L3569" si="3846">(J3569/60/60/24)+DATE(1970,1,1)</f>
        <v>42135.810694444444</v>
      </c>
      <c r="L3569" s="11">
        <f t="shared" si="3796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797"/>
        <v>108.80000000000001</v>
      </c>
      <c r="R3569" s="7">
        <f t="shared" si="3798"/>
        <v>26.536585365853657</v>
      </c>
      <c r="S3569" t="str">
        <f t="shared" si="3799"/>
        <v>theater</v>
      </c>
      <c r="T3569" t="str">
        <f t="shared" si="3800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ref="K3570:L3570" si="3847">(J3570/60/60/24)+DATE(1970,1,1)</f>
        <v>41869.740671296298</v>
      </c>
      <c r="L3570" s="11">
        <f t="shared" si="3796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797"/>
        <v>111.00000000000001</v>
      </c>
      <c r="R3570" s="7">
        <f t="shared" si="3798"/>
        <v>58.421052631578945</v>
      </c>
      <c r="S3570" t="str">
        <f t="shared" si="3799"/>
        <v>theater</v>
      </c>
      <c r="T3570" t="str">
        <f t="shared" si="3800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ref="K3571:L3571" si="3848">(J3571/60/60/24)+DATE(1970,1,1)</f>
        <v>41982.688611111109</v>
      </c>
      <c r="L3571" s="11">
        <f t="shared" si="3796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797"/>
        <v>100.47999999999999</v>
      </c>
      <c r="R3571" s="7">
        <f t="shared" si="3798"/>
        <v>122.53658536585365</v>
      </c>
      <c r="S3571" t="str">
        <f t="shared" si="3799"/>
        <v>theater</v>
      </c>
      <c r="T3571" t="str">
        <f t="shared" si="3800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ref="K3572:L3572" si="3849">(J3572/60/60/24)+DATE(1970,1,1)</f>
        <v>41976.331979166673</v>
      </c>
      <c r="L3572" s="11">
        <f t="shared" si="3796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797"/>
        <v>114.35</v>
      </c>
      <c r="R3572" s="7">
        <f t="shared" si="3798"/>
        <v>87.961538461538467</v>
      </c>
      <c r="S3572" t="str">
        <f t="shared" si="3799"/>
        <v>theater</v>
      </c>
      <c r="T3572" t="str">
        <f t="shared" si="3800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ref="K3573:L3573" si="3850">(J3573/60/60/24)+DATE(1970,1,1)</f>
        <v>41912.858946759261</v>
      </c>
      <c r="L3573" s="11">
        <f t="shared" si="3796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797"/>
        <v>122.06666666666666</v>
      </c>
      <c r="R3573" s="7">
        <f t="shared" si="3798"/>
        <v>73.239999999999995</v>
      </c>
      <c r="S3573" t="str">
        <f t="shared" si="3799"/>
        <v>theater</v>
      </c>
      <c r="T3573" t="str">
        <f t="shared" si="3800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ref="K3574:L3574" si="3851">(J3574/60/60/24)+DATE(1970,1,1)</f>
        <v>42146.570393518516</v>
      </c>
      <c r="L3574" s="11">
        <f t="shared" si="3796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797"/>
        <v>100</v>
      </c>
      <c r="R3574" s="7">
        <f t="shared" si="3798"/>
        <v>55.555555555555557</v>
      </c>
      <c r="S3574" t="str">
        <f t="shared" si="3799"/>
        <v>theater</v>
      </c>
      <c r="T3574" t="str">
        <f t="shared" si="3800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ref="K3575:L3575" si="3852">(J3575/60/60/24)+DATE(1970,1,1)</f>
        <v>41921.375532407408</v>
      </c>
      <c r="L3575" s="11">
        <f t="shared" si="3796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797"/>
        <v>102.8</v>
      </c>
      <c r="R3575" s="7">
        <f t="shared" si="3798"/>
        <v>39.53846153846154</v>
      </c>
      <c r="S3575" t="str">
        <f t="shared" si="3799"/>
        <v>theater</v>
      </c>
      <c r="T3575" t="str">
        <f t="shared" si="3800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ref="K3576:L3576" si="3853">(J3576/60/60/24)+DATE(1970,1,1)</f>
        <v>41926.942685185182</v>
      </c>
      <c r="L3576" s="11">
        <f t="shared" si="3796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797"/>
        <v>106.12068965517241</v>
      </c>
      <c r="R3576" s="7">
        <f t="shared" si="3798"/>
        <v>136.77777777777777</v>
      </c>
      <c r="S3576" t="str">
        <f t="shared" si="3799"/>
        <v>theater</v>
      </c>
      <c r="T3576" t="str">
        <f t="shared" si="3800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ref="K3577:L3577" si="3854">(J3577/60/60/24)+DATE(1970,1,1)</f>
        <v>42561.783877314811</v>
      </c>
      <c r="L3577" s="11">
        <f t="shared" si="3796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797"/>
        <v>101.33000000000001</v>
      </c>
      <c r="R3577" s="7">
        <f t="shared" si="3798"/>
        <v>99.343137254901961</v>
      </c>
      <c r="S3577" t="str">
        <f t="shared" si="3799"/>
        <v>theater</v>
      </c>
      <c r="T3577" t="str">
        <f t="shared" si="3800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ref="K3578:L3578" si="3855">(J3578/60/60/24)+DATE(1970,1,1)</f>
        <v>42649.54923611111</v>
      </c>
      <c r="L3578" s="11">
        <f t="shared" si="3796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797"/>
        <v>100</v>
      </c>
      <c r="R3578" s="7">
        <f t="shared" si="3798"/>
        <v>20</v>
      </c>
      <c r="S3578" t="str">
        <f t="shared" si="3799"/>
        <v>theater</v>
      </c>
      <c r="T3578" t="str">
        <f t="shared" si="3800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ref="K3579:L3579" si="3856">(J3579/60/60/24)+DATE(1970,1,1)</f>
        <v>42093.786840277782</v>
      </c>
      <c r="L3579" s="11">
        <f t="shared" si="3796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797"/>
        <v>130</v>
      </c>
      <c r="R3579" s="7">
        <f t="shared" si="3798"/>
        <v>28.888888888888889</v>
      </c>
      <c r="S3579" t="str">
        <f t="shared" si="3799"/>
        <v>theater</v>
      </c>
      <c r="T3579" t="str">
        <f t="shared" si="3800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ref="K3580:L3580" si="3857">(J3580/60/60/24)+DATE(1970,1,1)</f>
        <v>42460.733530092592</v>
      </c>
      <c r="L3580" s="11">
        <f t="shared" si="3796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797"/>
        <v>100.01333333333334</v>
      </c>
      <c r="R3580" s="7">
        <f t="shared" si="3798"/>
        <v>40.545945945945945</v>
      </c>
      <c r="S3580" t="str">
        <f t="shared" si="3799"/>
        <v>theater</v>
      </c>
      <c r="T3580" t="str">
        <f t="shared" si="3800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ref="K3581:L3581" si="3858">(J3581/60/60/24)+DATE(1970,1,1)</f>
        <v>42430.762222222227</v>
      </c>
      <c r="L3581" s="11">
        <f t="shared" si="3796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797"/>
        <v>100</v>
      </c>
      <c r="R3581" s="7">
        <f t="shared" si="3798"/>
        <v>35.714285714285715</v>
      </c>
      <c r="S3581" t="str">
        <f t="shared" si="3799"/>
        <v>theater</v>
      </c>
      <c r="T3581" t="str">
        <f t="shared" si="3800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ref="K3582:L3582" si="3859">(J3582/60/60/24)+DATE(1970,1,1)</f>
        <v>42026.176180555558</v>
      </c>
      <c r="L3582" s="11">
        <f t="shared" si="3796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797"/>
        <v>113.88888888888889</v>
      </c>
      <c r="R3582" s="7">
        <f t="shared" si="3798"/>
        <v>37.962962962962962</v>
      </c>
      <c r="S3582" t="str">
        <f t="shared" si="3799"/>
        <v>theater</v>
      </c>
      <c r="T3582" t="str">
        <f t="shared" si="3800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ref="K3583:L3583" si="3860">(J3583/60/60/24)+DATE(1970,1,1)</f>
        <v>41836.471180555556</v>
      </c>
      <c r="L3583" s="11">
        <f t="shared" si="3796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797"/>
        <v>100</v>
      </c>
      <c r="R3583" s="7">
        <f t="shared" si="3798"/>
        <v>33.333333333333336</v>
      </c>
      <c r="S3583" t="str">
        <f t="shared" si="3799"/>
        <v>theater</v>
      </c>
      <c r="T3583" t="str">
        <f t="shared" si="3800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ref="K3584:L3584" si="3861">(J3584/60/60/24)+DATE(1970,1,1)</f>
        <v>42451.095856481479</v>
      </c>
      <c r="L3584" s="11">
        <f t="shared" si="3796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797"/>
        <v>287</v>
      </c>
      <c r="R3584" s="7">
        <f t="shared" si="3798"/>
        <v>58.571428571428569</v>
      </c>
      <c r="S3584" t="str">
        <f t="shared" si="3799"/>
        <v>theater</v>
      </c>
      <c r="T3584" t="str">
        <f t="shared" si="3800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ref="K3585:L3585" si="3862">(J3585/60/60/24)+DATE(1970,1,1)</f>
        <v>42418.425983796296</v>
      </c>
      <c r="L3585" s="11">
        <f t="shared" si="3796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797"/>
        <v>108.5</v>
      </c>
      <c r="R3585" s="7">
        <f t="shared" si="3798"/>
        <v>135.625</v>
      </c>
      <c r="S3585" t="str">
        <f t="shared" si="3799"/>
        <v>theater</v>
      </c>
      <c r="T3585" t="str">
        <f t="shared" si="3800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ref="K3586:L3586" si="3863">(J3586/60/60/24)+DATE(1970,1,1)</f>
        <v>42168.316481481481</v>
      </c>
      <c r="L3586" s="11">
        <f t="shared" si="3796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797"/>
        <v>115.5</v>
      </c>
      <c r="R3586" s="7">
        <f t="shared" si="3798"/>
        <v>30.9375</v>
      </c>
      <c r="S3586" t="str">
        <f t="shared" si="3799"/>
        <v>theater</v>
      </c>
      <c r="T3586" t="str">
        <f t="shared" si="3800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ref="K3587:L3587" si="3864">(J3587/60/60/24)+DATE(1970,1,1)</f>
        <v>41964.716319444444</v>
      </c>
      <c r="L3587" s="11">
        <f t="shared" ref="L3587:L3650" si="3865">(I3587/60/60/24)+DATE(1970,1,1)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866">(E3587/D3587)*100</f>
        <v>119.11764705882352</v>
      </c>
      <c r="R3587" s="7">
        <f t="shared" ref="R3587:R3650" si="3867">IFERROR(E3587/N3587, 0)</f>
        <v>176.08695652173913</v>
      </c>
      <c r="S3587" t="str">
        <f t="shared" ref="S3587:S3650" si="3868">LEFT(P3587, SEARCH("/", P3587,1)-1)</f>
        <v>theater</v>
      </c>
      <c r="T3587" t="str">
        <f t="shared" ref="T3587:T3650" si="3869">RIGHT(P3587,LEN(P3587)-SEARCH("/",P3587,SEARCH("/",P3587)))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ref="K3588:L3588" si="3870">(J3588/60/60/24)+DATE(1970,1,1)</f>
        <v>42576.697569444441</v>
      </c>
      <c r="L3588" s="11">
        <f t="shared" si="386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866"/>
        <v>109.42666666666668</v>
      </c>
      <c r="R3588" s="7">
        <f t="shared" si="3867"/>
        <v>151.9814814814815</v>
      </c>
      <c r="S3588" t="str">
        <f t="shared" si="3868"/>
        <v>theater</v>
      </c>
      <c r="T3588" t="str">
        <f t="shared" si="3869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ref="K3589:L3589" si="3871">(J3589/60/60/24)+DATE(1970,1,1)</f>
        <v>42503.539976851855</v>
      </c>
      <c r="L3589" s="11">
        <f t="shared" si="386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866"/>
        <v>126.6</v>
      </c>
      <c r="R3589" s="7">
        <f t="shared" si="3867"/>
        <v>22.607142857142858</v>
      </c>
      <c r="S3589" t="str">
        <f t="shared" si="3868"/>
        <v>theater</v>
      </c>
      <c r="T3589" t="str">
        <f t="shared" si="3869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ref="K3590:L3590" si="3872">(J3590/60/60/24)+DATE(1970,1,1)</f>
        <v>42101.828819444447</v>
      </c>
      <c r="L3590" s="11">
        <f t="shared" si="386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866"/>
        <v>100.49999999999999</v>
      </c>
      <c r="R3590" s="7">
        <f t="shared" si="3867"/>
        <v>18.272727272727273</v>
      </c>
      <c r="S3590" t="str">
        <f t="shared" si="3868"/>
        <v>theater</v>
      </c>
      <c r="T3590" t="str">
        <f t="shared" si="3869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ref="K3591:L3591" si="3873">(J3591/60/60/24)+DATE(1970,1,1)</f>
        <v>42125.647534722222</v>
      </c>
      <c r="L3591" s="11">
        <f t="shared" si="386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866"/>
        <v>127.49999999999999</v>
      </c>
      <c r="R3591" s="7">
        <f t="shared" si="3867"/>
        <v>82.258064516129039</v>
      </c>
      <c r="S3591" t="str">
        <f t="shared" si="3868"/>
        <v>theater</v>
      </c>
      <c r="T3591" t="str">
        <f t="shared" si="3869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ref="K3592:L3592" si="3874">(J3592/60/60/24)+DATE(1970,1,1)</f>
        <v>41902.333726851852</v>
      </c>
      <c r="L3592" s="11">
        <f t="shared" si="386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866"/>
        <v>100.05999999999999</v>
      </c>
      <c r="R3592" s="7">
        <f t="shared" si="3867"/>
        <v>68.534246575342465</v>
      </c>
      <c r="S3592" t="str">
        <f t="shared" si="3868"/>
        <v>theater</v>
      </c>
      <c r="T3592" t="str">
        <f t="shared" si="3869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ref="K3593:L3593" si="3875">(J3593/60/60/24)+DATE(1970,1,1)</f>
        <v>42003.948425925926</v>
      </c>
      <c r="L3593" s="11">
        <f t="shared" si="386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866"/>
        <v>175</v>
      </c>
      <c r="R3593" s="7">
        <f t="shared" si="3867"/>
        <v>68.055555555555557</v>
      </c>
      <c r="S3593" t="str">
        <f t="shared" si="3868"/>
        <v>theater</v>
      </c>
      <c r="T3593" t="str">
        <f t="shared" si="3869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ref="K3594:L3594" si="3876">(J3594/60/60/24)+DATE(1970,1,1)</f>
        <v>41988.829942129625</v>
      </c>
      <c r="L3594" s="11">
        <f t="shared" si="386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866"/>
        <v>127.25</v>
      </c>
      <c r="R3594" s="7">
        <f t="shared" si="3867"/>
        <v>72.714285714285708</v>
      </c>
      <c r="S3594" t="str">
        <f t="shared" si="3868"/>
        <v>theater</v>
      </c>
      <c r="T3594" t="str">
        <f t="shared" si="3869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ref="K3595:L3595" si="3877">(J3595/60/60/24)+DATE(1970,1,1)</f>
        <v>41974.898599537039</v>
      </c>
      <c r="L3595" s="11">
        <f t="shared" si="386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866"/>
        <v>110.63333333333334</v>
      </c>
      <c r="R3595" s="7">
        <f t="shared" si="3867"/>
        <v>77.186046511627907</v>
      </c>
      <c r="S3595" t="str">
        <f t="shared" si="3868"/>
        <v>theater</v>
      </c>
      <c r="T3595" t="str">
        <f t="shared" si="3869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ref="K3596:L3596" si="3878">(J3596/60/60/24)+DATE(1970,1,1)</f>
        <v>42592.066921296297</v>
      </c>
      <c r="L3596" s="11">
        <f t="shared" si="386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866"/>
        <v>125.93749999999999</v>
      </c>
      <c r="R3596" s="7">
        <f t="shared" si="3867"/>
        <v>55.972222222222221</v>
      </c>
      <c r="S3596" t="str">
        <f t="shared" si="3868"/>
        <v>theater</v>
      </c>
      <c r="T3596" t="str">
        <f t="shared" si="3869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ref="K3597:L3597" si="3879">(J3597/60/60/24)+DATE(1970,1,1)</f>
        <v>42050.008368055554</v>
      </c>
      <c r="L3597" s="11">
        <f t="shared" si="386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866"/>
        <v>118.5</v>
      </c>
      <c r="R3597" s="7">
        <f t="shared" si="3867"/>
        <v>49.693548387096776</v>
      </c>
      <c r="S3597" t="str">
        <f t="shared" si="3868"/>
        <v>theater</v>
      </c>
      <c r="T3597" t="str">
        <f t="shared" si="3869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ref="K3598:L3598" si="3880">(J3598/60/60/24)+DATE(1970,1,1)</f>
        <v>41856.715069444443</v>
      </c>
      <c r="L3598" s="11">
        <f t="shared" si="386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866"/>
        <v>107.72727272727273</v>
      </c>
      <c r="R3598" s="7">
        <f t="shared" si="3867"/>
        <v>79</v>
      </c>
      <c r="S3598" t="str">
        <f t="shared" si="3868"/>
        <v>theater</v>
      </c>
      <c r="T3598" t="str">
        <f t="shared" si="3869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ref="K3599:L3599" si="3881">(J3599/60/60/24)+DATE(1970,1,1)</f>
        <v>42417.585532407407</v>
      </c>
      <c r="L3599" s="11">
        <f t="shared" si="386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866"/>
        <v>102.60000000000001</v>
      </c>
      <c r="R3599" s="7">
        <f t="shared" si="3867"/>
        <v>77.727272727272734</v>
      </c>
      <c r="S3599" t="str">
        <f t="shared" si="3868"/>
        <v>theater</v>
      </c>
      <c r="T3599" t="str">
        <f t="shared" si="3869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ref="K3600:L3600" si="3882">(J3600/60/60/24)+DATE(1970,1,1)</f>
        <v>41866.79886574074</v>
      </c>
      <c r="L3600" s="11">
        <f t="shared" si="386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866"/>
        <v>110.1</v>
      </c>
      <c r="R3600" s="7">
        <f t="shared" si="3867"/>
        <v>40.777777777777779</v>
      </c>
      <c r="S3600" t="str">
        <f t="shared" si="3868"/>
        <v>theater</v>
      </c>
      <c r="T3600" t="str">
        <f t="shared" si="3869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ref="K3601:L3601" si="3883">(J3601/60/60/24)+DATE(1970,1,1)</f>
        <v>42220.79487268519</v>
      </c>
      <c r="L3601" s="11">
        <f t="shared" si="3865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866"/>
        <v>202</v>
      </c>
      <c r="R3601" s="7">
        <f t="shared" si="3867"/>
        <v>59.411764705882355</v>
      </c>
      <c r="S3601" t="str">
        <f t="shared" si="3868"/>
        <v>theater</v>
      </c>
      <c r="T3601" t="str">
        <f t="shared" si="3869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ref="K3602:L3602" si="3884">(J3602/60/60/24)+DATE(1970,1,1)</f>
        <v>42628.849120370374</v>
      </c>
      <c r="L3602" s="11">
        <f t="shared" si="386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866"/>
        <v>130</v>
      </c>
      <c r="R3602" s="7">
        <f t="shared" si="3867"/>
        <v>3.25</v>
      </c>
      <c r="S3602" t="str">
        <f t="shared" si="3868"/>
        <v>theater</v>
      </c>
      <c r="T3602" t="str">
        <f t="shared" si="3869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ref="K3603:L3603" si="3885">(J3603/60/60/24)+DATE(1970,1,1)</f>
        <v>41990.99863425926</v>
      </c>
      <c r="L3603" s="11">
        <f t="shared" si="386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866"/>
        <v>104.35000000000001</v>
      </c>
      <c r="R3603" s="7">
        <f t="shared" si="3867"/>
        <v>39.377358490566039</v>
      </c>
      <c r="S3603" t="str">
        <f t="shared" si="3868"/>
        <v>theater</v>
      </c>
      <c r="T3603" t="str">
        <f t="shared" si="3869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ref="K3604:L3604" si="3886">(J3604/60/60/24)+DATE(1970,1,1)</f>
        <v>42447.894432870366</v>
      </c>
      <c r="L3604" s="11">
        <f t="shared" si="386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866"/>
        <v>100.05</v>
      </c>
      <c r="R3604" s="7">
        <f t="shared" si="3867"/>
        <v>81.673469387755105</v>
      </c>
      <c r="S3604" t="str">
        <f t="shared" si="3868"/>
        <v>theater</v>
      </c>
      <c r="T3604" t="str">
        <f t="shared" si="3869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ref="K3605:L3605" si="3887">(J3605/60/60/24)+DATE(1970,1,1)</f>
        <v>42283.864351851851</v>
      </c>
      <c r="L3605" s="11">
        <f t="shared" si="386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866"/>
        <v>170.66666666666669</v>
      </c>
      <c r="R3605" s="7">
        <f t="shared" si="3867"/>
        <v>44.912280701754383</v>
      </c>
      <c r="S3605" t="str">
        <f t="shared" si="3868"/>
        <v>theater</v>
      </c>
      <c r="T3605" t="str">
        <f t="shared" si="3869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ref="K3606:L3606" si="3888">(J3606/60/60/24)+DATE(1970,1,1)</f>
        <v>42483.015694444446</v>
      </c>
      <c r="L3606" s="11">
        <f t="shared" si="386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866"/>
        <v>112.83333333333334</v>
      </c>
      <c r="R3606" s="7">
        <f t="shared" si="3867"/>
        <v>49.05797101449275</v>
      </c>
      <c r="S3606" t="str">
        <f t="shared" si="3868"/>
        <v>theater</v>
      </c>
      <c r="T3606" t="str">
        <f t="shared" si="3869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ref="K3607:L3607" si="3889">(J3607/60/60/24)+DATE(1970,1,1)</f>
        <v>42383.793124999997</v>
      </c>
      <c r="L3607" s="11">
        <f t="shared" si="386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866"/>
        <v>184</v>
      </c>
      <c r="R3607" s="7">
        <f t="shared" si="3867"/>
        <v>30.666666666666668</v>
      </c>
      <c r="S3607" t="str">
        <f t="shared" si="3868"/>
        <v>theater</v>
      </c>
      <c r="T3607" t="str">
        <f t="shared" si="3869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ref="K3608:L3608" si="3890">(J3608/60/60/24)+DATE(1970,1,1)</f>
        <v>42566.604826388888</v>
      </c>
      <c r="L3608" s="11">
        <f t="shared" si="386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866"/>
        <v>130.26666666666665</v>
      </c>
      <c r="R3608" s="7">
        <f t="shared" si="3867"/>
        <v>61.0625</v>
      </c>
      <c r="S3608" t="str">
        <f t="shared" si="3868"/>
        <v>theater</v>
      </c>
      <c r="T3608" t="str">
        <f t="shared" si="3869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ref="K3609:L3609" si="3891">(J3609/60/60/24)+DATE(1970,1,1)</f>
        <v>42338.963912037041</v>
      </c>
      <c r="L3609" s="11">
        <f t="shared" si="3865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866"/>
        <v>105.45454545454544</v>
      </c>
      <c r="R3609" s="7">
        <f t="shared" si="3867"/>
        <v>29</v>
      </c>
      <c r="S3609" t="str">
        <f t="shared" si="3868"/>
        <v>theater</v>
      </c>
      <c r="T3609" t="str">
        <f t="shared" si="3869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ref="K3610:L3610" si="3892">(J3610/60/60/24)+DATE(1970,1,1)</f>
        <v>42506.709375000006</v>
      </c>
      <c r="L3610" s="11">
        <f t="shared" si="386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866"/>
        <v>100</v>
      </c>
      <c r="R3610" s="7">
        <f t="shared" si="3867"/>
        <v>29.62962962962963</v>
      </c>
      <c r="S3610" t="str">
        <f t="shared" si="3868"/>
        <v>theater</v>
      </c>
      <c r="T3610" t="str">
        <f t="shared" si="3869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ref="K3611:L3611" si="3893">(J3611/60/60/24)+DATE(1970,1,1)</f>
        <v>42429.991724537031</v>
      </c>
      <c r="L3611" s="11">
        <f t="shared" si="386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866"/>
        <v>153.31632653061226</v>
      </c>
      <c r="R3611" s="7">
        <f t="shared" si="3867"/>
        <v>143.0952380952381</v>
      </c>
      <c r="S3611" t="str">
        <f t="shared" si="3868"/>
        <v>theater</v>
      </c>
      <c r="T3611" t="str">
        <f t="shared" si="3869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ref="K3612:L3612" si="3894">(J3612/60/60/24)+DATE(1970,1,1)</f>
        <v>42203.432129629626</v>
      </c>
      <c r="L3612" s="11">
        <f t="shared" si="386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866"/>
        <v>162.30000000000001</v>
      </c>
      <c r="R3612" s="7">
        <f t="shared" si="3867"/>
        <v>52.354838709677416</v>
      </c>
      <c r="S3612" t="str">
        <f t="shared" si="3868"/>
        <v>theater</v>
      </c>
      <c r="T3612" t="str">
        <f t="shared" si="3869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ref="K3613:L3613" si="3895">(J3613/60/60/24)+DATE(1970,1,1)</f>
        <v>42072.370381944449</v>
      </c>
      <c r="L3613" s="11">
        <f t="shared" si="386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866"/>
        <v>136</v>
      </c>
      <c r="R3613" s="7">
        <f t="shared" si="3867"/>
        <v>66.666666666666671</v>
      </c>
      <c r="S3613" t="str">
        <f t="shared" si="3868"/>
        <v>theater</v>
      </c>
      <c r="T3613" t="str">
        <f t="shared" si="3869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ref="K3614:L3614" si="3896">(J3614/60/60/24)+DATE(1970,1,1)</f>
        <v>41789.726979166669</v>
      </c>
      <c r="L3614" s="11">
        <f t="shared" si="386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866"/>
        <v>144.4</v>
      </c>
      <c r="R3614" s="7">
        <f t="shared" si="3867"/>
        <v>126.66666666666667</v>
      </c>
      <c r="S3614" t="str">
        <f t="shared" si="3868"/>
        <v>theater</v>
      </c>
      <c r="T3614" t="str">
        <f t="shared" si="3869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ref="K3615:L3615" si="3897">(J3615/60/60/24)+DATE(1970,1,1)</f>
        <v>41788.58997685185</v>
      </c>
      <c r="L3615" s="11">
        <f t="shared" si="386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866"/>
        <v>100</v>
      </c>
      <c r="R3615" s="7">
        <f t="shared" si="3867"/>
        <v>62.5</v>
      </c>
      <c r="S3615" t="str">
        <f t="shared" si="3868"/>
        <v>theater</v>
      </c>
      <c r="T3615" t="str">
        <f t="shared" si="3869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ref="K3616:L3616" si="3898">(J3616/60/60/24)+DATE(1970,1,1)</f>
        <v>42144.041851851856</v>
      </c>
      <c r="L3616" s="11">
        <f t="shared" si="386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866"/>
        <v>100.8</v>
      </c>
      <c r="R3616" s="7">
        <f t="shared" si="3867"/>
        <v>35.492957746478872</v>
      </c>
      <c r="S3616" t="str">
        <f t="shared" si="3868"/>
        <v>theater</v>
      </c>
      <c r="T3616" t="str">
        <f t="shared" si="3869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ref="K3617:L3617" si="3899">(J3617/60/60/24)+DATE(1970,1,1)</f>
        <v>42318.593703703707</v>
      </c>
      <c r="L3617" s="11">
        <f t="shared" si="386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866"/>
        <v>106.80000000000001</v>
      </c>
      <c r="R3617" s="7">
        <f t="shared" si="3867"/>
        <v>37.083333333333336</v>
      </c>
      <c r="S3617" t="str">
        <f t="shared" si="3868"/>
        <v>theater</v>
      </c>
      <c r="T3617" t="str">
        <f t="shared" si="3869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ref="K3618:L3618" si="3900">(J3618/60/60/24)+DATE(1970,1,1)</f>
        <v>42052.949814814812</v>
      </c>
      <c r="L3618" s="11">
        <f t="shared" si="386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866"/>
        <v>124.8</v>
      </c>
      <c r="R3618" s="7">
        <f t="shared" si="3867"/>
        <v>69.333333333333329</v>
      </c>
      <c r="S3618" t="str">
        <f t="shared" si="3868"/>
        <v>theater</v>
      </c>
      <c r="T3618" t="str">
        <f t="shared" si="3869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ref="K3619:L3619" si="3901">(J3619/60/60/24)+DATE(1970,1,1)</f>
        <v>42779.610289351855</v>
      </c>
      <c r="L3619" s="11">
        <f t="shared" si="3865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866"/>
        <v>118.91891891891892</v>
      </c>
      <c r="R3619" s="7">
        <f t="shared" si="3867"/>
        <v>17.254901960784313</v>
      </c>
      <c r="S3619" t="str">
        <f t="shared" si="3868"/>
        <v>theater</v>
      </c>
      <c r="T3619" t="str">
        <f t="shared" si="3869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ref="K3620:L3620" si="3902">(J3620/60/60/24)+DATE(1970,1,1)</f>
        <v>42128.627893518518</v>
      </c>
      <c r="L3620" s="11">
        <f t="shared" si="386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866"/>
        <v>101</v>
      </c>
      <c r="R3620" s="7">
        <f t="shared" si="3867"/>
        <v>36.071428571428569</v>
      </c>
      <c r="S3620" t="str">
        <f t="shared" si="3868"/>
        <v>theater</v>
      </c>
      <c r="T3620" t="str">
        <f t="shared" si="3869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ref="K3621:L3621" si="3903">(J3621/60/60/24)+DATE(1970,1,1)</f>
        <v>42661.132245370376</v>
      </c>
      <c r="L3621" s="11">
        <f t="shared" si="386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866"/>
        <v>112.99999999999999</v>
      </c>
      <c r="R3621" s="7">
        <f t="shared" si="3867"/>
        <v>66.470588235294116</v>
      </c>
      <c r="S3621" t="str">
        <f t="shared" si="3868"/>
        <v>theater</v>
      </c>
      <c r="T3621" t="str">
        <f t="shared" si="3869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ref="K3622:L3622" si="3904">(J3622/60/60/24)+DATE(1970,1,1)</f>
        <v>42037.938206018516</v>
      </c>
      <c r="L3622" s="11">
        <f t="shared" si="386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866"/>
        <v>105.19047619047619</v>
      </c>
      <c r="R3622" s="7">
        <f t="shared" si="3867"/>
        <v>56.065989847715734</v>
      </c>
      <c r="S3622" t="str">
        <f t="shared" si="3868"/>
        <v>theater</v>
      </c>
      <c r="T3622" t="str">
        <f t="shared" si="3869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ref="K3623:L3623" si="3905">(J3623/60/60/24)+DATE(1970,1,1)</f>
        <v>42619.935694444444</v>
      </c>
      <c r="L3623" s="11">
        <f t="shared" si="3865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866"/>
        <v>109.73333333333332</v>
      </c>
      <c r="R3623" s="7">
        <f t="shared" si="3867"/>
        <v>47.028571428571432</v>
      </c>
      <c r="S3623" t="str">
        <f t="shared" si="3868"/>
        <v>theater</v>
      </c>
      <c r="T3623" t="str">
        <f t="shared" si="3869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ref="K3624:L3624" si="3906">(J3624/60/60/24)+DATE(1970,1,1)</f>
        <v>41877.221886574072</v>
      </c>
      <c r="L3624" s="11">
        <f t="shared" si="386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866"/>
        <v>100.099</v>
      </c>
      <c r="R3624" s="7">
        <f t="shared" si="3867"/>
        <v>47.666190476190479</v>
      </c>
      <c r="S3624" t="str">
        <f t="shared" si="3868"/>
        <v>theater</v>
      </c>
      <c r="T3624" t="str">
        <f t="shared" si="3869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ref="K3625:L3625" si="3907">(J3625/60/60/24)+DATE(1970,1,1)</f>
        <v>41828.736921296295</v>
      </c>
      <c r="L3625" s="11">
        <f t="shared" si="386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866"/>
        <v>120</v>
      </c>
      <c r="R3625" s="7">
        <f t="shared" si="3867"/>
        <v>88.235294117647058</v>
      </c>
      <c r="S3625" t="str">
        <f t="shared" si="3868"/>
        <v>theater</v>
      </c>
      <c r="T3625" t="str">
        <f t="shared" si="3869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ref="K3626:L3626" si="3908">(J3626/60/60/24)+DATE(1970,1,1)</f>
        <v>42545.774189814809</v>
      </c>
      <c r="L3626" s="11">
        <f t="shared" si="386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866"/>
        <v>104.93333333333332</v>
      </c>
      <c r="R3626" s="7">
        <f t="shared" si="3867"/>
        <v>80.717948717948715</v>
      </c>
      <c r="S3626" t="str">
        <f t="shared" si="3868"/>
        <v>theater</v>
      </c>
      <c r="T3626" t="str">
        <f t="shared" si="3869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ref="K3627:L3627" si="3909">(J3627/60/60/24)+DATE(1970,1,1)</f>
        <v>42157.652511574073</v>
      </c>
      <c r="L3627" s="11">
        <f t="shared" si="386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866"/>
        <v>102.66666666666666</v>
      </c>
      <c r="R3627" s="7">
        <f t="shared" si="3867"/>
        <v>39.487179487179489</v>
      </c>
      <c r="S3627" t="str">
        <f t="shared" si="3868"/>
        <v>theater</v>
      </c>
      <c r="T3627" t="str">
        <f t="shared" si="3869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ref="K3628:L3628" si="3910">(J3628/60/60/24)+DATE(1970,1,1)</f>
        <v>41846.667326388888</v>
      </c>
      <c r="L3628" s="11">
        <f t="shared" si="386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866"/>
        <v>101.82500000000002</v>
      </c>
      <c r="R3628" s="7">
        <f t="shared" si="3867"/>
        <v>84.854166666666671</v>
      </c>
      <c r="S3628" t="str">
        <f t="shared" si="3868"/>
        <v>theater</v>
      </c>
      <c r="T3628" t="str">
        <f t="shared" si="3869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ref="K3629:L3629" si="3911">(J3629/60/60/24)+DATE(1970,1,1)</f>
        <v>42460.741747685184</v>
      </c>
      <c r="L3629" s="11">
        <f t="shared" si="386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866"/>
        <v>100</v>
      </c>
      <c r="R3629" s="7">
        <f t="shared" si="3867"/>
        <v>68.965517241379317</v>
      </c>
      <c r="S3629" t="str">
        <f t="shared" si="3868"/>
        <v>theater</v>
      </c>
      <c r="T3629" t="str">
        <f t="shared" si="3869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ref="K3630:L3630" si="3912">(J3630/60/60/24)+DATE(1970,1,1)</f>
        <v>42291.833287037036</v>
      </c>
      <c r="L3630" s="11">
        <f t="shared" si="386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866"/>
        <v>0</v>
      </c>
      <c r="R3630" s="7">
        <f t="shared" si="3867"/>
        <v>0</v>
      </c>
      <c r="S3630" t="str">
        <f t="shared" si="3868"/>
        <v>theater</v>
      </c>
      <c r="T3630" t="str">
        <f t="shared" si="3869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ref="K3631:L3631" si="3913">(J3631/60/60/24)+DATE(1970,1,1)</f>
        <v>42437.094490740739</v>
      </c>
      <c r="L3631" s="11">
        <f t="shared" si="386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866"/>
        <v>1.9999999999999998E-4</v>
      </c>
      <c r="R3631" s="7">
        <f t="shared" si="3867"/>
        <v>1</v>
      </c>
      <c r="S3631" t="str">
        <f t="shared" si="3868"/>
        <v>theater</v>
      </c>
      <c r="T3631" t="str">
        <f t="shared" si="3869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ref="K3632:L3632" si="3914">(J3632/60/60/24)+DATE(1970,1,1)</f>
        <v>41942.84710648148</v>
      </c>
      <c r="L3632" s="11">
        <f t="shared" si="386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866"/>
        <v>3.3333333333333333E-2</v>
      </c>
      <c r="R3632" s="7">
        <f t="shared" si="3867"/>
        <v>1</v>
      </c>
      <c r="S3632" t="str">
        <f t="shared" si="3868"/>
        <v>theater</v>
      </c>
      <c r="T3632" t="str">
        <f t="shared" si="3869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ref="K3633:L3633" si="3915">(J3633/60/60/24)+DATE(1970,1,1)</f>
        <v>41880.753437499996</v>
      </c>
      <c r="L3633" s="11">
        <f t="shared" si="386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866"/>
        <v>51.023391812865491</v>
      </c>
      <c r="R3633" s="7">
        <f t="shared" si="3867"/>
        <v>147.88135593220338</v>
      </c>
      <c r="S3633" t="str">
        <f t="shared" si="3868"/>
        <v>theater</v>
      </c>
      <c r="T3633" t="str">
        <f t="shared" si="3869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ref="K3634:L3634" si="3916">(J3634/60/60/24)+DATE(1970,1,1)</f>
        <v>41946.936909722222</v>
      </c>
      <c r="L3634" s="11">
        <f t="shared" si="386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866"/>
        <v>20</v>
      </c>
      <c r="R3634" s="7">
        <f t="shared" si="3867"/>
        <v>100</v>
      </c>
      <c r="S3634" t="str">
        <f t="shared" si="3868"/>
        <v>theater</v>
      </c>
      <c r="T3634" t="str">
        <f t="shared" si="3869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ref="K3635:L3635" si="3917">(J3635/60/60/24)+DATE(1970,1,1)</f>
        <v>42649.623460648145</v>
      </c>
      <c r="L3635" s="11">
        <f t="shared" si="386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866"/>
        <v>35.24</v>
      </c>
      <c r="R3635" s="7">
        <f t="shared" si="3867"/>
        <v>56.838709677419352</v>
      </c>
      <c r="S3635" t="str">
        <f t="shared" si="3868"/>
        <v>theater</v>
      </c>
      <c r="T3635" t="str">
        <f t="shared" si="3869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ref="K3636:L3636" si="3918">(J3636/60/60/24)+DATE(1970,1,1)</f>
        <v>42701.166365740741</v>
      </c>
      <c r="L3636" s="11">
        <f t="shared" si="386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866"/>
        <v>4.246666666666667</v>
      </c>
      <c r="R3636" s="7">
        <f t="shared" si="3867"/>
        <v>176.94444444444446</v>
      </c>
      <c r="S3636" t="str">
        <f t="shared" si="3868"/>
        <v>theater</v>
      </c>
      <c r="T3636" t="str">
        <f t="shared" si="3869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ref="K3637:L3637" si="3919">(J3637/60/60/24)+DATE(1970,1,1)</f>
        <v>42450.88282407407</v>
      </c>
      <c r="L3637" s="11">
        <f t="shared" si="386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866"/>
        <v>36.457142857142856</v>
      </c>
      <c r="R3637" s="7">
        <f t="shared" si="3867"/>
        <v>127.6</v>
      </c>
      <c r="S3637" t="str">
        <f t="shared" si="3868"/>
        <v>theater</v>
      </c>
      <c r="T3637" t="str">
        <f t="shared" si="3869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ref="K3638:L3638" si="3920">(J3638/60/60/24)+DATE(1970,1,1)</f>
        <v>42226.694780092599</v>
      </c>
      <c r="L3638" s="11">
        <f t="shared" si="386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866"/>
        <v>0</v>
      </c>
      <c r="R3638" s="7">
        <f t="shared" si="3867"/>
        <v>0</v>
      </c>
      <c r="S3638" t="str">
        <f t="shared" si="3868"/>
        <v>theater</v>
      </c>
      <c r="T3638" t="str">
        <f t="shared" si="3869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ref="K3639:L3639" si="3921">(J3639/60/60/24)+DATE(1970,1,1)</f>
        <v>41975.700636574074</v>
      </c>
      <c r="L3639" s="11">
        <f t="shared" si="386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866"/>
        <v>30.866666666666664</v>
      </c>
      <c r="R3639" s="7">
        <f t="shared" si="3867"/>
        <v>66.142857142857139</v>
      </c>
      <c r="S3639" t="str">
        <f t="shared" si="3868"/>
        <v>theater</v>
      </c>
      <c r="T3639" t="str">
        <f t="shared" si="3869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ref="K3640:L3640" si="3922">(J3640/60/60/24)+DATE(1970,1,1)</f>
        <v>42053.672824074078</v>
      </c>
      <c r="L3640" s="11">
        <f t="shared" si="386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866"/>
        <v>6.5454545454545459</v>
      </c>
      <c r="R3640" s="7">
        <f t="shared" si="3867"/>
        <v>108</v>
      </c>
      <c r="S3640" t="str">
        <f t="shared" si="3868"/>
        <v>theater</v>
      </c>
      <c r="T3640" t="str">
        <f t="shared" si="3869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ref="K3641:L3641" si="3923">(J3641/60/60/24)+DATE(1970,1,1)</f>
        <v>42590.677152777775</v>
      </c>
      <c r="L3641" s="11">
        <f t="shared" si="386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866"/>
        <v>4.0000000000000001E-3</v>
      </c>
      <c r="R3641" s="7">
        <f t="shared" si="3867"/>
        <v>1</v>
      </c>
      <c r="S3641" t="str">
        <f t="shared" si="3868"/>
        <v>theater</v>
      </c>
      <c r="T3641" t="str">
        <f t="shared" si="3869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ref="K3642:L3642" si="3924">(J3642/60/60/24)+DATE(1970,1,1)</f>
        <v>42104.781597222223</v>
      </c>
      <c r="L3642" s="11">
        <f t="shared" si="386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866"/>
        <v>5.5</v>
      </c>
      <c r="R3642" s="7">
        <f t="shared" si="3867"/>
        <v>18.333333333333332</v>
      </c>
      <c r="S3642" t="str">
        <f t="shared" si="3868"/>
        <v>theater</v>
      </c>
      <c r="T3642" t="str">
        <f t="shared" si="3869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ref="K3643:L3643" si="3925">(J3643/60/60/24)+DATE(1970,1,1)</f>
        <v>41899.627071759263</v>
      </c>
      <c r="L3643" s="11">
        <f t="shared" si="386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866"/>
        <v>0</v>
      </c>
      <c r="R3643" s="7">
        <f t="shared" si="3867"/>
        <v>0</v>
      </c>
      <c r="S3643" t="str">
        <f t="shared" si="3868"/>
        <v>theater</v>
      </c>
      <c r="T3643" t="str">
        <f t="shared" si="3869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ref="K3644:L3644" si="3926">(J3644/60/60/24)+DATE(1970,1,1)</f>
        <v>42297.816284722227</v>
      </c>
      <c r="L3644" s="11">
        <f t="shared" si="386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866"/>
        <v>2.1428571428571428</v>
      </c>
      <c r="R3644" s="7">
        <f t="shared" si="3867"/>
        <v>7.5</v>
      </c>
      <c r="S3644" t="str">
        <f t="shared" si="3868"/>
        <v>theater</v>
      </c>
      <c r="T3644" t="str">
        <f t="shared" si="3869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ref="K3645:L3645" si="3927">(J3645/60/60/24)+DATE(1970,1,1)</f>
        <v>42285.143969907411</v>
      </c>
      <c r="L3645" s="11">
        <f t="shared" si="386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866"/>
        <v>0</v>
      </c>
      <c r="R3645" s="7">
        <f t="shared" si="3867"/>
        <v>0</v>
      </c>
      <c r="S3645" t="str">
        <f t="shared" si="3868"/>
        <v>theater</v>
      </c>
      <c r="T3645" t="str">
        <f t="shared" si="3869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ref="K3646:L3646" si="3928">(J3646/60/60/24)+DATE(1970,1,1)</f>
        <v>42409.241747685184</v>
      </c>
      <c r="L3646" s="11">
        <f t="shared" si="386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866"/>
        <v>16.420000000000002</v>
      </c>
      <c r="R3646" s="7">
        <f t="shared" si="3867"/>
        <v>68.416666666666671</v>
      </c>
      <c r="S3646" t="str">
        <f t="shared" si="3868"/>
        <v>theater</v>
      </c>
      <c r="T3646" t="str">
        <f t="shared" si="3869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ref="K3647:L3647" si="3929">(J3647/60/60/24)+DATE(1970,1,1)</f>
        <v>42665.970347222217</v>
      </c>
      <c r="L3647" s="11">
        <f t="shared" si="386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866"/>
        <v>0.1</v>
      </c>
      <c r="R3647" s="7">
        <f t="shared" si="3867"/>
        <v>1</v>
      </c>
      <c r="S3647" t="str">
        <f t="shared" si="3868"/>
        <v>theater</v>
      </c>
      <c r="T3647" t="str">
        <f t="shared" si="3869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ref="K3648:L3648" si="3930">(J3648/60/60/24)+DATE(1970,1,1)</f>
        <v>42140.421319444446</v>
      </c>
      <c r="L3648" s="11">
        <f t="shared" si="386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866"/>
        <v>4.8099999999999996</v>
      </c>
      <c r="R3648" s="7">
        <f t="shared" si="3867"/>
        <v>60.125</v>
      </c>
      <c r="S3648" t="str">
        <f t="shared" si="3868"/>
        <v>theater</v>
      </c>
      <c r="T3648" t="str">
        <f t="shared" si="3869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ref="K3649:L3649" si="3931">(J3649/60/60/24)+DATE(1970,1,1)</f>
        <v>42598.749155092592</v>
      </c>
      <c r="L3649" s="11">
        <f t="shared" si="386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866"/>
        <v>6</v>
      </c>
      <c r="R3649" s="7">
        <f t="shared" si="3867"/>
        <v>15</v>
      </c>
      <c r="S3649" t="str">
        <f t="shared" si="3868"/>
        <v>theater</v>
      </c>
      <c r="T3649" t="str">
        <f t="shared" si="3869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ref="K3650:L3650" si="3932">(J3650/60/60/24)+DATE(1970,1,1)</f>
        <v>41887.292187500003</v>
      </c>
      <c r="L3650" s="11">
        <f t="shared" si="386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866"/>
        <v>100.38249999999999</v>
      </c>
      <c r="R3650" s="7">
        <f t="shared" si="3867"/>
        <v>550.04109589041093</v>
      </c>
      <c r="S3650" t="str">
        <f t="shared" si="3868"/>
        <v>theater</v>
      </c>
      <c r="T3650" t="str">
        <f t="shared" si="3869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ref="K3651:L3651" si="3933">(J3651/60/60/24)+DATE(1970,1,1)</f>
        <v>41780.712893518517</v>
      </c>
      <c r="L3651" s="11">
        <f t="shared" ref="L3651:L3714" si="3934">(I3651/60/60/24)+DATE(1970,1,1)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935">(E3651/D3651)*100</f>
        <v>104</v>
      </c>
      <c r="R3651" s="7">
        <f t="shared" ref="R3651:R3714" si="3936">IFERROR(E3651/N3651, 0)</f>
        <v>97.5</v>
      </c>
      <c r="S3651" t="str">
        <f t="shared" ref="S3651:S3714" si="3937">LEFT(P3651, SEARCH("/", P3651,1)-1)</f>
        <v>theater</v>
      </c>
      <c r="T3651" t="str">
        <f t="shared" ref="T3651:T3714" si="3938">RIGHT(P3651,LEN(P3651)-SEARCH("/",P3651,SEARCH("/",P3651)))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ref="K3652:L3652" si="3939">(J3652/60/60/24)+DATE(1970,1,1)</f>
        <v>42381.478981481487</v>
      </c>
      <c r="L3652" s="11">
        <f t="shared" si="3934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935"/>
        <v>100</v>
      </c>
      <c r="R3652" s="7">
        <f t="shared" si="3936"/>
        <v>29.411764705882351</v>
      </c>
      <c r="S3652" t="str">
        <f t="shared" si="3937"/>
        <v>theater</v>
      </c>
      <c r="T3652" t="str">
        <f t="shared" si="3938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ref="K3653:L3653" si="3940">(J3653/60/60/24)+DATE(1970,1,1)</f>
        <v>41828.646319444444</v>
      </c>
      <c r="L3653" s="11">
        <f t="shared" si="3934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935"/>
        <v>104</v>
      </c>
      <c r="R3653" s="7">
        <f t="shared" si="3936"/>
        <v>57.777777777777779</v>
      </c>
      <c r="S3653" t="str">
        <f t="shared" si="3937"/>
        <v>theater</v>
      </c>
      <c r="T3653" t="str">
        <f t="shared" si="3938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ref="K3654:L3654" si="3941">(J3654/60/60/24)+DATE(1970,1,1)</f>
        <v>42596.644699074073</v>
      </c>
      <c r="L3654" s="11">
        <f t="shared" si="3934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935"/>
        <v>250.66666666666669</v>
      </c>
      <c r="R3654" s="7">
        <f t="shared" si="3936"/>
        <v>44.235294117647058</v>
      </c>
      <c r="S3654" t="str">
        <f t="shared" si="3937"/>
        <v>theater</v>
      </c>
      <c r="T3654" t="str">
        <f t="shared" si="3938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ref="K3655:L3655" si="3942">(J3655/60/60/24)+DATE(1970,1,1)</f>
        <v>42191.363506944443</v>
      </c>
      <c r="L3655" s="11">
        <f t="shared" si="3934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935"/>
        <v>100.49999999999999</v>
      </c>
      <c r="R3655" s="7">
        <f t="shared" si="3936"/>
        <v>60.909090909090907</v>
      </c>
      <c r="S3655" t="str">
        <f t="shared" si="3937"/>
        <v>theater</v>
      </c>
      <c r="T3655" t="str">
        <f t="shared" si="3938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ref="K3656:L3656" si="3943">(J3656/60/60/24)+DATE(1970,1,1)</f>
        <v>42440.416504629626</v>
      </c>
      <c r="L3656" s="11">
        <f t="shared" si="3934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935"/>
        <v>174.4</v>
      </c>
      <c r="R3656" s="7">
        <f t="shared" si="3936"/>
        <v>68.84210526315789</v>
      </c>
      <c r="S3656" t="str">
        <f t="shared" si="3937"/>
        <v>theater</v>
      </c>
      <c r="T3656" t="str">
        <f t="shared" si="3938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ref="K3657:L3657" si="3944">(J3657/60/60/24)+DATE(1970,1,1)</f>
        <v>42173.803217592591</v>
      </c>
      <c r="L3657" s="11">
        <f t="shared" si="3934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935"/>
        <v>116.26</v>
      </c>
      <c r="R3657" s="7">
        <f t="shared" si="3936"/>
        <v>73.582278481012665</v>
      </c>
      <c r="S3657" t="str">
        <f t="shared" si="3937"/>
        <v>theater</v>
      </c>
      <c r="T3657" t="str">
        <f t="shared" si="3938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ref="K3658:L3658" si="3945">(J3658/60/60/24)+DATE(1970,1,1)</f>
        <v>42737.910138888896</v>
      </c>
      <c r="L3658" s="11">
        <f t="shared" si="3934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935"/>
        <v>105.82000000000001</v>
      </c>
      <c r="R3658" s="7">
        <f t="shared" si="3936"/>
        <v>115.02173913043478</v>
      </c>
      <c r="S3658" t="str">
        <f t="shared" si="3937"/>
        <v>theater</v>
      </c>
      <c r="T3658" t="str">
        <f t="shared" si="3938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ref="K3659:L3659" si="3946">(J3659/60/60/24)+DATE(1970,1,1)</f>
        <v>42499.629849537043</v>
      </c>
      <c r="L3659" s="11">
        <f t="shared" si="3934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935"/>
        <v>110.75</v>
      </c>
      <c r="R3659" s="7">
        <f t="shared" si="3936"/>
        <v>110.75</v>
      </c>
      <c r="S3659" t="str">
        <f t="shared" si="3937"/>
        <v>theater</v>
      </c>
      <c r="T3659" t="str">
        <f t="shared" si="3938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ref="K3660:L3660" si="3947">(J3660/60/60/24)+DATE(1970,1,1)</f>
        <v>41775.858564814815</v>
      </c>
      <c r="L3660" s="11">
        <f t="shared" si="3934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935"/>
        <v>100.66666666666666</v>
      </c>
      <c r="R3660" s="7">
        <f t="shared" si="3936"/>
        <v>75.5</v>
      </c>
      <c r="S3660" t="str">
        <f t="shared" si="3937"/>
        <v>theater</v>
      </c>
      <c r="T3660" t="str">
        <f t="shared" si="3938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ref="K3661:L3661" si="3948">(J3661/60/60/24)+DATE(1970,1,1)</f>
        <v>42055.277199074073</v>
      </c>
      <c r="L3661" s="11">
        <f t="shared" si="3934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935"/>
        <v>102.03333333333333</v>
      </c>
      <c r="R3661" s="7">
        <f t="shared" si="3936"/>
        <v>235.46153846153845</v>
      </c>
      <c r="S3661" t="str">
        <f t="shared" si="3937"/>
        <v>theater</v>
      </c>
      <c r="T3661" t="str">
        <f t="shared" si="3938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ref="K3662:L3662" si="3949">(J3662/60/60/24)+DATE(1970,1,1)</f>
        <v>41971.881076388891</v>
      </c>
      <c r="L3662" s="11">
        <f t="shared" si="3934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935"/>
        <v>100</v>
      </c>
      <c r="R3662" s="7">
        <f t="shared" si="3936"/>
        <v>11.363636363636363</v>
      </c>
      <c r="S3662" t="str">
        <f t="shared" si="3937"/>
        <v>theater</v>
      </c>
      <c r="T3662" t="str">
        <f t="shared" si="3938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ref="K3663:L3663" si="3950">(J3663/60/60/24)+DATE(1970,1,1)</f>
        <v>42447.896666666667</v>
      </c>
      <c r="L3663" s="11">
        <f t="shared" si="3934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935"/>
        <v>111.00000000000001</v>
      </c>
      <c r="R3663" s="7">
        <f t="shared" si="3936"/>
        <v>92.5</v>
      </c>
      <c r="S3663" t="str">
        <f t="shared" si="3937"/>
        <v>theater</v>
      </c>
      <c r="T3663" t="str">
        <f t="shared" si="3938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ref="K3664:L3664" si="3951">(J3664/60/60/24)+DATE(1970,1,1)</f>
        <v>42064.220069444447</v>
      </c>
      <c r="L3664" s="11">
        <f t="shared" si="3934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935"/>
        <v>101.42500000000001</v>
      </c>
      <c r="R3664" s="7">
        <f t="shared" si="3936"/>
        <v>202.85</v>
      </c>
      <c r="S3664" t="str">
        <f t="shared" si="3937"/>
        <v>theater</v>
      </c>
      <c r="T3664" t="str">
        <f t="shared" si="3938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ref="K3665:L3665" si="3952">(J3665/60/60/24)+DATE(1970,1,1)</f>
        <v>42665.451736111107</v>
      </c>
      <c r="L3665" s="11">
        <f t="shared" si="3934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935"/>
        <v>104</v>
      </c>
      <c r="R3665" s="7">
        <f t="shared" si="3936"/>
        <v>26</v>
      </c>
      <c r="S3665" t="str">
        <f t="shared" si="3937"/>
        <v>theater</v>
      </c>
      <c r="T3665" t="str">
        <f t="shared" si="3938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ref="K3666:L3666" si="3953">(J3666/60/60/24)+DATE(1970,1,1)</f>
        <v>42523.248715277776</v>
      </c>
      <c r="L3666" s="11">
        <f t="shared" si="3934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935"/>
        <v>109.375</v>
      </c>
      <c r="R3666" s="7">
        <f t="shared" si="3936"/>
        <v>46.05263157894737</v>
      </c>
      <c r="S3666" t="str">
        <f t="shared" si="3937"/>
        <v>theater</v>
      </c>
      <c r="T3666" t="str">
        <f t="shared" si="3938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ref="K3667:L3667" si="3954">(J3667/60/60/24)+DATE(1970,1,1)</f>
        <v>42294.808124999996</v>
      </c>
      <c r="L3667" s="11">
        <f t="shared" si="3934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935"/>
        <v>115.16129032258064</v>
      </c>
      <c r="R3667" s="7">
        <f t="shared" si="3936"/>
        <v>51</v>
      </c>
      <c r="S3667" t="str">
        <f t="shared" si="3937"/>
        <v>theater</v>
      </c>
      <c r="T3667" t="str">
        <f t="shared" si="3938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ref="K3668:L3668" si="3955">(J3668/60/60/24)+DATE(1970,1,1)</f>
        <v>41822.90488425926</v>
      </c>
      <c r="L3668" s="11">
        <f t="shared" si="3934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935"/>
        <v>100</v>
      </c>
      <c r="R3668" s="7">
        <f t="shared" si="3936"/>
        <v>31.578947368421051</v>
      </c>
      <c r="S3668" t="str">
        <f t="shared" si="3937"/>
        <v>theater</v>
      </c>
      <c r="T3668" t="str">
        <f t="shared" si="3938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ref="K3669:L3669" si="3956">(J3669/60/60/24)+DATE(1970,1,1)</f>
        <v>42173.970127314817</v>
      </c>
      <c r="L3669" s="11">
        <f t="shared" si="3934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935"/>
        <v>103.17033333333335</v>
      </c>
      <c r="R3669" s="7">
        <f t="shared" si="3936"/>
        <v>53.363965517241382</v>
      </c>
      <c r="S3669" t="str">
        <f t="shared" si="3937"/>
        <v>theater</v>
      </c>
      <c r="T3669" t="str">
        <f t="shared" si="3938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ref="K3670:L3670" si="3957">(J3670/60/60/24)+DATE(1970,1,1)</f>
        <v>42185.556157407409</v>
      </c>
      <c r="L3670" s="11">
        <f t="shared" si="3934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935"/>
        <v>103.49999999999999</v>
      </c>
      <c r="R3670" s="7">
        <f t="shared" si="3936"/>
        <v>36.964285714285715</v>
      </c>
      <c r="S3670" t="str">
        <f t="shared" si="3937"/>
        <v>theater</v>
      </c>
      <c r="T3670" t="str">
        <f t="shared" si="3938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ref="K3671:L3671" si="3958">(J3671/60/60/24)+DATE(1970,1,1)</f>
        <v>42136.675196759257</v>
      </c>
      <c r="L3671" s="11">
        <f t="shared" si="3934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935"/>
        <v>138.19999999999999</v>
      </c>
      <c r="R3671" s="7">
        <f t="shared" si="3936"/>
        <v>81.294117647058826</v>
      </c>
      <c r="S3671" t="str">
        <f t="shared" si="3937"/>
        <v>theater</v>
      </c>
      <c r="T3671" t="str">
        <f t="shared" si="3938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ref="K3672:L3672" si="3959">(J3672/60/60/24)+DATE(1970,1,1)</f>
        <v>42142.514016203699</v>
      </c>
      <c r="L3672" s="11">
        <f t="shared" si="3934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935"/>
        <v>109.54545454545455</v>
      </c>
      <c r="R3672" s="7">
        <f t="shared" si="3936"/>
        <v>20.083333333333332</v>
      </c>
      <c r="S3672" t="str">
        <f t="shared" si="3937"/>
        <v>theater</v>
      </c>
      <c r="T3672" t="str">
        <f t="shared" si="3938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ref="K3673:L3673" si="3960">(J3673/60/60/24)+DATE(1970,1,1)</f>
        <v>41820.62809027778</v>
      </c>
      <c r="L3673" s="11">
        <f t="shared" si="3934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935"/>
        <v>100.85714285714286</v>
      </c>
      <c r="R3673" s="7">
        <f t="shared" si="3936"/>
        <v>88.25</v>
      </c>
      <c r="S3673" t="str">
        <f t="shared" si="3937"/>
        <v>theater</v>
      </c>
      <c r="T3673" t="str">
        <f t="shared" si="3938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ref="K3674:L3674" si="3961">(J3674/60/60/24)+DATE(1970,1,1)</f>
        <v>41878.946574074071</v>
      </c>
      <c r="L3674" s="11">
        <f t="shared" si="3934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935"/>
        <v>101.53333333333335</v>
      </c>
      <c r="R3674" s="7">
        <f t="shared" si="3936"/>
        <v>53.438596491228068</v>
      </c>
      <c r="S3674" t="str">
        <f t="shared" si="3937"/>
        <v>theater</v>
      </c>
      <c r="T3674" t="str">
        <f t="shared" si="3938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ref="K3675:L3675" si="3962">(J3675/60/60/24)+DATE(1970,1,1)</f>
        <v>41914.295104166667</v>
      </c>
      <c r="L3675" s="11">
        <f t="shared" si="3934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935"/>
        <v>113.625</v>
      </c>
      <c r="R3675" s="7">
        <f t="shared" si="3936"/>
        <v>39.868421052631582</v>
      </c>
      <c r="S3675" t="str">
        <f t="shared" si="3937"/>
        <v>theater</v>
      </c>
      <c r="T3675" t="str">
        <f t="shared" si="3938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ref="K3676:L3676" si="3963">(J3676/60/60/24)+DATE(1970,1,1)</f>
        <v>42556.873020833329</v>
      </c>
      <c r="L3676" s="11">
        <f t="shared" si="3934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935"/>
        <v>100</v>
      </c>
      <c r="R3676" s="7">
        <f t="shared" si="3936"/>
        <v>145.16129032258064</v>
      </c>
      <c r="S3676" t="str">
        <f t="shared" si="3937"/>
        <v>theater</v>
      </c>
      <c r="T3676" t="str">
        <f t="shared" si="3938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ref="K3677:L3677" si="3964">(J3677/60/60/24)+DATE(1970,1,1)</f>
        <v>42493.597013888888</v>
      </c>
      <c r="L3677" s="11">
        <f t="shared" si="3934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935"/>
        <v>140</v>
      </c>
      <c r="R3677" s="7">
        <f t="shared" si="3936"/>
        <v>23.333333333333332</v>
      </c>
      <c r="S3677" t="str">
        <f t="shared" si="3937"/>
        <v>theater</v>
      </c>
      <c r="T3677" t="str">
        <f t="shared" si="3938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ref="K3678:L3678" si="3965">(J3678/60/60/24)+DATE(1970,1,1)</f>
        <v>41876.815787037034</v>
      </c>
      <c r="L3678" s="11">
        <f t="shared" si="3934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935"/>
        <v>128.75</v>
      </c>
      <c r="R3678" s="7">
        <f t="shared" si="3936"/>
        <v>64.375</v>
      </c>
      <c r="S3678" t="str">
        <f t="shared" si="3937"/>
        <v>theater</v>
      </c>
      <c r="T3678" t="str">
        <f t="shared" si="3938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ref="K3679:L3679" si="3966">(J3679/60/60/24)+DATE(1970,1,1)</f>
        <v>41802.574282407404</v>
      </c>
      <c r="L3679" s="11">
        <f t="shared" si="3934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935"/>
        <v>102.90416666666667</v>
      </c>
      <c r="R3679" s="7">
        <f t="shared" si="3936"/>
        <v>62.052763819095475</v>
      </c>
      <c r="S3679" t="str">
        <f t="shared" si="3937"/>
        <v>theater</v>
      </c>
      <c r="T3679" t="str">
        <f t="shared" si="3938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ref="K3680:L3680" si="3967">(J3680/60/60/24)+DATE(1970,1,1)</f>
        <v>42120.531226851846</v>
      </c>
      <c r="L3680" s="11">
        <f t="shared" si="3934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935"/>
        <v>102.49999999999999</v>
      </c>
      <c r="R3680" s="7">
        <f t="shared" si="3936"/>
        <v>66.129032258064512</v>
      </c>
      <c r="S3680" t="str">
        <f t="shared" si="3937"/>
        <v>theater</v>
      </c>
      <c r="T3680" t="str">
        <f t="shared" si="3938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ref="K3681:L3681" si="3968">(J3681/60/60/24)+DATE(1970,1,1)</f>
        <v>41786.761354166665</v>
      </c>
      <c r="L3681" s="11">
        <f t="shared" si="3934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935"/>
        <v>110.1</v>
      </c>
      <c r="R3681" s="7">
        <f t="shared" si="3936"/>
        <v>73.400000000000006</v>
      </c>
      <c r="S3681" t="str">
        <f t="shared" si="3937"/>
        <v>theater</v>
      </c>
      <c r="T3681" t="str">
        <f t="shared" si="3938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ref="K3682:L3682" si="3969">(J3682/60/60/24)+DATE(1970,1,1)</f>
        <v>42627.454097222217</v>
      </c>
      <c r="L3682" s="11">
        <f t="shared" si="3934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935"/>
        <v>112.76666666666667</v>
      </c>
      <c r="R3682" s="7">
        <f t="shared" si="3936"/>
        <v>99.5</v>
      </c>
      <c r="S3682" t="str">
        <f t="shared" si="3937"/>
        <v>theater</v>
      </c>
      <c r="T3682" t="str">
        <f t="shared" si="3938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ref="K3683:L3683" si="3970">(J3683/60/60/24)+DATE(1970,1,1)</f>
        <v>42374.651504629626</v>
      </c>
      <c r="L3683" s="11">
        <f t="shared" si="3934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935"/>
        <v>111.9</v>
      </c>
      <c r="R3683" s="7">
        <f t="shared" si="3936"/>
        <v>62.166666666666664</v>
      </c>
      <c r="S3683" t="str">
        <f t="shared" si="3937"/>
        <v>theater</v>
      </c>
      <c r="T3683" t="str">
        <f t="shared" si="3938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ref="K3684:L3684" si="3971">(J3684/60/60/24)+DATE(1970,1,1)</f>
        <v>41772.685393518521</v>
      </c>
      <c r="L3684" s="11">
        <f t="shared" si="3934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935"/>
        <v>139.19999999999999</v>
      </c>
      <c r="R3684" s="7">
        <f t="shared" si="3936"/>
        <v>62.328358208955223</v>
      </c>
      <c r="S3684" t="str">
        <f t="shared" si="3937"/>
        <v>theater</v>
      </c>
      <c r="T3684" t="str">
        <f t="shared" si="3938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ref="K3685:L3685" si="3972">(J3685/60/60/24)+DATE(1970,1,1)</f>
        <v>42633.116851851853</v>
      </c>
      <c r="L3685" s="11">
        <f t="shared" si="3934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935"/>
        <v>110.85714285714286</v>
      </c>
      <c r="R3685" s="7">
        <f t="shared" si="3936"/>
        <v>58.787878787878789</v>
      </c>
      <c r="S3685" t="str">
        <f t="shared" si="3937"/>
        <v>theater</v>
      </c>
      <c r="T3685" t="str">
        <f t="shared" si="3938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ref="K3686:L3686" si="3973">(J3686/60/60/24)+DATE(1970,1,1)</f>
        <v>42219.180393518516</v>
      </c>
      <c r="L3686" s="11">
        <f t="shared" si="3934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935"/>
        <v>139.06666666666666</v>
      </c>
      <c r="R3686" s="7">
        <f t="shared" si="3936"/>
        <v>45.347826086956523</v>
      </c>
      <c r="S3686" t="str">
        <f t="shared" si="3937"/>
        <v>theater</v>
      </c>
      <c r="T3686" t="str">
        <f t="shared" si="3938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ref="K3687:L3687" si="3974">(J3687/60/60/24)+DATE(1970,1,1)</f>
        <v>41753.593275462961</v>
      </c>
      <c r="L3687" s="11">
        <f t="shared" si="3934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935"/>
        <v>105.69999999999999</v>
      </c>
      <c r="R3687" s="7">
        <f t="shared" si="3936"/>
        <v>41.944444444444443</v>
      </c>
      <c r="S3687" t="str">
        <f t="shared" si="3937"/>
        <v>theater</v>
      </c>
      <c r="T3687" t="str">
        <f t="shared" si="3938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ref="K3688:L3688" si="3975">(J3688/60/60/24)+DATE(1970,1,1)</f>
        <v>42230.662731481483</v>
      </c>
      <c r="L3688" s="11">
        <f t="shared" si="3934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935"/>
        <v>101.42857142857142</v>
      </c>
      <c r="R3688" s="7">
        <f t="shared" si="3936"/>
        <v>59.166666666666664</v>
      </c>
      <c r="S3688" t="str">
        <f t="shared" si="3937"/>
        <v>theater</v>
      </c>
      <c r="T3688" t="str">
        <f t="shared" si="3938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ref="K3689:L3689" si="3976">(J3689/60/60/24)+DATE(1970,1,1)</f>
        <v>41787.218229166669</v>
      </c>
      <c r="L3689" s="11">
        <f t="shared" si="3934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935"/>
        <v>100.245</v>
      </c>
      <c r="R3689" s="7">
        <f t="shared" si="3936"/>
        <v>200.49</v>
      </c>
      <c r="S3689" t="str">
        <f t="shared" si="3937"/>
        <v>theater</v>
      </c>
      <c r="T3689" t="str">
        <f t="shared" si="3938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ref="K3690:L3690" si="3977">(J3690/60/60/24)+DATE(1970,1,1)</f>
        <v>41829.787083333329</v>
      </c>
      <c r="L3690" s="11">
        <f t="shared" si="3934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935"/>
        <v>109.16666666666666</v>
      </c>
      <c r="R3690" s="7">
        <f t="shared" si="3936"/>
        <v>83.974358974358978</v>
      </c>
      <c r="S3690" t="str">
        <f t="shared" si="3937"/>
        <v>theater</v>
      </c>
      <c r="T3690" t="str">
        <f t="shared" si="3938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ref="K3691:L3691" si="3978">(J3691/60/60/24)+DATE(1970,1,1)</f>
        <v>42147.826840277776</v>
      </c>
      <c r="L3691" s="11">
        <f t="shared" si="3934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935"/>
        <v>118.33333333333333</v>
      </c>
      <c r="R3691" s="7">
        <f t="shared" si="3936"/>
        <v>57.258064516129032</v>
      </c>
      <c r="S3691" t="str">
        <f t="shared" si="3937"/>
        <v>theater</v>
      </c>
      <c r="T3691" t="str">
        <f t="shared" si="3938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ref="K3692:L3692" si="3979">(J3692/60/60/24)+DATE(1970,1,1)</f>
        <v>41940.598182870373</v>
      </c>
      <c r="L3692" s="11">
        <f t="shared" si="3934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935"/>
        <v>120</v>
      </c>
      <c r="R3692" s="7">
        <f t="shared" si="3936"/>
        <v>58.064516129032256</v>
      </c>
      <c r="S3692" t="str">
        <f t="shared" si="3937"/>
        <v>theater</v>
      </c>
      <c r="T3692" t="str">
        <f t="shared" si="3938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ref="K3693:L3693" si="3980">(J3693/60/60/24)+DATE(1970,1,1)</f>
        <v>42020.700567129628</v>
      </c>
      <c r="L3693" s="11">
        <f t="shared" si="3934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935"/>
        <v>127.96000000000001</v>
      </c>
      <c r="R3693" s="7">
        <f t="shared" si="3936"/>
        <v>186.80291970802921</v>
      </c>
      <c r="S3693" t="str">
        <f t="shared" si="3937"/>
        <v>theater</v>
      </c>
      <c r="T3693" t="str">
        <f t="shared" si="3938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ref="K3694:L3694" si="3981">(J3694/60/60/24)+DATE(1970,1,1)</f>
        <v>41891.96503472222</v>
      </c>
      <c r="L3694" s="11">
        <f t="shared" si="3934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935"/>
        <v>126</v>
      </c>
      <c r="R3694" s="7">
        <f t="shared" si="3936"/>
        <v>74.117647058823536</v>
      </c>
      <c r="S3694" t="str">
        <f t="shared" si="3937"/>
        <v>theater</v>
      </c>
      <c r="T3694" t="str">
        <f t="shared" si="3938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ref="K3695:L3695" si="3982">(J3695/60/60/24)+DATE(1970,1,1)</f>
        <v>42309.191307870366</v>
      </c>
      <c r="L3695" s="11">
        <f t="shared" si="3934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935"/>
        <v>129.12912912912913</v>
      </c>
      <c r="R3695" s="7">
        <f t="shared" si="3936"/>
        <v>30.714285714285715</v>
      </c>
      <c r="S3695" t="str">
        <f t="shared" si="3937"/>
        <v>theater</v>
      </c>
      <c r="T3695" t="str">
        <f t="shared" si="3938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ref="K3696:L3696" si="3983">(J3696/60/60/24)+DATE(1970,1,1)</f>
        <v>42490.133877314816</v>
      </c>
      <c r="L3696" s="11">
        <f t="shared" si="3934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935"/>
        <v>107.42857142857143</v>
      </c>
      <c r="R3696" s="7">
        <f t="shared" si="3936"/>
        <v>62.666666666666664</v>
      </c>
      <c r="S3696" t="str">
        <f t="shared" si="3937"/>
        <v>theater</v>
      </c>
      <c r="T3696" t="str">
        <f t="shared" si="3938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ref="K3697:L3697" si="3984">(J3697/60/60/24)+DATE(1970,1,1)</f>
        <v>41995.870486111111</v>
      </c>
      <c r="L3697" s="11">
        <f t="shared" si="3934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935"/>
        <v>100.125</v>
      </c>
      <c r="R3697" s="7">
        <f t="shared" si="3936"/>
        <v>121.36363636363636</v>
      </c>
      <c r="S3697" t="str">
        <f t="shared" si="3937"/>
        <v>theater</v>
      </c>
      <c r="T3697" t="str">
        <f t="shared" si="3938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ref="K3698:L3698" si="3985">(J3698/60/60/24)+DATE(1970,1,1)</f>
        <v>41988.617083333331</v>
      </c>
      <c r="L3698" s="11">
        <f t="shared" si="3934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935"/>
        <v>155</v>
      </c>
      <c r="R3698" s="7">
        <f t="shared" si="3936"/>
        <v>39.743589743589745</v>
      </c>
      <c r="S3698" t="str">
        <f t="shared" si="3937"/>
        <v>theater</v>
      </c>
      <c r="T3698" t="str">
        <f t="shared" si="3938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ref="K3699:L3699" si="3986">(J3699/60/60/24)+DATE(1970,1,1)</f>
        <v>42479.465833333335</v>
      </c>
      <c r="L3699" s="11">
        <f t="shared" si="3934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935"/>
        <v>108</v>
      </c>
      <c r="R3699" s="7">
        <f t="shared" si="3936"/>
        <v>72</v>
      </c>
      <c r="S3699" t="str">
        <f t="shared" si="3937"/>
        <v>theater</v>
      </c>
      <c r="T3699" t="str">
        <f t="shared" si="3938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ref="K3700:L3700" si="3987">(J3700/60/60/24)+DATE(1970,1,1)</f>
        <v>42401.806562500002</v>
      </c>
      <c r="L3700" s="11">
        <f t="shared" si="3934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935"/>
        <v>110.52</v>
      </c>
      <c r="R3700" s="7">
        <f t="shared" si="3936"/>
        <v>40.632352941176471</v>
      </c>
      <c r="S3700" t="str">
        <f t="shared" si="3937"/>
        <v>theater</v>
      </c>
      <c r="T3700" t="str">
        <f t="shared" si="3938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ref="K3701:L3701" si="3988">(J3701/60/60/24)+DATE(1970,1,1)</f>
        <v>41897.602037037039</v>
      </c>
      <c r="L3701" s="11">
        <f t="shared" si="3934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935"/>
        <v>100.8</v>
      </c>
      <c r="R3701" s="7">
        <f t="shared" si="3936"/>
        <v>63</v>
      </c>
      <c r="S3701" t="str">
        <f t="shared" si="3937"/>
        <v>theater</v>
      </c>
      <c r="T3701" t="str">
        <f t="shared" si="3938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ref="K3702:L3702" si="3989">(J3702/60/60/24)+DATE(1970,1,1)</f>
        <v>41882.585648148146</v>
      </c>
      <c r="L3702" s="11">
        <f t="shared" si="3934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935"/>
        <v>121.2</v>
      </c>
      <c r="R3702" s="7">
        <f t="shared" si="3936"/>
        <v>33.666666666666664</v>
      </c>
      <c r="S3702" t="str">
        <f t="shared" si="3937"/>
        <v>theater</v>
      </c>
      <c r="T3702" t="str">
        <f t="shared" si="3938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ref="K3703:L3703" si="3990">(J3703/60/60/24)+DATE(1970,1,1)</f>
        <v>42129.541585648149</v>
      </c>
      <c r="L3703" s="11">
        <f t="shared" si="3934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935"/>
        <v>100.33333333333334</v>
      </c>
      <c r="R3703" s="7">
        <f t="shared" si="3936"/>
        <v>38.589743589743591</v>
      </c>
      <c r="S3703" t="str">
        <f t="shared" si="3937"/>
        <v>theater</v>
      </c>
      <c r="T3703" t="str">
        <f t="shared" si="3938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ref="K3704:L3704" si="3991">(J3704/60/60/24)+DATE(1970,1,1)</f>
        <v>42524.53800925926</v>
      </c>
      <c r="L3704" s="11">
        <f t="shared" si="3934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935"/>
        <v>109.16666666666666</v>
      </c>
      <c r="R3704" s="7">
        <f t="shared" si="3936"/>
        <v>155.95238095238096</v>
      </c>
      <c r="S3704" t="str">
        <f t="shared" si="3937"/>
        <v>theater</v>
      </c>
      <c r="T3704" t="str">
        <f t="shared" si="3938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ref="K3705:L3705" si="3992">(J3705/60/60/24)+DATE(1970,1,1)</f>
        <v>42556.504490740743</v>
      </c>
      <c r="L3705" s="11">
        <f t="shared" si="3934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935"/>
        <v>123.42857142857142</v>
      </c>
      <c r="R3705" s="7">
        <f t="shared" si="3936"/>
        <v>43.2</v>
      </c>
      <c r="S3705" t="str">
        <f t="shared" si="3937"/>
        <v>theater</v>
      </c>
      <c r="T3705" t="str">
        <f t="shared" si="3938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ref="K3706:L3706" si="3993">(J3706/60/60/24)+DATE(1970,1,1)</f>
        <v>42461.689745370371</v>
      </c>
      <c r="L3706" s="11">
        <f t="shared" si="3934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935"/>
        <v>136.33666666666667</v>
      </c>
      <c r="R3706" s="7">
        <f t="shared" si="3936"/>
        <v>15.148518518518518</v>
      </c>
      <c r="S3706" t="str">
        <f t="shared" si="3937"/>
        <v>theater</v>
      </c>
      <c r="T3706" t="str">
        <f t="shared" si="3938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ref="K3707:L3707" si="3994">(J3707/60/60/24)+DATE(1970,1,1)</f>
        <v>41792.542986111112</v>
      </c>
      <c r="L3707" s="11">
        <f t="shared" si="3934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935"/>
        <v>103.46657233816768</v>
      </c>
      <c r="R3707" s="7">
        <f t="shared" si="3936"/>
        <v>83.571428571428569</v>
      </c>
      <c r="S3707" t="str">
        <f t="shared" si="3937"/>
        <v>theater</v>
      </c>
      <c r="T3707" t="str">
        <f t="shared" si="3938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ref="K3708:L3708" si="3995">(J3708/60/60/24)+DATE(1970,1,1)</f>
        <v>41879.913761574076</v>
      </c>
      <c r="L3708" s="11">
        <f t="shared" si="3934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935"/>
        <v>121.33333333333334</v>
      </c>
      <c r="R3708" s="7">
        <f t="shared" si="3936"/>
        <v>140</v>
      </c>
      <c r="S3708" t="str">
        <f t="shared" si="3937"/>
        <v>theater</v>
      </c>
      <c r="T3708" t="str">
        <f t="shared" si="3938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ref="K3709:L3709" si="3996">(J3709/60/60/24)+DATE(1970,1,1)</f>
        <v>42552.048356481479</v>
      </c>
      <c r="L3709" s="11">
        <f t="shared" si="3934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935"/>
        <v>186</v>
      </c>
      <c r="R3709" s="7">
        <f t="shared" si="3936"/>
        <v>80.869565217391298</v>
      </c>
      <c r="S3709" t="str">
        <f t="shared" si="3937"/>
        <v>theater</v>
      </c>
      <c r="T3709" t="str">
        <f t="shared" si="3938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ref="K3710:L3710" si="3997">(J3710/60/60/24)+DATE(1970,1,1)</f>
        <v>41810.142199074071</v>
      </c>
      <c r="L3710" s="11">
        <f t="shared" si="3934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935"/>
        <v>300</v>
      </c>
      <c r="R3710" s="7">
        <f t="shared" si="3936"/>
        <v>53.846153846153847</v>
      </c>
      <c r="S3710" t="str">
        <f t="shared" si="3937"/>
        <v>theater</v>
      </c>
      <c r="T3710" t="str">
        <f t="shared" si="3938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ref="K3711:L3711" si="3998">(J3711/60/60/24)+DATE(1970,1,1)</f>
        <v>41785.707708333335</v>
      </c>
      <c r="L3711" s="11">
        <f t="shared" si="3934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935"/>
        <v>108.25</v>
      </c>
      <c r="R3711" s="7">
        <f t="shared" si="3936"/>
        <v>30.928571428571427</v>
      </c>
      <c r="S3711" t="str">
        <f t="shared" si="3937"/>
        <v>theater</v>
      </c>
      <c r="T3711" t="str">
        <f t="shared" si="3938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ref="K3712:L3712" si="3999">(J3712/60/60/24)+DATE(1970,1,1)</f>
        <v>42072.576249999998</v>
      </c>
      <c r="L3712" s="11">
        <f t="shared" si="3934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935"/>
        <v>141.15384615384616</v>
      </c>
      <c r="R3712" s="7">
        <f t="shared" si="3936"/>
        <v>67.962962962962962</v>
      </c>
      <c r="S3712" t="str">
        <f t="shared" si="3937"/>
        <v>theater</v>
      </c>
      <c r="T3712" t="str">
        <f t="shared" si="3938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ref="K3713:L3713" si="4000">(J3713/60/60/24)+DATE(1970,1,1)</f>
        <v>41779.724224537036</v>
      </c>
      <c r="L3713" s="11">
        <f t="shared" si="3934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935"/>
        <v>113.99999999999999</v>
      </c>
      <c r="R3713" s="7">
        <f t="shared" si="3936"/>
        <v>27.142857142857142</v>
      </c>
      <c r="S3713" t="str">
        <f t="shared" si="3937"/>
        <v>theater</v>
      </c>
      <c r="T3713" t="str">
        <f t="shared" si="3938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ref="K3714:L3714" si="4001">(J3714/60/60/24)+DATE(1970,1,1)</f>
        <v>42134.172071759262</v>
      </c>
      <c r="L3714" s="11">
        <f t="shared" si="3934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935"/>
        <v>153.73333333333335</v>
      </c>
      <c r="R3714" s="7">
        <f t="shared" si="3936"/>
        <v>110.86538461538461</v>
      </c>
      <c r="S3714" t="str">
        <f t="shared" si="3937"/>
        <v>theater</v>
      </c>
      <c r="T3714" t="str">
        <f t="shared" si="3938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ref="K3715:L3715" si="4002">(J3715/60/60/24)+DATE(1970,1,1)</f>
        <v>42505.738032407404</v>
      </c>
      <c r="L3715" s="11">
        <f t="shared" ref="L3715:L3778" si="4003">(I3715/60/60/24)+DATE(1970,1,1)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4004">(E3715/D3715)*100</f>
        <v>101.49999999999999</v>
      </c>
      <c r="R3715" s="7">
        <f t="shared" ref="R3715:R3778" si="4005">IFERROR(E3715/N3715, 0)</f>
        <v>106.84210526315789</v>
      </c>
      <c r="S3715" t="str">
        <f t="shared" ref="S3715:S3778" si="4006">LEFT(P3715, SEARCH("/", P3715,1)-1)</f>
        <v>theater</v>
      </c>
      <c r="T3715" t="str">
        <f t="shared" ref="T3715:T3778" si="4007">RIGHT(P3715,LEN(P3715)-SEARCH("/",P3715,SEARCH("/",P3715)))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ref="K3716:L3716" si="4008">(J3716/60/60/24)+DATE(1970,1,1)</f>
        <v>42118.556331018524</v>
      </c>
      <c r="L3716" s="11">
        <f t="shared" si="400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4004"/>
        <v>102.35000000000001</v>
      </c>
      <c r="R3716" s="7">
        <f t="shared" si="4005"/>
        <v>105.51546391752578</v>
      </c>
      <c r="S3716" t="str">
        <f t="shared" si="4006"/>
        <v>theater</v>
      </c>
      <c r="T3716" t="str">
        <f t="shared" si="4007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ref="K3717:L3717" si="4009">(J3717/60/60/24)+DATE(1970,1,1)</f>
        <v>42036.995590277773</v>
      </c>
      <c r="L3717" s="11">
        <f t="shared" si="400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4004"/>
        <v>102.57142857142858</v>
      </c>
      <c r="R3717" s="7">
        <f t="shared" si="4005"/>
        <v>132.96296296296296</v>
      </c>
      <c r="S3717" t="str">
        <f t="shared" si="4006"/>
        <v>theater</v>
      </c>
      <c r="T3717" t="str">
        <f t="shared" si="4007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ref="K3718:L3718" si="4010">(J3718/60/60/24)+DATE(1970,1,1)</f>
        <v>42360.887835648144</v>
      </c>
      <c r="L3718" s="11">
        <f t="shared" si="400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4004"/>
        <v>155.75</v>
      </c>
      <c r="R3718" s="7">
        <f t="shared" si="4005"/>
        <v>51.916666666666664</v>
      </c>
      <c r="S3718" t="str">
        <f t="shared" si="4006"/>
        <v>theater</v>
      </c>
      <c r="T3718" t="str">
        <f t="shared" si="4007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ref="K3719:L3719" si="4011">(J3719/60/60/24)+DATE(1970,1,1)</f>
        <v>42102.866307870368</v>
      </c>
      <c r="L3719" s="11">
        <f t="shared" si="400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4004"/>
        <v>100.75</v>
      </c>
      <c r="R3719" s="7">
        <f t="shared" si="4005"/>
        <v>310</v>
      </c>
      <c r="S3719" t="str">
        <f t="shared" si="4006"/>
        <v>theater</v>
      </c>
      <c r="T3719" t="str">
        <f t="shared" si="4007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ref="K3720:L3720" si="4012">(J3720/60/60/24)+DATE(1970,1,1)</f>
        <v>42032.716145833328</v>
      </c>
      <c r="L3720" s="11">
        <f t="shared" si="400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4004"/>
        <v>239.4</v>
      </c>
      <c r="R3720" s="7">
        <f t="shared" si="4005"/>
        <v>26.021739130434781</v>
      </c>
      <c r="S3720" t="str">
        <f t="shared" si="4006"/>
        <v>theater</v>
      </c>
      <c r="T3720" t="str">
        <f t="shared" si="4007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ref="K3721:L3721" si="4013">(J3721/60/60/24)+DATE(1970,1,1)</f>
        <v>42147.729930555557</v>
      </c>
      <c r="L3721" s="11">
        <f t="shared" si="400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4004"/>
        <v>210</v>
      </c>
      <c r="R3721" s="7">
        <f t="shared" si="4005"/>
        <v>105</v>
      </c>
      <c r="S3721" t="str">
        <f t="shared" si="4006"/>
        <v>theater</v>
      </c>
      <c r="T3721" t="str">
        <f t="shared" si="4007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ref="K3722:L3722" si="4014">(J3722/60/60/24)+DATE(1970,1,1)</f>
        <v>42165.993125000001</v>
      </c>
      <c r="L3722" s="11">
        <f t="shared" si="400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4004"/>
        <v>104.51515151515152</v>
      </c>
      <c r="R3722" s="7">
        <f t="shared" si="4005"/>
        <v>86.224999999999994</v>
      </c>
      <c r="S3722" t="str">
        <f t="shared" si="4006"/>
        <v>theater</v>
      </c>
      <c r="T3722" t="str">
        <f t="shared" si="4007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ref="K3723:L3723" si="4015">(J3723/60/60/24)+DATE(1970,1,1)</f>
        <v>41927.936157407406</v>
      </c>
      <c r="L3723" s="11">
        <f t="shared" si="400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4004"/>
        <v>100.8</v>
      </c>
      <c r="R3723" s="7">
        <f t="shared" si="4005"/>
        <v>114.54545454545455</v>
      </c>
      <c r="S3723" t="str">
        <f t="shared" si="4006"/>
        <v>theater</v>
      </c>
      <c r="T3723" t="str">
        <f t="shared" si="4007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ref="K3724:L3724" si="4016">(J3724/60/60/24)+DATE(1970,1,1)</f>
        <v>42381.671840277777</v>
      </c>
      <c r="L3724" s="11">
        <f t="shared" si="400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4004"/>
        <v>111.20000000000002</v>
      </c>
      <c r="R3724" s="7">
        <f t="shared" si="4005"/>
        <v>47.657142857142858</v>
      </c>
      <c r="S3724" t="str">
        <f t="shared" si="4006"/>
        <v>theater</v>
      </c>
      <c r="T3724" t="str">
        <f t="shared" si="4007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ref="K3725:L3725" si="4017">(J3725/60/60/24)+DATE(1970,1,1)</f>
        <v>41943.753032407411</v>
      </c>
      <c r="L3725" s="11">
        <f t="shared" si="400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4004"/>
        <v>102.04444444444445</v>
      </c>
      <c r="R3725" s="7">
        <f t="shared" si="4005"/>
        <v>72.888888888888886</v>
      </c>
      <c r="S3725" t="str">
        <f t="shared" si="4006"/>
        <v>theater</v>
      </c>
      <c r="T3725" t="str">
        <f t="shared" si="4007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ref="K3726:L3726" si="4018">(J3726/60/60/24)+DATE(1970,1,1)</f>
        <v>42465.491435185191</v>
      </c>
      <c r="L3726" s="11">
        <f t="shared" si="400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4004"/>
        <v>102.54767441860466</v>
      </c>
      <c r="R3726" s="7">
        <f t="shared" si="4005"/>
        <v>49.545505617977533</v>
      </c>
      <c r="S3726" t="str">
        <f t="shared" si="4006"/>
        <v>theater</v>
      </c>
      <c r="T3726" t="str">
        <f t="shared" si="4007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ref="K3727:L3727" si="4019">(J3727/60/60/24)+DATE(1970,1,1)</f>
        <v>42401.945219907408</v>
      </c>
      <c r="L3727" s="11">
        <f t="shared" si="400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4004"/>
        <v>127</v>
      </c>
      <c r="R3727" s="7">
        <f t="shared" si="4005"/>
        <v>25.4</v>
      </c>
      <c r="S3727" t="str">
        <f t="shared" si="4006"/>
        <v>theater</v>
      </c>
      <c r="T3727" t="str">
        <f t="shared" si="4007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ref="K3728:L3728" si="4020">(J3728/60/60/24)+DATE(1970,1,1)</f>
        <v>42462.140868055561</v>
      </c>
      <c r="L3728" s="11">
        <f t="shared" si="4003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4004"/>
        <v>338.70588235294122</v>
      </c>
      <c r="R3728" s="7">
        <f t="shared" si="4005"/>
        <v>62.586956521739133</v>
      </c>
      <c r="S3728" t="str">
        <f t="shared" si="4006"/>
        <v>theater</v>
      </c>
      <c r="T3728" t="str">
        <f t="shared" si="4007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ref="K3729:L3729" si="4021">(J3729/60/60/24)+DATE(1970,1,1)</f>
        <v>42632.348310185189</v>
      </c>
      <c r="L3729" s="11">
        <f t="shared" si="400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4004"/>
        <v>100.75</v>
      </c>
      <c r="R3729" s="7">
        <f t="shared" si="4005"/>
        <v>61.060606060606062</v>
      </c>
      <c r="S3729" t="str">
        <f t="shared" si="4006"/>
        <v>theater</v>
      </c>
      <c r="T3729" t="str">
        <f t="shared" si="4007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ref="K3730:L3730" si="4022">(J3730/60/60/24)+DATE(1970,1,1)</f>
        <v>42205.171018518522</v>
      </c>
      <c r="L3730" s="11">
        <f t="shared" si="400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4004"/>
        <v>9.31</v>
      </c>
      <c r="R3730" s="7">
        <f t="shared" si="4005"/>
        <v>60.064516129032256</v>
      </c>
      <c r="S3730" t="str">
        <f t="shared" si="4006"/>
        <v>theater</v>
      </c>
      <c r="T3730" t="str">
        <f t="shared" si="4007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ref="K3731:L3731" si="4023">(J3731/60/60/24)+DATE(1970,1,1)</f>
        <v>42041.205000000002</v>
      </c>
      <c r="L3731" s="11">
        <f t="shared" si="400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4004"/>
        <v>7.24</v>
      </c>
      <c r="R3731" s="7">
        <f t="shared" si="4005"/>
        <v>72.400000000000006</v>
      </c>
      <c r="S3731" t="str">
        <f t="shared" si="4006"/>
        <v>theater</v>
      </c>
      <c r="T3731" t="str">
        <f t="shared" si="4007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ref="K3732:L3732" si="4024">(J3732/60/60/24)+DATE(1970,1,1)</f>
        <v>42203.677766203706</v>
      </c>
      <c r="L3732" s="11">
        <f t="shared" si="400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4004"/>
        <v>10</v>
      </c>
      <c r="R3732" s="7">
        <f t="shared" si="4005"/>
        <v>100</v>
      </c>
      <c r="S3732" t="str">
        <f t="shared" si="4006"/>
        <v>theater</v>
      </c>
      <c r="T3732" t="str">
        <f t="shared" si="4007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ref="K3733:L3733" si="4025">(J3733/60/60/24)+DATE(1970,1,1)</f>
        <v>41983.752847222218</v>
      </c>
      <c r="L3733" s="11">
        <f t="shared" si="400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4004"/>
        <v>11.272727272727273</v>
      </c>
      <c r="R3733" s="7">
        <f t="shared" si="4005"/>
        <v>51.666666666666664</v>
      </c>
      <c r="S3733" t="str">
        <f t="shared" si="4006"/>
        <v>theater</v>
      </c>
      <c r="T3733" t="str">
        <f t="shared" si="4007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ref="K3734:L3734" si="4026">(J3734/60/60/24)+DATE(1970,1,1)</f>
        <v>41968.677465277782</v>
      </c>
      <c r="L3734" s="11">
        <f t="shared" si="4003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4004"/>
        <v>15.411764705882353</v>
      </c>
      <c r="R3734" s="7">
        <f t="shared" si="4005"/>
        <v>32.75</v>
      </c>
      <c r="S3734" t="str">
        <f t="shared" si="4006"/>
        <v>theater</v>
      </c>
      <c r="T3734" t="str">
        <f t="shared" si="4007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ref="K3735:L3735" si="4027">(J3735/60/60/24)+DATE(1970,1,1)</f>
        <v>42103.024398148147</v>
      </c>
      <c r="L3735" s="11">
        <f t="shared" si="4003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4004"/>
        <v>0</v>
      </c>
      <c r="R3735" s="7">
        <f t="shared" si="4005"/>
        <v>0</v>
      </c>
      <c r="S3735" t="str">
        <f t="shared" si="4006"/>
        <v>theater</v>
      </c>
      <c r="T3735" t="str">
        <f t="shared" si="4007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ref="K3736:L3736" si="4028">(J3736/60/60/24)+DATE(1970,1,1)</f>
        <v>42089.901574074072</v>
      </c>
      <c r="L3736" s="11">
        <f t="shared" si="400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4004"/>
        <v>28.466666666666669</v>
      </c>
      <c r="R3736" s="7">
        <f t="shared" si="4005"/>
        <v>61</v>
      </c>
      <c r="S3736" t="str">
        <f t="shared" si="4006"/>
        <v>theater</v>
      </c>
      <c r="T3736" t="str">
        <f t="shared" si="4007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ref="K3737:L3737" si="4029">(J3737/60/60/24)+DATE(1970,1,1)</f>
        <v>42122.693159722221</v>
      </c>
      <c r="L3737" s="11">
        <f t="shared" si="400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4004"/>
        <v>13.333333333333334</v>
      </c>
      <c r="R3737" s="7">
        <f t="shared" si="4005"/>
        <v>10</v>
      </c>
      <c r="S3737" t="str">
        <f t="shared" si="4006"/>
        <v>theater</v>
      </c>
      <c r="T3737" t="str">
        <f t="shared" si="4007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ref="K3738:L3738" si="4030">(J3738/60/60/24)+DATE(1970,1,1)</f>
        <v>42048.711724537032</v>
      </c>
      <c r="L3738" s="11">
        <f t="shared" si="4003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4004"/>
        <v>0.66666666666666674</v>
      </c>
      <c r="R3738" s="7">
        <f t="shared" si="4005"/>
        <v>10</v>
      </c>
      <c r="S3738" t="str">
        <f t="shared" si="4006"/>
        <v>theater</v>
      </c>
      <c r="T3738" t="str">
        <f t="shared" si="4007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ref="K3739:L3739" si="4031">(J3739/60/60/24)+DATE(1970,1,1)</f>
        <v>42297.691006944442</v>
      </c>
      <c r="L3739" s="11">
        <f t="shared" si="400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4004"/>
        <v>21.428571428571427</v>
      </c>
      <c r="R3739" s="7">
        <f t="shared" si="4005"/>
        <v>37.5</v>
      </c>
      <c r="S3739" t="str">
        <f t="shared" si="4006"/>
        <v>theater</v>
      </c>
      <c r="T3739" t="str">
        <f t="shared" si="4007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ref="K3740:L3740" si="4032">(J3740/60/60/24)+DATE(1970,1,1)</f>
        <v>41813.938715277778</v>
      </c>
      <c r="L3740" s="11">
        <f t="shared" si="400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4004"/>
        <v>18</v>
      </c>
      <c r="R3740" s="7">
        <f t="shared" si="4005"/>
        <v>45</v>
      </c>
      <c r="S3740" t="str">
        <f t="shared" si="4006"/>
        <v>theater</v>
      </c>
      <c r="T3740" t="str">
        <f t="shared" si="4007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ref="K3741:L3741" si="4033">(J3741/60/60/24)+DATE(1970,1,1)</f>
        <v>42548.449861111112</v>
      </c>
      <c r="L3741" s="11">
        <f t="shared" si="400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4004"/>
        <v>20.125</v>
      </c>
      <c r="R3741" s="7">
        <f t="shared" si="4005"/>
        <v>100.625</v>
      </c>
      <c r="S3741" t="str">
        <f t="shared" si="4006"/>
        <v>theater</v>
      </c>
      <c r="T3741" t="str">
        <f t="shared" si="4007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ref="K3742:L3742" si="4034">(J3742/60/60/24)+DATE(1970,1,1)</f>
        <v>41833.089756944442</v>
      </c>
      <c r="L3742" s="11">
        <f t="shared" si="400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4004"/>
        <v>17.899999999999999</v>
      </c>
      <c r="R3742" s="7">
        <f t="shared" si="4005"/>
        <v>25.571428571428573</v>
      </c>
      <c r="S3742" t="str">
        <f t="shared" si="4006"/>
        <v>theater</v>
      </c>
      <c r="T3742" t="str">
        <f t="shared" si="4007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ref="K3743:L3743" si="4035">(J3743/60/60/24)+DATE(1970,1,1)</f>
        <v>42325.920717592591</v>
      </c>
      <c r="L3743" s="11">
        <f t="shared" si="400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4004"/>
        <v>0</v>
      </c>
      <c r="R3743" s="7">
        <f t="shared" si="4005"/>
        <v>0</v>
      </c>
      <c r="S3743" t="str">
        <f t="shared" si="4006"/>
        <v>theater</v>
      </c>
      <c r="T3743" t="str">
        <f t="shared" si="4007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ref="K3744:L3744" si="4036">(J3744/60/60/24)+DATE(1970,1,1)</f>
        <v>41858.214629629627</v>
      </c>
      <c r="L3744" s="11">
        <f t="shared" si="400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4004"/>
        <v>2</v>
      </c>
      <c r="R3744" s="7">
        <f t="shared" si="4005"/>
        <v>25</v>
      </c>
      <c r="S3744" t="str">
        <f t="shared" si="4006"/>
        <v>theater</v>
      </c>
      <c r="T3744" t="str">
        <f t="shared" si="4007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ref="K3745:L3745" si="4037">(J3745/60/60/24)+DATE(1970,1,1)</f>
        <v>41793.710231481484</v>
      </c>
      <c r="L3745" s="11">
        <f t="shared" si="400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4004"/>
        <v>0</v>
      </c>
      <c r="R3745" s="7">
        <f t="shared" si="4005"/>
        <v>0</v>
      </c>
      <c r="S3745" t="str">
        <f t="shared" si="4006"/>
        <v>theater</v>
      </c>
      <c r="T3745" t="str">
        <f t="shared" si="4007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ref="K3746:L3746" si="4038">(J3746/60/60/24)+DATE(1970,1,1)</f>
        <v>41793.814259259263</v>
      </c>
      <c r="L3746" s="11">
        <f t="shared" si="400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4004"/>
        <v>0</v>
      </c>
      <c r="R3746" s="7">
        <f t="shared" si="4005"/>
        <v>0</v>
      </c>
      <c r="S3746" t="str">
        <f t="shared" si="4006"/>
        <v>theater</v>
      </c>
      <c r="T3746" t="str">
        <f t="shared" si="4007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ref="K3747:L3747" si="4039">(J3747/60/60/24)+DATE(1970,1,1)</f>
        <v>41831.697939814818</v>
      </c>
      <c r="L3747" s="11">
        <f t="shared" si="400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4004"/>
        <v>10</v>
      </c>
      <c r="R3747" s="7">
        <f t="shared" si="4005"/>
        <v>10</v>
      </c>
      <c r="S3747" t="str">
        <f t="shared" si="4006"/>
        <v>theater</v>
      </c>
      <c r="T3747" t="str">
        <f t="shared" si="4007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ref="K3748:L3748" si="4040">(J3748/60/60/24)+DATE(1970,1,1)</f>
        <v>42621.389340277776</v>
      </c>
      <c r="L3748" s="11">
        <f t="shared" si="400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4004"/>
        <v>2.3764705882352941</v>
      </c>
      <c r="R3748" s="7">
        <f t="shared" si="4005"/>
        <v>202</v>
      </c>
      <c r="S3748" t="str">
        <f t="shared" si="4006"/>
        <v>theater</v>
      </c>
      <c r="T3748" t="str">
        <f t="shared" si="4007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ref="K3749:L3749" si="4041">(J3749/60/60/24)+DATE(1970,1,1)</f>
        <v>42164.299722222218</v>
      </c>
      <c r="L3749" s="11">
        <f t="shared" si="400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4004"/>
        <v>1</v>
      </c>
      <c r="R3749" s="7">
        <f t="shared" si="4005"/>
        <v>25</v>
      </c>
      <c r="S3749" t="str">
        <f t="shared" si="4006"/>
        <v>theater</v>
      </c>
      <c r="T3749" t="str">
        <f t="shared" si="4007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ref="K3750:L3750" si="4042">(J3750/60/60/24)+DATE(1970,1,1)</f>
        <v>42395.706435185188</v>
      </c>
      <c r="L3750" s="11">
        <f t="shared" si="400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4004"/>
        <v>103.52</v>
      </c>
      <c r="R3750" s="7">
        <f t="shared" si="4005"/>
        <v>99.538461538461533</v>
      </c>
      <c r="S3750" t="str">
        <f t="shared" si="4006"/>
        <v>theater</v>
      </c>
      <c r="T3750" t="str">
        <f t="shared" si="4007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ref="K3751:L3751" si="4043">(J3751/60/60/24)+DATE(1970,1,1)</f>
        <v>42458.127175925925</v>
      </c>
      <c r="L3751" s="11">
        <f t="shared" si="400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4004"/>
        <v>105</v>
      </c>
      <c r="R3751" s="7">
        <f t="shared" si="4005"/>
        <v>75</v>
      </c>
      <c r="S3751" t="str">
        <f t="shared" si="4006"/>
        <v>theater</v>
      </c>
      <c r="T3751" t="str">
        <f t="shared" si="4007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ref="K3752:L3752" si="4044">(J3752/60/60/24)+DATE(1970,1,1)</f>
        <v>42016.981574074074</v>
      </c>
      <c r="L3752" s="11">
        <f t="shared" si="400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4004"/>
        <v>100.44999999999999</v>
      </c>
      <c r="R3752" s="7">
        <f t="shared" si="4005"/>
        <v>215.25</v>
      </c>
      <c r="S3752" t="str">
        <f t="shared" si="4006"/>
        <v>theater</v>
      </c>
      <c r="T3752" t="str">
        <f t="shared" si="4007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ref="K3753:L3753" si="4045">(J3753/60/60/24)+DATE(1970,1,1)</f>
        <v>42403.035567129627</v>
      </c>
      <c r="L3753" s="11">
        <f t="shared" si="400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4004"/>
        <v>132.6</v>
      </c>
      <c r="R3753" s="7">
        <f t="shared" si="4005"/>
        <v>120.54545454545455</v>
      </c>
      <c r="S3753" t="str">
        <f t="shared" si="4006"/>
        <v>theater</v>
      </c>
      <c r="T3753" t="str">
        <f t="shared" si="4007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ref="K3754:L3754" si="4046">(J3754/60/60/24)+DATE(1970,1,1)</f>
        <v>42619.802488425921</v>
      </c>
      <c r="L3754" s="11">
        <f t="shared" si="4003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4004"/>
        <v>112.99999999999999</v>
      </c>
      <c r="R3754" s="7">
        <f t="shared" si="4005"/>
        <v>37.666666666666664</v>
      </c>
      <c r="S3754" t="str">
        <f t="shared" si="4006"/>
        <v>theater</v>
      </c>
      <c r="T3754" t="str">
        <f t="shared" si="4007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ref="K3755:L3755" si="4047">(J3755/60/60/24)+DATE(1970,1,1)</f>
        <v>42128.824074074073</v>
      </c>
      <c r="L3755" s="11">
        <f t="shared" si="4003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4004"/>
        <v>103.34</v>
      </c>
      <c r="R3755" s="7">
        <f t="shared" si="4005"/>
        <v>172.23333333333332</v>
      </c>
      <c r="S3755" t="str">
        <f t="shared" si="4006"/>
        <v>theater</v>
      </c>
      <c r="T3755" t="str">
        <f t="shared" si="4007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ref="K3756:L3756" si="4048">(J3756/60/60/24)+DATE(1970,1,1)</f>
        <v>41808.881215277775</v>
      </c>
      <c r="L3756" s="11">
        <f t="shared" si="400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4004"/>
        <v>120</v>
      </c>
      <c r="R3756" s="7">
        <f t="shared" si="4005"/>
        <v>111.11111111111111</v>
      </c>
      <c r="S3756" t="str">
        <f t="shared" si="4006"/>
        <v>theater</v>
      </c>
      <c r="T3756" t="str">
        <f t="shared" si="4007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ref="K3757:L3757" si="4049">(J3757/60/60/24)+DATE(1970,1,1)</f>
        <v>42445.866979166662</v>
      </c>
      <c r="L3757" s="11">
        <f t="shared" si="400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4004"/>
        <v>129.63636363636363</v>
      </c>
      <c r="R3757" s="7">
        <f t="shared" si="4005"/>
        <v>25.464285714285715</v>
      </c>
      <c r="S3757" t="str">
        <f t="shared" si="4006"/>
        <v>theater</v>
      </c>
      <c r="T3757" t="str">
        <f t="shared" si="4007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ref="K3758:L3758" si="4050">(J3758/60/60/24)+DATE(1970,1,1)</f>
        <v>41771.814791666664</v>
      </c>
      <c r="L3758" s="11">
        <f t="shared" si="400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4004"/>
        <v>101.11111111111111</v>
      </c>
      <c r="R3758" s="7">
        <f t="shared" si="4005"/>
        <v>267.64705882352939</v>
      </c>
      <c r="S3758" t="str">
        <f t="shared" si="4006"/>
        <v>theater</v>
      </c>
      <c r="T3758" t="str">
        <f t="shared" si="4007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ref="K3759:L3759" si="4051">(J3759/60/60/24)+DATE(1970,1,1)</f>
        <v>41954.850868055553</v>
      </c>
      <c r="L3759" s="11">
        <f t="shared" si="400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4004"/>
        <v>108.51428571428572</v>
      </c>
      <c r="R3759" s="7">
        <f t="shared" si="4005"/>
        <v>75.959999999999994</v>
      </c>
      <c r="S3759" t="str">
        <f t="shared" si="4006"/>
        <v>theater</v>
      </c>
      <c r="T3759" t="str">
        <f t="shared" si="4007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ref="K3760:L3760" si="4052">(J3760/60/60/24)+DATE(1970,1,1)</f>
        <v>41747.471504629626</v>
      </c>
      <c r="L3760" s="11">
        <f t="shared" si="400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4004"/>
        <v>102.33333333333334</v>
      </c>
      <c r="R3760" s="7">
        <f t="shared" si="4005"/>
        <v>59.03846153846154</v>
      </c>
      <c r="S3760" t="str">
        <f t="shared" si="4006"/>
        <v>theater</v>
      </c>
      <c r="T3760" t="str">
        <f t="shared" si="4007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ref="K3761:L3761" si="4053">(J3761/60/60/24)+DATE(1970,1,1)</f>
        <v>42182.108252314814</v>
      </c>
      <c r="L3761" s="11">
        <f t="shared" si="400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4004"/>
        <v>110.24425000000002</v>
      </c>
      <c r="R3761" s="7">
        <f t="shared" si="4005"/>
        <v>50.111022727272733</v>
      </c>
      <c r="S3761" t="str">
        <f t="shared" si="4006"/>
        <v>theater</v>
      </c>
      <c r="T3761" t="str">
        <f t="shared" si="4007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ref="K3762:L3762" si="4054">(J3762/60/60/24)+DATE(1970,1,1)</f>
        <v>41739.525300925925</v>
      </c>
      <c r="L3762" s="11">
        <f t="shared" si="400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4004"/>
        <v>101.0154</v>
      </c>
      <c r="R3762" s="7">
        <f t="shared" si="4005"/>
        <v>55.502967032967035</v>
      </c>
      <c r="S3762" t="str">
        <f t="shared" si="4006"/>
        <v>theater</v>
      </c>
      <c r="T3762" t="str">
        <f t="shared" si="4007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ref="K3763:L3763" si="4055">(J3763/60/60/24)+DATE(1970,1,1)</f>
        <v>42173.466863425929</v>
      </c>
      <c r="L3763" s="11">
        <f t="shared" si="400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4004"/>
        <v>100</v>
      </c>
      <c r="R3763" s="7">
        <f t="shared" si="4005"/>
        <v>166.66666666666666</v>
      </c>
      <c r="S3763" t="str">
        <f t="shared" si="4006"/>
        <v>theater</v>
      </c>
      <c r="T3763" t="str">
        <f t="shared" si="4007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ref="K3764:L3764" si="4056">(J3764/60/60/24)+DATE(1970,1,1)</f>
        <v>42193.813530092593</v>
      </c>
      <c r="L3764" s="11">
        <f t="shared" si="400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4004"/>
        <v>106.24</v>
      </c>
      <c r="R3764" s="7">
        <f t="shared" si="4005"/>
        <v>47.428571428571431</v>
      </c>
      <c r="S3764" t="str">
        <f t="shared" si="4006"/>
        <v>theater</v>
      </c>
      <c r="T3764" t="str">
        <f t="shared" si="4007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ref="K3765:L3765" si="4057">(J3765/60/60/24)+DATE(1970,1,1)</f>
        <v>42065.750300925924</v>
      </c>
      <c r="L3765" s="11">
        <f t="shared" si="400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4004"/>
        <v>100</v>
      </c>
      <c r="R3765" s="7">
        <f t="shared" si="4005"/>
        <v>64.935064935064929</v>
      </c>
      <c r="S3765" t="str">
        <f t="shared" si="4006"/>
        <v>theater</v>
      </c>
      <c r="T3765" t="str">
        <f t="shared" si="4007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ref="K3766:L3766" si="4058">(J3766/60/60/24)+DATE(1970,1,1)</f>
        <v>42499.842962962968</v>
      </c>
      <c r="L3766" s="11">
        <f t="shared" si="400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4004"/>
        <v>100</v>
      </c>
      <c r="R3766" s="7">
        <f t="shared" si="4005"/>
        <v>55.555555555555557</v>
      </c>
      <c r="S3766" t="str">
        <f t="shared" si="4006"/>
        <v>theater</v>
      </c>
      <c r="T3766" t="str">
        <f t="shared" si="4007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ref="K3767:L3767" si="4059">(J3767/60/60/24)+DATE(1970,1,1)</f>
        <v>41820.776412037041</v>
      </c>
      <c r="L3767" s="11">
        <f t="shared" si="400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4004"/>
        <v>113.45714285714286</v>
      </c>
      <c r="R3767" s="7">
        <f t="shared" si="4005"/>
        <v>74.224299065420567</v>
      </c>
      <c r="S3767" t="str">
        <f t="shared" si="4006"/>
        <v>theater</v>
      </c>
      <c r="T3767" t="str">
        <f t="shared" si="4007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ref="K3768:L3768" si="4060">(J3768/60/60/24)+DATE(1970,1,1)</f>
        <v>41788.167187500003</v>
      </c>
      <c r="L3768" s="11">
        <f t="shared" si="400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4004"/>
        <v>102.65010000000001</v>
      </c>
      <c r="R3768" s="7">
        <f t="shared" si="4005"/>
        <v>106.9271875</v>
      </c>
      <c r="S3768" t="str">
        <f t="shared" si="4006"/>
        <v>theater</v>
      </c>
      <c r="T3768" t="str">
        <f t="shared" si="4007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ref="K3769:L3769" si="4061">(J3769/60/60/24)+DATE(1970,1,1)</f>
        <v>42050.019641203704</v>
      </c>
      <c r="L3769" s="11">
        <f t="shared" si="400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4004"/>
        <v>116.75</v>
      </c>
      <c r="R3769" s="7">
        <f t="shared" si="4005"/>
        <v>41.696428571428569</v>
      </c>
      <c r="S3769" t="str">
        <f t="shared" si="4006"/>
        <v>theater</v>
      </c>
      <c r="T3769" t="str">
        <f t="shared" si="4007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ref="K3770:L3770" si="4062">(J3770/60/60/24)+DATE(1970,1,1)</f>
        <v>41772.727893518517</v>
      </c>
      <c r="L3770" s="11">
        <f t="shared" si="400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4004"/>
        <v>107.65274999999998</v>
      </c>
      <c r="R3770" s="7">
        <f t="shared" si="4005"/>
        <v>74.243275862068955</v>
      </c>
      <c r="S3770" t="str">
        <f t="shared" si="4006"/>
        <v>theater</v>
      </c>
      <c r="T3770" t="str">
        <f t="shared" si="4007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ref="K3771:L3771" si="4063">(J3771/60/60/24)+DATE(1970,1,1)</f>
        <v>42445.598136574074</v>
      </c>
      <c r="L3771" s="11">
        <f t="shared" si="400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4004"/>
        <v>100</v>
      </c>
      <c r="R3771" s="7">
        <f t="shared" si="4005"/>
        <v>73.333333333333329</v>
      </c>
      <c r="S3771" t="str">
        <f t="shared" si="4006"/>
        <v>theater</v>
      </c>
      <c r="T3771" t="str">
        <f t="shared" si="4007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ref="K3772:L3772" si="4064">(J3772/60/60/24)+DATE(1970,1,1)</f>
        <v>42138.930671296301</v>
      </c>
      <c r="L3772" s="11">
        <f t="shared" si="400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4004"/>
        <v>100</v>
      </c>
      <c r="R3772" s="7">
        <f t="shared" si="4005"/>
        <v>100</v>
      </c>
      <c r="S3772" t="str">
        <f t="shared" si="4006"/>
        <v>theater</v>
      </c>
      <c r="T3772" t="str">
        <f t="shared" si="4007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ref="K3773:L3773" si="4065">(J3773/60/60/24)+DATE(1970,1,1)</f>
        <v>42493.857083333336</v>
      </c>
      <c r="L3773" s="11">
        <f t="shared" si="4003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4004"/>
        <v>146</v>
      </c>
      <c r="R3773" s="7">
        <f t="shared" si="4005"/>
        <v>38.421052631578945</v>
      </c>
      <c r="S3773" t="str">
        <f t="shared" si="4006"/>
        <v>theater</v>
      </c>
      <c r="T3773" t="str">
        <f t="shared" si="4007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ref="K3774:L3774" si="4066">(J3774/60/60/24)+DATE(1970,1,1)</f>
        <v>42682.616967592592</v>
      </c>
      <c r="L3774" s="11">
        <f t="shared" si="4003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4004"/>
        <v>110.2</v>
      </c>
      <c r="R3774" s="7">
        <f t="shared" si="4005"/>
        <v>166.96969696969697</v>
      </c>
      <c r="S3774" t="str">
        <f t="shared" si="4006"/>
        <v>theater</v>
      </c>
      <c r="T3774" t="str">
        <f t="shared" si="4007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ref="K3775:L3775" si="4067">(J3775/60/60/24)+DATE(1970,1,1)</f>
        <v>42656.005173611105</v>
      </c>
      <c r="L3775" s="11">
        <f t="shared" si="400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4004"/>
        <v>108.2</v>
      </c>
      <c r="R3775" s="7">
        <f t="shared" si="4005"/>
        <v>94.912280701754383</v>
      </c>
      <c r="S3775" t="str">
        <f t="shared" si="4006"/>
        <v>theater</v>
      </c>
      <c r="T3775" t="str">
        <f t="shared" si="4007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ref="K3776:L3776" si="4068">(J3776/60/60/24)+DATE(1970,1,1)</f>
        <v>42087.792303240742</v>
      </c>
      <c r="L3776" s="11">
        <f t="shared" si="400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4004"/>
        <v>100</v>
      </c>
      <c r="R3776" s="7">
        <f t="shared" si="4005"/>
        <v>100</v>
      </c>
      <c r="S3776" t="str">
        <f t="shared" si="4006"/>
        <v>theater</v>
      </c>
      <c r="T3776" t="str">
        <f t="shared" si="4007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ref="K3777:L3777" si="4069">(J3777/60/60/24)+DATE(1970,1,1)</f>
        <v>42075.942627314813</v>
      </c>
      <c r="L3777" s="11">
        <f t="shared" si="400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4004"/>
        <v>100.25</v>
      </c>
      <c r="R3777" s="7">
        <f t="shared" si="4005"/>
        <v>143.21428571428572</v>
      </c>
      <c r="S3777" t="str">
        <f t="shared" si="4006"/>
        <v>theater</v>
      </c>
      <c r="T3777" t="str">
        <f t="shared" si="4007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ref="K3778:L3778" si="4070">(J3778/60/60/24)+DATE(1970,1,1)</f>
        <v>41814.367800925924</v>
      </c>
      <c r="L3778" s="11">
        <f t="shared" si="400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4004"/>
        <v>106.71250000000001</v>
      </c>
      <c r="R3778" s="7">
        <f t="shared" si="4005"/>
        <v>90.819148936170208</v>
      </c>
      <c r="S3778" t="str">
        <f t="shared" si="4006"/>
        <v>theater</v>
      </c>
      <c r="T3778" t="str">
        <f t="shared" si="4007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ref="K3779:L3779" si="4071">(J3779/60/60/24)+DATE(1970,1,1)</f>
        <v>41887.111354166671</v>
      </c>
      <c r="L3779" s="11">
        <f t="shared" ref="L3779:L3842" si="4072">(I3779/60/60/24)+DATE(1970,1,1)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4073">(E3779/D3779)*100</f>
        <v>143.19999999999999</v>
      </c>
      <c r="R3779" s="7">
        <f t="shared" ref="R3779:R3842" si="4074">IFERROR(E3779/N3779, 0)</f>
        <v>48.542372881355931</v>
      </c>
      <c r="S3779" t="str">
        <f t="shared" ref="S3779:S3842" si="4075">LEFT(P3779, SEARCH("/", P3779,1)-1)</f>
        <v>theater</v>
      </c>
      <c r="T3779" t="str">
        <f t="shared" ref="T3779:T3842" si="4076">RIGHT(P3779,LEN(P3779)-SEARCH("/",P3779,SEARCH("/",P3779)))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ref="K3780:L3780" si="4077">(J3780/60/60/24)+DATE(1970,1,1)</f>
        <v>41989.819212962961</v>
      </c>
      <c r="L3780" s="11">
        <f t="shared" si="4072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4073"/>
        <v>105.04166666666667</v>
      </c>
      <c r="R3780" s="7">
        <f t="shared" si="4074"/>
        <v>70.027777777777771</v>
      </c>
      <c r="S3780" t="str">
        <f t="shared" si="4075"/>
        <v>theater</v>
      </c>
      <c r="T3780" t="str">
        <f t="shared" si="4076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ref="K3781:L3781" si="4078">(J3781/60/60/24)+DATE(1970,1,1)</f>
        <v>42425.735416666663</v>
      </c>
      <c r="L3781" s="11">
        <f t="shared" si="4072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4073"/>
        <v>103.98</v>
      </c>
      <c r="R3781" s="7">
        <f t="shared" si="4074"/>
        <v>135.62608695652173</v>
      </c>
      <c r="S3781" t="str">
        <f t="shared" si="4075"/>
        <v>theater</v>
      </c>
      <c r="T3781" t="str">
        <f t="shared" si="4076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ref="K3782:L3782" si="4079">(J3782/60/60/24)+DATE(1970,1,1)</f>
        <v>42166.219733796301</v>
      </c>
      <c r="L3782" s="11">
        <f t="shared" si="4072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4073"/>
        <v>120</v>
      </c>
      <c r="R3782" s="7">
        <f t="shared" si="4074"/>
        <v>100</v>
      </c>
      <c r="S3782" t="str">
        <f t="shared" si="4075"/>
        <v>theater</v>
      </c>
      <c r="T3782" t="str">
        <f t="shared" si="4076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ref="K3783:L3783" si="4080">(J3783/60/60/24)+DATE(1970,1,1)</f>
        <v>41865.882928240739</v>
      </c>
      <c r="L3783" s="11">
        <f t="shared" si="4072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4073"/>
        <v>109.66666666666667</v>
      </c>
      <c r="R3783" s="7">
        <f t="shared" si="4074"/>
        <v>94.90384615384616</v>
      </c>
      <c r="S3783" t="str">
        <f t="shared" si="4075"/>
        <v>theater</v>
      </c>
      <c r="T3783" t="str">
        <f t="shared" si="4076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ref="K3784:L3784" si="4081">(J3784/60/60/24)+DATE(1970,1,1)</f>
        <v>42546.862233796302</v>
      </c>
      <c r="L3784" s="11">
        <f t="shared" si="4072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4073"/>
        <v>101.75</v>
      </c>
      <c r="R3784" s="7">
        <f t="shared" si="4074"/>
        <v>75.370370370370367</v>
      </c>
      <c r="S3784" t="str">
        <f t="shared" si="4075"/>
        <v>theater</v>
      </c>
      <c r="T3784" t="str">
        <f t="shared" si="4076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ref="K3785:L3785" si="4082">(J3785/60/60/24)+DATE(1970,1,1)</f>
        <v>42420.140277777777</v>
      </c>
      <c r="L3785" s="11">
        <f t="shared" si="4072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4073"/>
        <v>128.91666666666666</v>
      </c>
      <c r="R3785" s="7">
        <f t="shared" si="4074"/>
        <v>64.458333333333329</v>
      </c>
      <c r="S3785" t="str">
        <f t="shared" si="4075"/>
        <v>theater</v>
      </c>
      <c r="T3785" t="str">
        <f t="shared" si="4076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ref="K3786:L3786" si="4083">(J3786/60/60/24)+DATE(1970,1,1)</f>
        <v>42531.980694444443</v>
      </c>
      <c r="L3786" s="11">
        <f t="shared" si="4072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4073"/>
        <v>114.99999999999999</v>
      </c>
      <c r="R3786" s="7">
        <f t="shared" si="4074"/>
        <v>115</v>
      </c>
      <c r="S3786" t="str">
        <f t="shared" si="4075"/>
        <v>theater</v>
      </c>
      <c r="T3786" t="str">
        <f t="shared" si="4076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ref="K3787:L3787" si="4084">(J3787/60/60/24)+DATE(1970,1,1)</f>
        <v>42548.63853009259</v>
      </c>
      <c r="L3787" s="11">
        <f t="shared" si="4072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4073"/>
        <v>150.75</v>
      </c>
      <c r="R3787" s="7">
        <f t="shared" si="4074"/>
        <v>100.5</v>
      </c>
      <c r="S3787" t="str">
        <f t="shared" si="4075"/>
        <v>theater</v>
      </c>
      <c r="T3787" t="str">
        <f t="shared" si="4076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ref="K3788:L3788" si="4085">(J3788/60/60/24)+DATE(1970,1,1)</f>
        <v>42487.037905092591</v>
      </c>
      <c r="L3788" s="11">
        <f t="shared" si="4072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4073"/>
        <v>110.96666666666665</v>
      </c>
      <c r="R3788" s="7">
        <f t="shared" si="4074"/>
        <v>93.774647887323937</v>
      </c>
      <c r="S3788" t="str">
        <f t="shared" si="4075"/>
        <v>theater</v>
      </c>
      <c r="T3788" t="str">
        <f t="shared" si="4076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ref="K3789:L3789" si="4086">(J3789/60/60/24)+DATE(1970,1,1)</f>
        <v>42167.534791666665</v>
      </c>
      <c r="L3789" s="11">
        <f t="shared" si="4072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4073"/>
        <v>100.28571428571429</v>
      </c>
      <c r="R3789" s="7">
        <f t="shared" si="4074"/>
        <v>35.1</v>
      </c>
      <c r="S3789" t="str">
        <f t="shared" si="4075"/>
        <v>theater</v>
      </c>
      <c r="T3789" t="str">
        <f t="shared" si="4076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ref="K3790:L3790" si="4087">(J3790/60/60/24)+DATE(1970,1,1)</f>
        <v>42333.695821759262</v>
      </c>
      <c r="L3790" s="11">
        <f t="shared" si="4072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4073"/>
        <v>0.66666666666666674</v>
      </c>
      <c r="R3790" s="7">
        <f t="shared" si="4074"/>
        <v>500</v>
      </c>
      <c r="S3790" t="str">
        <f t="shared" si="4075"/>
        <v>theater</v>
      </c>
      <c r="T3790" t="str">
        <f t="shared" si="4076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ref="K3791:L3791" si="4088">(J3791/60/60/24)+DATE(1970,1,1)</f>
        <v>42138.798819444448</v>
      </c>
      <c r="L3791" s="11">
        <f t="shared" si="4072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4073"/>
        <v>3.267605633802817</v>
      </c>
      <c r="R3791" s="7">
        <f t="shared" si="4074"/>
        <v>29</v>
      </c>
      <c r="S3791" t="str">
        <f t="shared" si="4075"/>
        <v>theater</v>
      </c>
      <c r="T3791" t="str">
        <f t="shared" si="4076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ref="K3792:L3792" si="4089">(J3792/60/60/24)+DATE(1970,1,1)</f>
        <v>42666.666932870372</v>
      </c>
      <c r="L3792" s="11">
        <f t="shared" si="4072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4073"/>
        <v>0</v>
      </c>
      <c r="R3792" s="7">
        <f t="shared" si="4074"/>
        <v>0</v>
      </c>
      <c r="S3792" t="str">
        <f t="shared" si="4075"/>
        <v>theater</v>
      </c>
      <c r="T3792" t="str">
        <f t="shared" si="4076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ref="K3793:L3793" si="4090">(J3793/60/60/24)+DATE(1970,1,1)</f>
        <v>41766.692037037035</v>
      </c>
      <c r="L3793" s="11">
        <f t="shared" si="4072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4073"/>
        <v>0</v>
      </c>
      <c r="R3793" s="7">
        <f t="shared" si="4074"/>
        <v>0</v>
      </c>
      <c r="S3793" t="str">
        <f t="shared" si="4075"/>
        <v>theater</v>
      </c>
      <c r="T3793" t="str">
        <f t="shared" si="4076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ref="K3794:L3794" si="4091">(J3794/60/60/24)+DATE(1970,1,1)</f>
        <v>42170.447013888886</v>
      </c>
      <c r="L3794" s="11">
        <f t="shared" si="4072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4073"/>
        <v>0.27999999999999997</v>
      </c>
      <c r="R3794" s="7">
        <f t="shared" si="4074"/>
        <v>17.5</v>
      </c>
      <c r="S3794" t="str">
        <f t="shared" si="4075"/>
        <v>theater</v>
      </c>
      <c r="T3794" t="str">
        <f t="shared" si="4076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ref="K3795:L3795" si="4092">(J3795/60/60/24)+DATE(1970,1,1)</f>
        <v>41968.938993055555</v>
      </c>
      <c r="L3795" s="11">
        <f t="shared" si="4072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4073"/>
        <v>59.657142857142851</v>
      </c>
      <c r="R3795" s="7">
        <f t="shared" si="4074"/>
        <v>174</v>
      </c>
      <c r="S3795" t="str">
        <f t="shared" si="4075"/>
        <v>theater</v>
      </c>
      <c r="T3795" t="str">
        <f t="shared" si="4076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ref="K3796:L3796" si="4093">(J3796/60/60/24)+DATE(1970,1,1)</f>
        <v>42132.58048611111</v>
      </c>
      <c r="L3796" s="11">
        <f t="shared" si="4072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4073"/>
        <v>1</v>
      </c>
      <c r="R3796" s="7">
        <f t="shared" si="4074"/>
        <v>50</v>
      </c>
      <c r="S3796" t="str">
        <f t="shared" si="4075"/>
        <v>theater</v>
      </c>
      <c r="T3796" t="str">
        <f t="shared" si="4076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ref="K3797:L3797" si="4094">(J3797/60/60/24)+DATE(1970,1,1)</f>
        <v>42201.436226851853</v>
      </c>
      <c r="L3797" s="11">
        <f t="shared" si="4072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4073"/>
        <v>1.6666666666666667</v>
      </c>
      <c r="R3797" s="7">
        <f t="shared" si="4074"/>
        <v>5</v>
      </c>
      <c r="S3797" t="str">
        <f t="shared" si="4075"/>
        <v>theater</v>
      </c>
      <c r="T3797" t="str">
        <f t="shared" si="4076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ref="K3798:L3798" si="4095">(J3798/60/60/24)+DATE(1970,1,1)</f>
        <v>42689.029583333337</v>
      </c>
      <c r="L3798" s="11">
        <f t="shared" si="4072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4073"/>
        <v>4.4444444444444444E-3</v>
      </c>
      <c r="R3798" s="7">
        <f t="shared" si="4074"/>
        <v>1</v>
      </c>
      <c r="S3798" t="str">
        <f t="shared" si="4075"/>
        <v>theater</v>
      </c>
      <c r="T3798" t="str">
        <f t="shared" si="4076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ref="K3799:L3799" si="4096">(J3799/60/60/24)+DATE(1970,1,1)</f>
        <v>42084.881539351853</v>
      </c>
      <c r="L3799" s="11">
        <f t="shared" si="4072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4073"/>
        <v>89.666666666666657</v>
      </c>
      <c r="R3799" s="7">
        <f t="shared" si="4074"/>
        <v>145.40540540540542</v>
      </c>
      <c r="S3799" t="str">
        <f t="shared" si="4075"/>
        <v>theater</v>
      </c>
      <c r="T3799" t="str">
        <f t="shared" si="4076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ref="K3800:L3800" si="4097">(J3800/60/60/24)+DATE(1970,1,1)</f>
        <v>41831.722777777781</v>
      </c>
      <c r="L3800" s="11">
        <f t="shared" si="4072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4073"/>
        <v>1.4642857142857144</v>
      </c>
      <c r="R3800" s="7">
        <f t="shared" si="4074"/>
        <v>205</v>
      </c>
      <c r="S3800" t="str">
        <f t="shared" si="4075"/>
        <v>theater</v>
      </c>
      <c r="T3800" t="str">
        <f t="shared" si="4076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ref="K3801:L3801" si="4098">(J3801/60/60/24)+DATE(1970,1,1)</f>
        <v>42410.93105324074</v>
      </c>
      <c r="L3801" s="11">
        <f t="shared" si="4072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4073"/>
        <v>4.0199999999999996</v>
      </c>
      <c r="R3801" s="7">
        <f t="shared" si="4074"/>
        <v>100.5</v>
      </c>
      <c r="S3801" t="str">
        <f t="shared" si="4075"/>
        <v>theater</v>
      </c>
      <c r="T3801" t="str">
        <f t="shared" si="4076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ref="K3802:L3802" si="4099">(J3802/60/60/24)+DATE(1970,1,1)</f>
        <v>41982.737071759257</v>
      </c>
      <c r="L3802" s="11">
        <f t="shared" si="4072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4073"/>
        <v>4.004545454545454</v>
      </c>
      <c r="R3802" s="7">
        <f t="shared" si="4074"/>
        <v>55.0625</v>
      </c>
      <c r="S3802" t="str">
        <f t="shared" si="4075"/>
        <v>theater</v>
      </c>
      <c r="T3802" t="str">
        <f t="shared" si="4076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ref="K3803:L3803" si="4100">(J3803/60/60/24)+DATE(1970,1,1)</f>
        <v>41975.676111111112</v>
      </c>
      <c r="L3803" s="11">
        <f t="shared" si="4072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4073"/>
        <v>8.52</v>
      </c>
      <c r="R3803" s="7">
        <f t="shared" si="4074"/>
        <v>47.333333333333336</v>
      </c>
      <c r="S3803" t="str">
        <f t="shared" si="4075"/>
        <v>theater</v>
      </c>
      <c r="T3803" t="str">
        <f t="shared" si="4076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ref="K3804:L3804" si="4101">(J3804/60/60/24)+DATE(1970,1,1)</f>
        <v>42269.126226851848</v>
      </c>
      <c r="L3804" s="11">
        <f t="shared" si="4072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4073"/>
        <v>0</v>
      </c>
      <c r="R3804" s="7">
        <f t="shared" si="4074"/>
        <v>0</v>
      </c>
      <c r="S3804" t="str">
        <f t="shared" si="4075"/>
        <v>theater</v>
      </c>
      <c r="T3804" t="str">
        <f t="shared" si="4076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ref="K3805:L3805" si="4102">(J3805/60/60/24)+DATE(1970,1,1)</f>
        <v>42403.971851851849</v>
      </c>
      <c r="L3805" s="11">
        <f t="shared" si="4072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4073"/>
        <v>19.650000000000002</v>
      </c>
      <c r="R3805" s="7">
        <f t="shared" si="4074"/>
        <v>58.95</v>
      </c>
      <c r="S3805" t="str">
        <f t="shared" si="4075"/>
        <v>theater</v>
      </c>
      <c r="T3805" t="str">
        <f t="shared" si="4076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ref="K3806:L3806" si="4103">(J3806/60/60/24)+DATE(1970,1,1)</f>
        <v>42527.00953703704</v>
      </c>
      <c r="L3806" s="11">
        <f t="shared" si="4072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4073"/>
        <v>0</v>
      </c>
      <c r="R3806" s="7">
        <f t="shared" si="4074"/>
        <v>0</v>
      </c>
      <c r="S3806" t="str">
        <f t="shared" si="4075"/>
        <v>theater</v>
      </c>
      <c r="T3806" t="str">
        <f t="shared" si="4076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ref="K3807:L3807" si="4104">(J3807/60/60/24)+DATE(1970,1,1)</f>
        <v>41849.887037037035</v>
      </c>
      <c r="L3807" s="11">
        <f t="shared" si="4072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4073"/>
        <v>2E-3</v>
      </c>
      <c r="R3807" s="7">
        <f t="shared" si="4074"/>
        <v>1.5</v>
      </c>
      <c r="S3807" t="str">
        <f t="shared" si="4075"/>
        <v>theater</v>
      </c>
      <c r="T3807" t="str">
        <f t="shared" si="4076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ref="K3808:L3808" si="4105">(J3808/60/60/24)+DATE(1970,1,1)</f>
        <v>41799.259039351848</v>
      </c>
      <c r="L3808" s="11">
        <f t="shared" si="4072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4073"/>
        <v>6.6666666666666666E-2</v>
      </c>
      <c r="R3808" s="7">
        <f t="shared" si="4074"/>
        <v>5</v>
      </c>
      <c r="S3808" t="str">
        <f t="shared" si="4075"/>
        <v>theater</v>
      </c>
      <c r="T3808" t="str">
        <f t="shared" si="4076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ref="K3809:L3809" si="4106">(J3809/60/60/24)+DATE(1970,1,1)</f>
        <v>42090.909016203703</v>
      </c>
      <c r="L3809" s="11">
        <f t="shared" si="4072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4073"/>
        <v>30.333333333333336</v>
      </c>
      <c r="R3809" s="7">
        <f t="shared" si="4074"/>
        <v>50.555555555555557</v>
      </c>
      <c r="S3809" t="str">
        <f t="shared" si="4075"/>
        <v>theater</v>
      </c>
      <c r="T3809" t="str">
        <f t="shared" si="4076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ref="K3810:L3810" si="4107">(J3810/60/60/24)+DATE(1970,1,1)</f>
        <v>42059.453923611116</v>
      </c>
      <c r="L3810" s="11">
        <f t="shared" si="4072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4073"/>
        <v>100</v>
      </c>
      <c r="R3810" s="7">
        <f t="shared" si="4074"/>
        <v>41.666666666666664</v>
      </c>
      <c r="S3810" t="str">
        <f t="shared" si="4075"/>
        <v>theater</v>
      </c>
      <c r="T3810" t="str">
        <f t="shared" si="4076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ref="K3811:L3811" si="4108">(J3811/60/60/24)+DATE(1970,1,1)</f>
        <v>41800.526701388888</v>
      </c>
      <c r="L3811" s="11">
        <f t="shared" si="4072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4073"/>
        <v>101.25</v>
      </c>
      <c r="R3811" s="7">
        <f t="shared" si="4074"/>
        <v>53.289473684210527</v>
      </c>
      <c r="S3811" t="str">
        <f t="shared" si="4075"/>
        <v>theater</v>
      </c>
      <c r="T3811" t="str">
        <f t="shared" si="4076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ref="K3812:L3812" si="4109">(J3812/60/60/24)+DATE(1970,1,1)</f>
        <v>42054.849050925928</v>
      </c>
      <c r="L3812" s="11">
        <f t="shared" si="4072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4073"/>
        <v>121.73333333333333</v>
      </c>
      <c r="R3812" s="7">
        <f t="shared" si="4074"/>
        <v>70.230769230769226</v>
      </c>
      <c r="S3812" t="str">
        <f t="shared" si="4075"/>
        <v>theater</v>
      </c>
      <c r="T3812" t="str">
        <f t="shared" si="4076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ref="K3813:L3813" si="4110">(J3813/60/60/24)+DATE(1970,1,1)</f>
        <v>42487.62700231481</v>
      </c>
      <c r="L3813" s="11">
        <f t="shared" si="4072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4073"/>
        <v>330</v>
      </c>
      <c r="R3813" s="7">
        <f t="shared" si="4074"/>
        <v>43.421052631578945</v>
      </c>
      <c r="S3813" t="str">
        <f t="shared" si="4075"/>
        <v>theater</v>
      </c>
      <c r="T3813" t="str">
        <f t="shared" si="4076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ref="K3814:L3814" si="4111">(J3814/60/60/24)+DATE(1970,1,1)</f>
        <v>42109.751250000001</v>
      </c>
      <c r="L3814" s="11">
        <f t="shared" si="4072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4073"/>
        <v>109.55</v>
      </c>
      <c r="R3814" s="7">
        <f t="shared" si="4074"/>
        <v>199.18181818181819</v>
      </c>
      <c r="S3814" t="str">
        <f t="shared" si="4075"/>
        <v>theater</v>
      </c>
      <c r="T3814" t="str">
        <f t="shared" si="4076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ref="K3815:L3815" si="4112">(J3815/60/60/24)+DATE(1970,1,1)</f>
        <v>42497.275706018518</v>
      </c>
      <c r="L3815" s="11">
        <f t="shared" si="4072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4073"/>
        <v>100.95190476190474</v>
      </c>
      <c r="R3815" s="7">
        <f t="shared" si="4074"/>
        <v>78.518148148148143</v>
      </c>
      <c r="S3815" t="str">
        <f t="shared" si="4075"/>
        <v>theater</v>
      </c>
      <c r="T3815" t="str">
        <f t="shared" si="4076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ref="K3816:L3816" si="4113">(J3816/60/60/24)+DATE(1970,1,1)</f>
        <v>42058.904074074075</v>
      </c>
      <c r="L3816" s="11">
        <f t="shared" si="4072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4073"/>
        <v>140.13333333333333</v>
      </c>
      <c r="R3816" s="7">
        <f t="shared" si="4074"/>
        <v>61.823529411764703</v>
      </c>
      <c r="S3816" t="str">
        <f t="shared" si="4075"/>
        <v>theater</v>
      </c>
      <c r="T3816" t="str">
        <f t="shared" si="4076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ref="K3817:L3817" si="4114">(J3817/60/60/24)+DATE(1970,1,1)</f>
        <v>42207.259918981479</v>
      </c>
      <c r="L3817" s="11">
        <f t="shared" si="4072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4073"/>
        <v>100.001</v>
      </c>
      <c r="R3817" s="7">
        <f t="shared" si="4074"/>
        <v>50.000500000000002</v>
      </c>
      <c r="S3817" t="str">
        <f t="shared" si="4075"/>
        <v>theater</v>
      </c>
      <c r="T3817" t="str">
        <f t="shared" si="4076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ref="K3818:L3818" si="4115">(J3818/60/60/24)+DATE(1970,1,1)</f>
        <v>41807.690081018518</v>
      </c>
      <c r="L3818" s="11">
        <f t="shared" si="4072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4073"/>
        <v>119.238</v>
      </c>
      <c r="R3818" s="7">
        <f t="shared" si="4074"/>
        <v>48.339729729729726</v>
      </c>
      <c r="S3818" t="str">
        <f t="shared" si="4075"/>
        <v>theater</v>
      </c>
      <c r="T3818" t="str">
        <f t="shared" si="4076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ref="K3819:L3819" si="4116">(J3819/60/60/24)+DATE(1970,1,1)</f>
        <v>42284.69694444444</v>
      </c>
      <c r="L3819" s="11">
        <f t="shared" si="4072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4073"/>
        <v>107.25</v>
      </c>
      <c r="R3819" s="7">
        <f t="shared" si="4074"/>
        <v>107.25</v>
      </c>
      <c r="S3819" t="str">
        <f t="shared" si="4075"/>
        <v>theater</v>
      </c>
      <c r="T3819" t="str">
        <f t="shared" si="4076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ref="K3820:L3820" si="4117">(J3820/60/60/24)+DATE(1970,1,1)</f>
        <v>42045.84238425926</v>
      </c>
      <c r="L3820" s="11">
        <f t="shared" si="4072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4073"/>
        <v>227.99999999999997</v>
      </c>
      <c r="R3820" s="7">
        <f t="shared" si="4074"/>
        <v>57</v>
      </c>
      <c r="S3820" t="str">
        <f t="shared" si="4075"/>
        <v>theater</v>
      </c>
      <c r="T3820" t="str">
        <f t="shared" si="4076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ref="K3821:L3821" si="4118">(J3821/60/60/24)+DATE(1970,1,1)</f>
        <v>42184.209537037037</v>
      </c>
      <c r="L3821" s="11">
        <f t="shared" si="4072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4073"/>
        <v>106.4</v>
      </c>
      <c r="R3821" s="7">
        <f t="shared" si="4074"/>
        <v>40.92307692307692</v>
      </c>
      <c r="S3821" t="str">
        <f t="shared" si="4075"/>
        <v>theater</v>
      </c>
      <c r="T3821" t="str">
        <f t="shared" si="4076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ref="K3822:L3822" si="4119">(J3822/60/60/24)+DATE(1970,1,1)</f>
        <v>42160.651817129634</v>
      </c>
      <c r="L3822" s="11">
        <f t="shared" si="4072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4073"/>
        <v>143.33333333333334</v>
      </c>
      <c r="R3822" s="7">
        <f t="shared" si="4074"/>
        <v>21.5</v>
      </c>
      <c r="S3822" t="str">
        <f t="shared" si="4075"/>
        <v>theater</v>
      </c>
      <c r="T3822" t="str">
        <f t="shared" si="4076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ref="K3823:L3823" si="4120">(J3823/60/60/24)+DATE(1970,1,1)</f>
        <v>42341.180636574078</v>
      </c>
      <c r="L3823" s="11">
        <f t="shared" si="4072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4073"/>
        <v>104.54285714285714</v>
      </c>
      <c r="R3823" s="7">
        <f t="shared" si="4074"/>
        <v>79.543478260869563</v>
      </c>
      <c r="S3823" t="str">
        <f t="shared" si="4075"/>
        <v>theater</v>
      </c>
      <c r="T3823" t="str">
        <f t="shared" si="4076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ref="K3824:L3824" si="4121">(J3824/60/60/24)+DATE(1970,1,1)</f>
        <v>42329.838159722218</v>
      </c>
      <c r="L3824" s="11">
        <f t="shared" si="4072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4073"/>
        <v>110.02000000000001</v>
      </c>
      <c r="R3824" s="7">
        <f t="shared" si="4074"/>
        <v>72.381578947368425</v>
      </c>
      <c r="S3824" t="str">
        <f t="shared" si="4075"/>
        <v>theater</v>
      </c>
      <c r="T3824" t="str">
        <f t="shared" si="4076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ref="K3825:L3825" si="4122">(J3825/60/60/24)+DATE(1970,1,1)</f>
        <v>42170.910231481481</v>
      </c>
      <c r="L3825" s="11">
        <f t="shared" si="4072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4073"/>
        <v>106</v>
      </c>
      <c r="R3825" s="7">
        <f t="shared" si="4074"/>
        <v>64.634146341463421</v>
      </c>
      <c r="S3825" t="str">
        <f t="shared" si="4075"/>
        <v>theater</v>
      </c>
      <c r="T3825" t="str">
        <f t="shared" si="4076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ref="K3826:L3826" si="4123">(J3826/60/60/24)+DATE(1970,1,1)</f>
        <v>42571.626192129625</v>
      </c>
      <c r="L3826" s="11">
        <f t="shared" si="4072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4073"/>
        <v>108</v>
      </c>
      <c r="R3826" s="7">
        <f t="shared" si="4074"/>
        <v>38.571428571428569</v>
      </c>
      <c r="S3826" t="str">
        <f t="shared" si="4075"/>
        <v>theater</v>
      </c>
      <c r="T3826" t="str">
        <f t="shared" si="4076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ref="K3827:L3827" si="4124">(J3827/60/60/24)+DATE(1970,1,1)</f>
        <v>42151.069606481484</v>
      </c>
      <c r="L3827" s="11">
        <f t="shared" si="4072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4073"/>
        <v>105.42</v>
      </c>
      <c r="R3827" s="7">
        <f t="shared" si="4074"/>
        <v>107.57142857142857</v>
      </c>
      <c r="S3827" t="str">
        <f t="shared" si="4075"/>
        <v>theater</v>
      </c>
      <c r="T3827" t="str">
        <f t="shared" si="4076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ref="K3828:L3828" si="4125">(J3828/60/60/24)+DATE(1970,1,1)</f>
        <v>42101.423541666663</v>
      </c>
      <c r="L3828" s="11">
        <f t="shared" si="4072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4073"/>
        <v>119.16666666666667</v>
      </c>
      <c r="R3828" s="7">
        <f t="shared" si="4074"/>
        <v>27.5</v>
      </c>
      <c r="S3828" t="str">
        <f t="shared" si="4075"/>
        <v>theater</v>
      </c>
      <c r="T3828" t="str">
        <f t="shared" si="4076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ref="K3829:L3829" si="4126">(J3829/60/60/24)+DATE(1970,1,1)</f>
        <v>42034.928252314814</v>
      </c>
      <c r="L3829" s="11">
        <f t="shared" si="4072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4073"/>
        <v>152.66666666666666</v>
      </c>
      <c r="R3829" s="7">
        <f t="shared" si="4074"/>
        <v>70.461538461538467</v>
      </c>
      <c r="S3829" t="str">
        <f t="shared" si="4075"/>
        <v>theater</v>
      </c>
      <c r="T3829" t="str">
        <f t="shared" si="4076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ref="K3830:L3830" si="4127">(J3830/60/60/24)+DATE(1970,1,1)</f>
        <v>41944.527627314819</v>
      </c>
      <c r="L3830" s="11">
        <f t="shared" si="4072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4073"/>
        <v>100</v>
      </c>
      <c r="R3830" s="7">
        <f t="shared" si="4074"/>
        <v>178.57142857142858</v>
      </c>
      <c r="S3830" t="str">
        <f t="shared" si="4075"/>
        <v>theater</v>
      </c>
      <c r="T3830" t="str">
        <f t="shared" si="4076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ref="K3831:L3831" si="4128">(J3831/60/60/24)+DATE(1970,1,1)</f>
        <v>42593.865405092598</v>
      </c>
      <c r="L3831" s="11">
        <f t="shared" si="4072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4073"/>
        <v>100.2</v>
      </c>
      <c r="R3831" s="7">
        <f t="shared" si="4074"/>
        <v>62.625</v>
      </c>
      <c r="S3831" t="str">
        <f t="shared" si="4075"/>
        <v>theater</v>
      </c>
      <c r="T3831" t="str">
        <f t="shared" si="4076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ref="K3832:L3832" si="4129">(J3832/60/60/24)+DATE(1970,1,1)</f>
        <v>42503.740868055553</v>
      </c>
      <c r="L3832" s="11">
        <f t="shared" si="4072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4073"/>
        <v>225</v>
      </c>
      <c r="R3832" s="7">
        <f t="shared" si="4074"/>
        <v>75</v>
      </c>
      <c r="S3832" t="str">
        <f t="shared" si="4075"/>
        <v>theater</v>
      </c>
      <c r="T3832" t="str">
        <f t="shared" si="4076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ref="K3833:L3833" si="4130">(J3833/60/60/24)+DATE(1970,1,1)</f>
        <v>41927.848900462966</v>
      </c>
      <c r="L3833" s="11">
        <f t="shared" si="4072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4073"/>
        <v>106.02199999999999</v>
      </c>
      <c r="R3833" s="7">
        <f t="shared" si="4074"/>
        <v>58.901111111111113</v>
      </c>
      <c r="S3833" t="str">
        <f t="shared" si="4075"/>
        <v>theater</v>
      </c>
      <c r="T3833" t="str">
        <f t="shared" si="4076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ref="K3834:L3834" si="4131">(J3834/60/60/24)+DATE(1970,1,1)</f>
        <v>42375.114988425921</v>
      </c>
      <c r="L3834" s="11">
        <f t="shared" si="4072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4073"/>
        <v>104.66666666666666</v>
      </c>
      <c r="R3834" s="7">
        <f t="shared" si="4074"/>
        <v>139.55555555555554</v>
      </c>
      <c r="S3834" t="str">
        <f t="shared" si="4075"/>
        <v>theater</v>
      </c>
      <c r="T3834" t="str">
        <f t="shared" si="4076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ref="K3835:L3835" si="4132">(J3835/60/60/24)+DATE(1970,1,1)</f>
        <v>41963.872361111105</v>
      </c>
      <c r="L3835" s="11">
        <f t="shared" si="4072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4073"/>
        <v>116.66666666666667</v>
      </c>
      <c r="R3835" s="7">
        <f t="shared" si="4074"/>
        <v>70</v>
      </c>
      <c r="S3835" t="str">
        <f t="shared" si="4075"/>
        <v>theater</v>
      </c>
      <c r="T3835" t="str">
        <f t="shared" si="4076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ref="K3836:L3836" si="4133">(J3836/60/60/24)+DATE(1970,1,1)</f>
        <v>42143.445219907408</v>
      </c>
      <c r="L3836" s="11">
        <f t="shared" si="4072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4073"/>
        <v>109.03333333333333</v>
      </c>
      <c r="R3836" s="7">
        <f t="shared" si="4074"/>
        <v>57.385964912280699</v>
      </c>
      <c r="S3836" t="str">
        <f t="shared" si="4075"/>
        <v>theater</v>
      </c>
      <c r="T3836" t="str">
        <f t="shared" si="4076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ref="K3837:L3837" si="4134">(J3837/60/60/24)+DATE(1970,1,1)</f>
        <v>42460.94222222222</v>
      </c>
      <c r="L3837" s="11">
        <f t="shared" si="4072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4073"/>
        <v>160</v>
      </c>
      <c r="R3837" s="7">
        <f t="shared" si="4074"/>
        <v>40</v>
      </c>
      <c r="S3837" t="str">
        <f t="shared" si="4075"/>
        <v>theater</v>
      </c>
      <c r="T3837" t="str">
        <f t="shared" si="4076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ref="K3838:L3838" si="4135">(J3838/60/60/24)+DATE(1970,1,1)</f>
        <v>42553.926527777774</v>
      </c>
      <c r="L3838" s="11">
        <f t="shared" si="4072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4073"/>
        <v>112.5</v>
      </c>
      <c r="R3838" s="7">
        <f t="shared" si="4074"/>
        <v>64.285714285714292</v>
      </c>
      <c r="S3838" t="str">
        <f t="shared" si="4075"/>
        <v>theater</v>
      </c>
      <c r="T3838" t="str">
        <f t="shared" si="4076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ref="K3839:L3839" si="4136">(J3839/60/60/24)+DATE(1970,1,1)</f>
        <v>42152.765717592592</v>
      </c>
      <c r="L3839" s="11">
        <f t="shared" si="4072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4073"/>
        <v>102.1</v>
      </c>
      <c r="R3839" s="7">
        <f t="shared" si="4074"/>
        <v>120.11764705882354</v>
      </c>
      <c r="S3839" t="str">
        <f t="shared" si="4075"/>
        <v>theater</v>
      </c>
      <c r="T3839" t="str">
        <f t="shared" si="4076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ref="K3840:L3840" si="4137">(J3840/60/60/24)+DATE(1970,1,1)</f>
        <v>42116.710752314815</v>
      </c>
      <c r="L3840" s="11">
        <f t="shared" si="4072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4073"/>
        <v>100.824</v>
      </c>
      <c r="R3840" s="7">
        <f t="shared" si="4074"/>
        <v>1008.24</v>
      </c>
      <c r="S3840" t="str">
        <f t="shared" si="4075"/>
        <v>theater</v>
      </c>
      <c r="T3840" t="str">
        <f t="shared" si="4076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ref="K3841:L3841" si="4138">(J3841/60/60/24)+DATE(1970,1,1)</f>
        <v>42155.142638888887</v>
      </c>
      <c r="L3841" s="11">
        <f t="shared" si="4072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4073"/>
        <v>101.25</v>
      </c>
      <c r="R3841" s="7">
        <f t="shared" si="4074"/>
        <v>63.28125</v>
      </c>
      <c r="S3841" t="str">
        <f t="shared" si="4075"/>
        <v>theater</v>
      </c>
      <c r="T3841" t="str">
        <f t="shared" si="4076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ref="K3842:L3842" si="4139">(J3842/60/60/24)+DATE(1970,1,1)</f>
        <v>42432.701724537037</v>
      </c>
      <c r="L3842" s="11">
        <f t="shared" si="4072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4073"/>
        <v>6500</v>
      </c>
      <c r="R3842" s="7">
        <f t="shared" si="4074"/>
        <v>21.666666666666668</v>
      </c>
      <c r="S3842" t="str">
        <f t="shared" si="4075"/>
        <v>theater</v>
      </c>
      <c r="T3842" t="str">
        <f t="shared" si="4076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ref="K3843:L3843" si="4140">(J3843/60/60/24)+DATE(1970,1,1)</f>
        <v>41780.785729166666</v>
      </c>
      <c r="L3843" s="11">
        <f t="shared" ref="L3843:L3906" si="4141">(I3843/60/60/24)+DATE(1970,1,1)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4142">(E3843/D3843)*100</f>
        <v>8.7200000000000006</v>
      </c>
      <c r="R3843" s="7">
        <f t="shared" ref="R3843:R3906" si="4143">IFERROR(E3843/N3843, 0)</f>
        <v>25.647058823529413</v>
      </c>
      <c r="S3843" t="str">
        <f t="shared" ref="S3843:S3906" si="4144">LEFT(P3843, SEARCH("/", P3843,1)-1)</f>
        <v>theater</v>
      </c>
      <c r="T3843" t="str">
        <f t="shared" ref="T3843:T3906" si="4145">RIGHT(P3843,LEN(P3843)-SEARCH("/",P3843,SEARCH("/",P3843)))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ref="K3844:L3844" si="4146">(J3844/60/60/24)+DATE(1970,1,1)</f>
        <v>41740.493657407409</v>
      </c>
      <c r="L3844" s="11">
        <f t="shared" si="41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4142"/>
        <v>21.94</v>
      </c>
      <c r="R3844" s="7">
        <f t="shared" si="4143"/>
        <v>47.695652173913047</v>
      </c>
      <c r="S3844" t="str">
        <f t="shared" si="4144"/>
        <v>theater</v>
      </c>
      <c r="T3844" t="str">
        <f t="shared" si="414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ref="K3845:L3845" si="4147">(J3845/60/60/24)+DATE(1970,1,1)</f>
        <v>41766.072500000002</v>
      </c>
      <c r="L3845" s="11">
        <f t="shared" si="41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4142"/>
        <v>21.3</v>
      </c>
      <c r="R3845" s="7">
        <f t="shared" si="4143"/>
        <v>56.05263157894737</v>
      </c>
      <c r="S3845" t="str">
        <f t="shared" si="4144"/>
        <v>theater</v>
      </c>
      <c r="T3845" t="str">
        <f t="shared" si="414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ref="K3846:L3846" si="4148">(J3846/60/60/24)+DATE(1970,1,1)</f>
        <v>41766.617291666669</v>
      </c>
      <c r="L3846" s="11">
        <f t="shared" si="41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4142"/>
        <v>41.489795918367342</v>
      </c>
      <c r="R3846" s="7">
        <f t="shared" si="4143"/>
        <v>81.319999999999993</v>
      </c>
      <c r="S3846" t="str">
        <f t="shared" si="4144"/>
        <v>theater</v>
      </c>
      <c r="T3846" t="str">
        <f t="shared" si="414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ref="K3847:L3847" si="4149">(J3847/60/60/24)+DATE(1970,1,1)</f>
        <v>42248.627013888887</v>
      </c>
      <c r="L3847" s="11">
        <f t="shared" si="41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4142"/>
        <v>2.105</v>
      </c>
      <c r="R3847" s="7">
        <f t="shared" si="4143"/>
        <v>70.166666666666671</v>
      </c>
      <c r="S3847" t="str">
        <f t="shared" si="4144"/>
        <v>theater</v>
      </c>
      <c r="T3847" t="str">
        <f t="shared" si="414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ref="K3848:L3848" si="4150">(J3848/60/60/24)+DATE(1970,1,1)</f>
        <v>41885.221550925926</v>
      </c>
      <c r="L3848" s="11">
        <f t="shared" si="41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4142"/>
        <v>2.7</v>
      </c>
      <c r="R3848" s="7">
        <f t="shared" si="4143"/>
        <v>23.625</v>
      </c>
      <c r="S3848" t="str">
        <f t="shared" si="4144"/>
        <v>theater</v>
      </c>
      <c r="T3848" t="str">
        <f t="shared" si="414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ref="K3849:L3849" si="4151">(J3849/60/60/24)+DATE(1970,1,1)</f>
        <v>42159.224432870367</v>
      </c>
      <c r="L3849" s="11">
        <f t="shared" si="41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4142"/>
        <v>16.161904761904761</v>
      </c>
      <c r="R3849" s="7">
        <f t="shared" si="4143"/>
        <v>188.55555555555554</v>
      </c>
      <c r="S3849" t="str">
        <f t="shared" si="4144"/>
        <v>theater</v>
      </c>
      <c r="T3849" t="str">
        <f t="shared" si="414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ref="K3850:L3850" si="4152">(J3850/60/60/24)+DATE(1970,1,1)</f>
        <v>42265.817002314812</v>
      </c>
      <c r="L3850" s="11">
        <f t="shared" si="41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4142"/>
        <v>16.376923076923077</v>
      </c>
      <c r="R3850" s="7">
        <f t="shared" si="4143"/>
        <v>49.511627906976742</v>
      </c>
      <c r="S3850" t="str">
        <f t="shared" si="4144"/>
        <v>theater</v>
      </c>
      <c r="T3850" t="str">
        <f t="shared" si="414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ref="K3851:L3851" si="4153">(J3851/60/60/24)+DATE(1970,1,1)</f>
        <v>42136.767175925925</v>
      </c>
      <c r="L3851" s="11">
        <f t="shared" si="41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4142"/>
        <v>7.043333333333333</v>
      </c>
      <c r="R3851" s="7">
        <f t="shared" si="4143"/>
        <v>75.464285714285708</v>
      </c>
      <c r="S3851" t="str">
        <f t="shared" si="4144"/>
        <v>theater</v>
      </c>
      <c r="T3851" t="str">
        <f t="shared" si="414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ref="K3852:L3852" si="4154">(J3852/60/60/24)+DATE(1970,1,1)</f>
        <v>41975.124340277776</v>
      </c>
      <c r="L3852" s="11">
        <f t="shared" si="41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4142"/>
        <v>3.8</v>
      </c>
      <c r="R3852" s="7">
        <f t="shared" si="4143"/>
        <v>9.5</v>
      </c>
      <c r="S3852" t="str">
        <f t="shared" si="4144"/>
        <v>theater</v>
      </c>
      <c r="T3852" t="str">
        <f t="shared" si="414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ref="K3853:L3853" si="4155">(J3853/60/60/24)+DATE(1970,1,1)</f>
        <v>42172.439571759256</v>
      </c>
      <c r="L3853" s="11">
        <f t="shared" si="41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4142"/>
        <v>34.08</v>
      </c>
      <c r="R3853" s="7">
        <f t="shared" si="4143"/>
        <v>35.5</v>
      </c>
      <c r="S3853" t="str">
        <f t="shared" si="4144"/>
        <v>theater</v>
      </c>
      <c r="T3853" t="str">
        <f t="shared" si="414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ref="K3854:L3854" si="4156">(J3854/60/60/24)+DATE(1970,1,1)</f>
        <v>42065.190694444449</v>
      </c>
      <c r="L3854" s="11">
        <f t="shared" si="41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4142"/>
        <v>0.2</v>
      </c>
      <c r="R3854" s="7">
        <f t="shared" si="4143"/>
        <v>10</v>
      </c>
      <c r="S3854" t="str">
        <f t="shared" si="4144"/>
        <v>theater</v>
      </c>
      <c r="T3854" t="str">
        <f t="shared" si="414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ref="K3855:L3855" si="4157">(J3855/60/60/24)+DATE(1970,1,1)</f>
        <v>41848.84002314815</v>
      </c>
      <c r="L3855" s="11">
        <f t="shared" si="41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4142"/>
        <v>2.5999999999999999E-2</v>
      </c>
      <c r="R3855" s="7">
        <f t="shared" si="4143"/>
        <v>13</v>
      </c>
      <c r="S3855" t="str">
        <f t="shared" si="4144"/>
        <v>theater</v>
      </c>
      <c r="T3855" t="str">
        <f t="shared" si="414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ref="K3856:L3856" si="4158">(J3856/60/60/24)+DATE(1970,1,1)</f>
        <v>42103.884930555556</v>
      </c>
      <c r="L3856" s="11">
        <f t="shared" si="41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4142"/>
        <v>16.254545454545454</v>
      </c>
      <c r="R3856" s="7">
        <f t="shared" si="4143"/>
        <v>89.4</v>
      </c>
      <c r="S3856" t="str">
        <f t="shared" si="4144"/>
        <v>theater</v>
      </c>
      <c r="T3856" t="str">
        <f t="shared" si="414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ref="K3857:L3857" si="4159">(J3857/60/60/24)+DATE(1970,1,1)</f>
        <v>42059.970729166671</v>
      </c>
      <c r="L3857" s="11">
        <f t="shared" si="41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4142"/>
        <v>2.5</v>
      </c>
      <c r="R3857" s="7">
        <f t="shared" si="4143"/>
        <v>25</v>
      </c>
      <c r="S3857" t="str">
        <f t="shared" si="4144"/>
        <v>theater</v>
      </c>
      <c r="T3857" t="str">
        <f t="shared" si="414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ref="K3858:L3858" si="4160">(J3858/60/60/24)+DATE(1970,1,1)</f>
        <v>42041.743090277778</v>
      </c>
      <c r="L3858" s="11">
        <f t="shared" si="41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4142"/>
        <v>0.02</v>
      </c>
      <c r="R3858" s="7">
        <f t="shared" si="4143"/>
        <v>1</v>
      </c>
      <c r="S3858" t="str">
        <f t="shared" si="4144"/>
        <v>theater</v>
      </c>
      <c r="T3858" t="str">
        <f t="shared" si="414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ref="K3859:L3859" si="4161">(J3859/60/60/24)+DATE(1970,1,1)</f>
        <v>41829.73715277778</v>
      </c>
      <c r="L3859" s="11">
        <f t="shared" si="41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4142"/>
        <v>5.2</v>
      </c>
      <c r="R3859" s="7">
        <f t="shared" si="4143"/>
        <v>65</v>
      </c>
      <c r="S3859" t="str">
        <f t="shared" si="4144"/>
        <v>theater</v>
      </c>
      <c r="T3859" t="str">
        <f t="shared" si="414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ref="K3860:L3860" si="4162">(J3860/60/60/24)+DATE(1970,1,1)</f>
        <v>42128.431064814817</v>
      </c>
      <c r="L3860" s="11">
        <f t="shared" si="4141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4142"/>
        <v>2</v>
      </c>
      <c r="R3860" s="7">
        <f t="shared" si="4143"/>
        <v>10</v>
      </c>
      <c r="S3860" t="str">
        <f t="shared" si="4144"/>
        <v>theater</v>
      </c>
      <c r="T3860" t="str">
        <f t="shared" si="414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ref="K3861:L3861" si="4163">(J3861/60/60/24)+DATE(1970,1,1)</f>
        <v>41789.893599537041</v>
      </c>
      <c r="L3861" s="11">
        <f t="shared" si="4141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4142"/>
        <v>0.04</v>
      </c>
      <c r="R3861" s="7">
        <f t="shared" si="4143"/>
        <v>1</v>
      </c>
      <c r="S3861" t="str">
        <f t="shared" si="4144"/>
        <v>theater</v>
      </c>
      <c r="T3861" t="str">
        <f t="shared" si="414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ref="K3862:L3862" si="4164">(J3862/60/60/24)+DATE(1970,1,1)</f>
        <v>41833.660995370366</v>
      </c>
      <c r="L3862" s="11">
        <f t="shared" si="41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4142"/>
        <v>17.666666666666668</v>
      </c>
      <c r="R3862" s="7">
        <f t="shared" si="4143"/>
        <v>81.538461538461533</v>
      </c>
      <c r="S3862" t="str">
        <f t="shared" si="4144"/>
        <v>theater</v>
      </c>
      <c r="T3862" t="str">
        <f t="shared" si="414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ref="K3863:L3863" si="4165">(J3863/60/60/24)+DATE(1970,1,1)</f>
        <v>41914.590011574073</v>
      </c>
      <c r="L3863" s="11">
        <f t="shared" si="41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4142"/>
        <v>5</v>
      </c>
      <c r="R3863" s="7">
        <f t="shared" si="4143"/>
        <v>100</v>
      </c>
      <c r="S3863" t="str">
        <f t="shared" si="4144"/>
        <v>theater</v>
      </c>
      <c r="T3863" t="str">
        <f t="shared" si="414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ref="K3864:L3864" si="4166">(J3864/60/60/24)+DATE(1970,1,1)</f>
        <v>42611.261064814811</v>
      </c>
      <c r="L3864" s="11">
        <f t="shared" si="41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4142"/>
        <v>1.3333333333333334E-2</v>
      </c>
      <c r="R3864" s="7">
        <f t="shared" si="4143"/>
        <v>1</v>
      </c>
      <c r="S3864" t="str">
        <f t="shared" si="4144"/>
        <v>theater</v>
      </c>
      <c r="T3864" t="str">
        <f t="shared" si="414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ref="K3865:L3865" si="4167">(J3865/60/60/24)+DATE(1970,1,1)</f>
        <v>42253.633159722223</v>
      </c>
      <c r="L3865" s="11">
        <f t="shared" si="41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4142"/>
        <v>0</v>
      </c>
      <c r="R3865" s="7">
        <f t="shared" si="4143"/>
        <v>0</v>
      </c>
      <c r="S3865" t="str">
        <f t="shared" si="4144"/>
        <v>theater</v>
      </c>
      <c r="T3865" t="str">
        <f t="shared" si="414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ref="K3866:L3866" si="4168">(J3866/60/60/24)+DATE(1970,1,1)</f>
        <v>42295.891828703709</v>
      </c>
      <c r="L3866" s="11">
        <f t="shared" si="41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4142"/>
        <v>1.2</v>
      </c>
      <c r="R3866" s="7">
        <f t="shared" si="4143"/>
        <v>20</v>
      </c>
      <c r="S3866" t="str">
        <f t="shared" si="4144"/>
        <v>theater</v>
      </c>
      <c r="T3866" t="str">
        <f t="shared" si="414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ref="K3867:L3867" si="4169">(J3867/60/60/24)+DATE(1970,1,1)</f>
        <v>41841.651597222226</v>
      </c>
      <c r="L3867" s="11">
        <f t="shared" si="41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4142"/>
        <v>26.937422295897225</v>
      </c>
      <c r="R3867" s="7">
        <f t="shared" si="4143"/>
        <v>46.428571428571431</v>
      </c>
      <c r="S3867" t="str">
        <f t="shared" si="4144"/>
        <v>theater</v>
      </c>
      <c r="T3867" t="str">
        <f t="shared" si="414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ref="K3868:L3868" si="4170">(J3868/60/60/24)+DATE(1970,1,1)</f>
        <v>42402.947002314817</v>
      </c>
      <c r="L3868" s="11">
        <f t="shared" si="41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4142"/>
        <v>0.54999999999999993</v>
      </c>
      <c r="R3868" s="7">
        <f t="shared" si="4143"/>
        <v>5.5</v>
      </c>
      <c r="S3868" t="str">
        <f t="shared" si="4144"/>
        <v>theater</v>
      </c>
      <c r="T3868" t="str">
        <f t="shared" si="414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ref="K3869:L3869" si="4171">(J3869/60/60/24)+DATE(1970,1,1)</f>
        <v>42509.814108796301</v>
      </c>
      <c r="L3869" s="11">
        <f t="shared" si="41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4142"/>
        <v>12.55</v>
      </c>
      <c r="R3869" s="7">
        <f t="shared" si="4143"/>
        <v>50.2</v>
      </c>
      <c r="S3869" t="str">
        <f t="shared" si="4144"/>
        <v>theater</v>
      </c>
      <c r="T3869" t="str">
        <f t="shared" si="414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ref="K3870:L3870" si="4172">(J3870/60/60/24)+DATE(1970,1,1)</f>
        <v>41865.659780092588</v>
      </c>
      <c r="L3870" s="11">
        <f t="shared" si="41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4142"/>
        <v>0.2</v>
      </c>
      <c r="R3870" s="7">
        <f t="shared" si="4143"/>
        <v>10</v>
      </c>
      <c r="S3870" t="str">
        <f t="shared" si="4144"/>
        <v>theater</v>
      </c>
      <c r="T3870" t="str">
        <f t="shared" si="414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ref="K3871:L3871" si="4173">(J3871/60/60/24)+DATE(1970,1,1)</f>
        <v>42047.724444444444</v>
      </c>
      <c r="L3871" s="11">
        <f t="shared" si="41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4142"/>
        <v>3.4474868431088401</v>
      </c>
      <c r="R3871" s="7">
        <f t="shared" si="4143"/>
        <v>30.133333333333333</v>
      </c>
      <c r="S3871" t="str">
        <f t="shared" si="4144"/>
        <v>theater</v>
      </c>
      <c r="T3871" t="str">
        <f t="shared" si="414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ref="K3872:L3872" si="4174">(J3872/60/60/24)+DATE(1970,1,1)</f>
        <v>41793.17219907407</v>
      </c>
      <c r="L3872" s="11">
        <f t="shared" si="41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4142"/>
        <v>15</v>
      </c>
      <c r="R3872" s="7">
        <f t="shared" si="4143"/>
        <v>150</v>
      </c>
      <c r="S3872" t="str">
        <f t="shared" si="4144"/>
        <v>theater</v>
      </c>
      <c r="T3872" t="str">
        <f t="shared" si="414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ref="K3873:L3873" si="4175">(J3873/60/60/24)+DATE(1970,1,1)</f>
        <v>42763.780671296292</v>
      </c>
      <c r="L3873" s="11">
        <f t="shared" si="41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4142"/>
        <v>2.666666666666667</v>
      </c>
      <c r="R3873" s="7">
        <f t="shared" si="4143"/>
        <v>13.333333333333334</v>
      </c>
      <c r="S3873" t="str">
        <f t="shared" si="4144"/>
        <v>theater</v>
      </c>
      <c r="T3873" t="str">
        <f t="shared" si="414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ref="K3874:L3874" si="4176">(J3874/60/60/24)+DATE(1970,1,1)</f>
        <v>42180.145787037036</v>
      </c>
      <c r="L3874" s="11">
        <f t="shared" si="41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4142"/>
        <v>0</v>
      </c>
      <c r="R3874" s="7">
        <f t="shared" si="4143"/>
        <v>0</v>
      </c>
      <c r="S3874" t="str">
        <f t="shared" si="4144"/>
        <v>theater</v>
      </c>
      <c r="T3874" t="str">
        <f t="shared" si="414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ref="K3875:L3875" si="4177">(J3875/60/60/24)+DATE(1970,1,1)</f>
        <v>42255.696006944447</v>
      </c>
      <c r="L3875" s="11">
        <f t="shared" si="41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4142"/>
        <v>0</v>
      </c>
      <c r="R3875" s="7">
        <f t="shared" si="4143"/>
        <v>0</v>
      </c>
      <c r="S3875" t="str">
        <f t="shared" si="4144"/>
        <v>theater</v>
      </c>
      <c r="T3875" t="str">
        <f t="shared" si="414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ref="K3876:L3876" si="4178">(J3876/60/60/24)+DATE(1970,1,1)</f>
        <v>42007.016458333332</v>
      </c>
      <c r="L3876" s="11">
        <f t="shared" si="41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4142"/>
        <v>0</v>
      </c>
      <c r="R3876" s="7">
        <f t="shared" si="4143"/>
        <v>0</v>
      </c>
      <c r="S3876" t="str">
        <f t="shared" si="4144"/>
        <v>theater</v>
      </c>
      <c r="T3876" t="str">
        <f t="shared" si="414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ref="K3877:L3877" si="4179">(J3877/60/60/24)+DATE(1970,1,1)</f>
        <v>42615.346817129626</v>
      </c>
      <c r="L3877" s="11">
        <f t="shared" si="41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4142"/>
        <v>0</v>
      </c>
      <c r="R3877" s="7">
        <f t="shared" si="4143"/>
        <v>0</v>
      </c>
      <c r="S3877" t="str">
        <f t="shared" si="4144"/>
        <v>theater</v>
      </c>
      <c r="T3877" t="str">
        <f t="shared" si="414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ref="K3878:L3878" si="4180">(J3878/60/60/24)+DATE(1970,1,1)</f>
        <v>42372.624166666668</v>
      </c>
      <c r="L3878" s="11">
        <f t="shared" si="41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4142"/>
        <v>52.794871794871788</v>
      </c>
      <c r="R3878" s="7">
        <f t="shared" si="4143"/>
        <v>44.760869565217391</v>
      </c>
      <c r="S3878" t="str">
        <f t="shared" si="4144"/>
        <v>theater</v>
      </c>
      <c r="T3878" t="str">
        <f t="shared" si="414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ref="K3879:L3879" si="4181">(J3879/60/60/24)+DATE(1970,1,1)</f>
        <v>42682.67768518519</v>
      </c>
      <c r="L3879" s="11">
        <f t="shared" si="41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4142"/>
        <v>4.9639999999999995</v>
      </c>
      <c r="R3879" s="7">
        <f t="shared" si="4143"/>
        <v>88.642857142857139</v>
      </c>
      <c r="S3879" t="str">
        <f t="shared" si="4144"/>
        <v>theater</v>
      </c>
      <c r="T3879" t="str">
        <f t="shared" si="414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ref="K3880:L3880" si="4182">(J3880/60/60/24)+DATE(1970,1,1)</f>
        <v>42154.818819444445</v>
      </c>
      <c r="L3880" s="11">
        <f t="shared" si="41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4142"/>
        <v>5.5555555555555552E-2</v>
      </c>
      <c r="R3880" s="7">
        <f t="shared" si="4143"/>
        <v>10</v>
      </c>
      <c r="S3880" t="str">
        <f t="shared" si="4144"/>
        <v>theater</v>
      </c>
      <c r="T3880" t="str">
        <f t="shared" si="414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ref="K3881:L3881" si="4183">(J3881/60/60/24)+DATE(1970,1,1)</f>
        <v>41999.861064814817</v>
      </c>
      <c r="L3881" s="11">
        <f t="shared" si="41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4142"/>
        <v>0</v>
      </c>
      <c r="R3881" s="7">
        <f t="shared" si="4143"/>
        <v>0</v>
      </c>
      <c r="S3881" t="str">
        <f t="shared" si="4144"/>
        <v>theater</v>
      </c>
      <c r="T3881" t="str">
        <f t="shared" si="414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ref="K3882:L3882" si="4184">(J3882/60/60/24)+DATE(1970,1,1)</f>
        <v>41815.815046296295</v>
      </c>
      <c r="L3882" s="11">
        <f t="shared" si="41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4142"/>
        <v>13.066666666666665</v>
      </c>
      <c r="R3882" s="7">
        <f t="shared" si="4143"/>
        <v>57.647058823529413</v>
      </c>
      <c r="S3882" t="str">
        <f t="shared" si="4144"/>
        <v>theater</v>
      </c>
      <c r="T3882" t="str">
        <f t="shared" si="414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ref="K3883:L3883" si="4185">(J3883/60/60/24)+DATE(1970,1,1)</f>
        <v>42756.018506944441</v>
      </c>
      <c r="L3883" s="11">
        <f t="shared" si="41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4142"/>
        <v>5</v>
      </c>
      <c r="R3883" s="7">
        <f t="shared" si="4143"/>
        <v>25</v>
      </c>
      <c r="S3883" t="str">
        <f t="shared" si="4144"/>
        <v>theater</v>
      </c>
      <c r="T3883" t="str">
        <f t="shared" si="414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ref="K3884:L3884" si="4186">(J3884/60/60/24)+DATE(1970,1,1)</f>
        <v>42373.983449074076</v>
      </c>
      <c r="L3884" s="11">
        <f t="shared" si="41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4142"/>
        <v>0</v>
      </c>
      <c r="R3884" s="7">
        <f t="shared" si="4143"/>
        <v>0</v>
      </c>
      <c r="S3884" t="str">
        <f t="shared" si="4144"/>
        <v>theater</v>
      </c>
      <c r="T3884" t="str">
        <f t="shared" si="414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ref="K3885:L3885" si="4187">(J3885/60/60/24)+DATE(1970,1,1)</f>
        <v>41854.602650462963</v>
      </c>
      <c r="L3885" s="11">
        <f t="shared" si="41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4142"/>
        <v>0</v>
      </c>
      <c r="R3885" s="7">
        <f t="shared" si="4143"/>
        <v>0</v>
      </c>
      <c r="S3885" t="str">
        <f t="shared" si="4144"/>
        <v>theater</v>
      </c>
      <c r="T3885" t="str">
        <f t="shared" si="414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ref="K3886:L3886" si="4188">(J3886/60/60/24)+DATE(1970,1,1)</f>
        <v>42065.791574074072</v>
      </c>
      <c r="L3886" s="11">
        <f t="shared" si="41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4142"/>
        <v>0</v>
      </c>
      <c r="R3886" s="7">
        <f t="shared" si="4143"/>
        <v>0</v>
      </c>
      <c r="S3886" t="str">
        <f t="shared" si="4144"/>
        <v>theater</v>
      </c>
      <c r="T3886" t="str">
        <f t="shared" si="414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ref="K3887:L3887" si="4189">(J3887/60/60/24)+DATE(1970,1,1)</f>
        <v>42469.951284722221</v>
      </c>
      <c r="L3887" s="11">
        <f t="shared" si="41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4142"/>
        <v>0</v>
      </c>
      <c r="R3887" s="7">
        <f t="shared" si="4143"/>
        <v>0</v>
      </c>
      <c r="S3887" t="str">
        <f t="shared" si="4144"/>
        <v>theater</v>
      </c>
      <c r="T3887" t="str">
        <f t="shared" si="414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ref="K3888:L3888" si="4190">(J3888/60/60/24)+DATE(1970,1,1)</f>
        <v>41954.228032407409</v>
      </c>
      <c r="L3888" s="11">
        <f t="shared" si="41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4142"/>
        <v>0</v>
      </c>
      <c r="R3888" s="7">
        <f t="shared" si="4143"/>
        <v>0</v>
      </c>
      <c r="S3888" t="str">
        <f t="shared" si="4144"/>
        <v>theater</v>
      </c>
      <c r="T3888" t="str">
        <f t="shared" si="414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ref="K3889:L3889" si="4191">(J3889/60/60/24)+DATE(1970,1,1)</f>
        <v>42079.857974537037</v>
      </c>
      <c r="L3889" s="11">
        <f t="shared" si="41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4142"/>
        <v>1.7500000000000002</v>
      </c>
      <c r="R3889" s="7">
        <f t="shared" si="4143"/>
        <v>17.5</v>
      </c>
      <c r="S3889" t="str">
        <f t="shared" si="4144"/>
        <v>theater</v>
      </c>
      <c r="T3889" t="str">
        <f t="shared" si="414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ref="K3890:L3890" si="4192">(J3890/60/60/24)+DATE(1970,1,1)</f>
        <v>42762.545810185184</v>
      </c>
      <c r="L3890" s="11">
        <f t="shared" si="41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4142"/>
        <v>27.1</v>
      </c>
      <c r="R3890" s="7">
        <f t="shared" si="4143"/>
        <v>38.714285714285715</v>
      </c>
      <c r="S3890" t="str">
        <f t="shared" si="4144"/>
        <v>theater</v>
      </c>
      <c r="T3890" t="str">
        <f t="shared" si="414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ref="K3891:L3891" si="4193">(J3891/60/60/24)+DATE(1970,1,1)</f>
        <v>41977.004976851851</v>
      </c>
      <c r="L3891" s="11">
        <f t="shared" si="41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4142"/>
        <v>1.4749999999999999</v>
      </c>
      <c r="R3891" s="7">
        <f t="shared" si="4143"/>
        <v>13.111111111111111</v>
      </c>
      <c r="S3891" t="str">
        <f t="shared" si="4144"/>
        <v>theater</v>
      </c>
      <c r="T3891" t="str">
        <f t="shared" si="414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ref="K3892:L3892" si="4194">(J3892/60/60/24)+DATE(1970,1,1)</f>
        <v>42171.758611111116</v>
      </c>
      <c r="L3892" s="11">
        <f t="shared" si="41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4142"/>
        <v>16.826666666666668</v>
      </c>
      <c r="R3892" s="7">
        <f t="shared" si="4143"/>
        <v>315.5</v>
      </c>
      <c r="S3892" t="str">
        <f t="shared" si="4144"/>
        <v>theater</v>
      </c>
      <c r="T3892" t="str">
        <f t="shared" si="414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ref="K3893:L3893" si="4195">(J3893/60/60/24)+DATE(1970,1,1)</f>
        <v>42056.1324537037</v>
      </c>
      <c r="L3893" s="11">
        <f t="shared" si="41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4142"/>
        <v>32.5</v>
      </c>
      <c r="R3893" s="7">
        <f t="shared" si="4143"/>
        <v>37.142857142857146</v>
      </c>
      <c r="S3893" t="str">
        <f t="shared" si="4144"/>
        <v>theater</v>
      </c>
      <c r="T3893" t="str">
        <f t="shared" si="414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ref="K3894:L3894" si="4196">(J3894/60/60/24)+DATE(1970,1,1)</f>
        <v>41867.652280092596</v>
      </c>
      <c r="L3894" s="11">
        <f t="shared" si="41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4142"/>
        <v>0</v>
      </c>
      <c r="R3894" s="7">
        <f t="shared" si="4143"/>
        <v>0</v>
      </c>
      <c r="S3894" t="str">
        <f t="shared" si="4144"/>
        <v>theater</v>
      </c>
      <c r="T3894" t="str">
        <f t="shared" si="414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ref="K3895:L3895" si="4197">(J3895/60/60/24)+DATE(1970,1,1)</f>
        <v>41779.657870370371</v>
      </c>
      <c r="L3895" s="11">
        <f t="shared" si="4141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4142"/>
        <v>21.55</v>
      </c>
      <c r="R3895" s="7">
        <f t="shared" si="4143"/>
        <v>128.27380952380952</v>
      </c>
      <c r="S3895" t="str">
        <f t="shared" si="4144"/>
        <v>theater</v>
      </c>
      <c r="T3895" t="str">
        <f t="shared" si="414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ref="K3896:L3896" si="4198">(J3896/60/60/24)+DATE(1970,1,1)</f>
        <v>42679.958472222221</v>
      </c>
      <c r="L3896" s="11">
        <f t="shared" si="41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4142"/>
        <v>3.4666666666666663</v>
      </c>
      <c r="R3896" s="7">
        <f t="shared" si="4143"/>
        <v>47.272727272727273</v>
      </c>
      <c r="S3896" t="str">
        <f t="shared" si="4144"/>
        <v>theater</v>
      </c>
      <c r="T3896" t="str">
        <f t="shared" si="414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ref="K3897:L3897" si="4199">(J3897/60/60/24)+DATE(1970,1,1)</f>
        <v>42032.250208333338</v>
      </c>
      <c r="L3897" s="11">
        <f t="shared" si="41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4142"/>
        <v>5</v>
      </c>
      <c r="R3897" s="7">
        <f t="shared" si="4143"/>
        <v>50</v>
      </c>
      <c r="S3897" t="str">
        <f t="shared" si="4144"/>
        <v>theater</v>
      </c>
      <c r="T3897" t="str">
        <f t="shared" si="414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ref="K3898:L3898" si="4200">(J3898/60/60/24)+DATE(1970,1,1)</f>
        <v>41793.191875000004</v>
      </c>
      <c r="L3898" s="11">
        <f t="shared" si="41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4142"/>
        <v>10.625</v>
      </c>
      <c r="R3898" s="7">
        <f t="shared" si="4143"/>
        <v>42.5</v>
      </c>
      <c r="S3898" t="str">
        <f t="shared" si="4144"/>
        <v>theater</v>
      </c>
      <c r="T3898" t="str">
        <f t="shared" si="414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ref="K3899:L3899" si="4201">(J3899/60/60/24)+DATE(1970,1,1)</f>
        <v>41982.87364583333</v>
      </c>
      <c r="L3899" s="11">
        <f t="shared" si="41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4142"/>
        <v>17.599999999999998</v>
      </c>
      <c r="R3899" s="7">
        <f t="shared" si="4143"/>
        <v>44</v>
      </c>
      <c r="S3899" t="str">
        <f t="shared" si="4144"/>
        <v>theater</v>
      </c>
      <c r="T3899" t="str">
        <f t="shared" si="414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ref="K3900:L3900" si="4202">(J3900/60/60/24)+DATE(1970,1,1)</f>
        <v>42193.482291666667</v>
      </c>
      <c r="L3900" s="11">
        <f t="shared" si="41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4142"/>
        <v>32.56</v>
      </c>
      <c r="R3900" s="7">
        <f t="shared" si="4143"/>
        <v>50.875</v>
      </c>
      <c r="S3900" t="str">
        <f t="shared" si="4144"/>
        <v>theater</v>
      </c>
      <c r="T3900" t="str">
        <f t="shared" si="414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ref="K3901:L3901" si="4203">(J3901/60/60/24)+DATE(1970,1,1)</f>
        <v>41843.775011574071</v>
      </c>
      <c r="L3901" s="11">
        <f t="shared" si="41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4142"/>
        <v>1.25</v>
      </c>
      <c r="R3901" s="7">
        <f t="shared" si="4143"/>
        <v>62.5</v>
      </c>
      <c r="S3901" t="str">
        <f t="shared" si="4144"/>
        <v>theater</v>
      </c>
      <c r="T3901" t="str">
        <f t="shared" si="414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ref="K3902:L3902" si="4204">(J3902/60/60/24)+DATE(1970,1,1)</f>
        <v>42136.092488425929</v>
      </c>
      <c r="L3902" s="11">
        <f t="shared" si="41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4142"/>
        <v>5.4</v>
      </c>
      <c r="R3902" s="7">
        <f t="shared" si="4143"/>
        <v>27</v>
      </c>
      <c r="S3902" t="str">
        <f t="shared" si="4144"/>
        <v>theater</v>
      </c>
      <c r="T3902" t="str">
        <f t="shared" si="414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ref="K3903:L3903" si="4205">(J3903/60/60/24)+DATE(1970,1,1)</f>
        <v>42317.826377314821</v>
      </c>
      <c r="L3903" s="11">
        <f t="shared" si="41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4142"/>
        <v>0.83333333333333337</v>
      </c>
      <c r="R3903" s="7">
        <f t="shared" si="4143"/>
        <v>25</v>
      </c>
      <c r="S3903" t="str">
        <f t="shared" si="4144"/>
        <v>theater</v>
      </c>
      <c r="T3903" t="str">
        <f t="shared" si="414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ref="K3904:L3904" si="4206">(J3904/60/60/24)+DATE(1970,1,1)</f>
        <v>42663.468078703707</v>
      </c>
      <c r="L3904" s="11">
        <f t="shared" si="41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4142"/>
        <v>48.833333333333336</v>
      </c>
      <c r="R3904" s="7">
        <f t="shared" si="4143"/>
        <v>47.258064516129032</v>
      </c>
      <c r="S3904" t="str">
        <f t="shared" si="4144"/>
        <v>theater</v>
      </c>
      <c r="T3904" t="str">
        <f t="shared" si="414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ref="K3905:L3905" si="4207">(J3905/60/60/24)+DATE(1970,1,1)</f>
        <v>42186.01116898148</v>
      </c>
      <c r="L3905" s="11">
        <f t="shared" si="41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4142"/>
        <v>0</v>
      </c>
      <c r="R3905" s="7">
        <f t="shared" si="4143"/>
        <v>0</v>
      </c>
      <c r="S3905" t="str">
        <f t="shared" si="4144"/>
        <v>theater</v>
      </c>
      <c r="T3905" t="str">
        <f t="shared" si="414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ref="K3906:L3906" si="4208">(J3906/60/60/24)+DATE(1970,1,1)</f>
        <v>42095.229166666672</v>
      </c>
      <c r="L3906" s="11">
        <f t="shared" si="41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4142"/>
        <v>0.03</v>
      </c>
      <c r="R3906" s="7">
        <f t="shared" si="4143"/>
        <v>1.5</v>
      </c>
      <c r="S3906" t="str">
        <f t="shared" si="4144"/>
        <v>theater</v>
      </c>
      <c r="T3906" t="str">
        <f t="shared" si="414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ref="K3907:L3907" si="4209">(J3907/60/60/24)+DATE(1970,1,1)</f>
        <v>42124.623877314814</v>
      </c>
      <c r="L3907" s="11">
        <f t="shared" ref="L3907:L3970" si="4210">(I3907/60/60/24)+DATE(1970,1,1)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4211">(E3907/D3907)*100</f>
        <v>11.533333333333333</v>
      </c>
      <c r="R3907" s="7">
        <f t="shared" ref="R3907:R3970" si="4212">IFERROR(E3907/N3907, 0)</f>
        <v>24.714285714285715</v>
      </c>
      <c r="S3907" t="str">
        <f t="shared" ref="S3907:S3970" si="4213">LEFT(P3907, SEARCH("/", P3907,1)-1)</f>
        <v>theater</v>
      </c>
      <c r="T3907" t="str">
        <f t="shared" ref="T3907:T3970" si="4214">RIGHT(P3907,LEN(P3907)-SEARCH("/",P3907,SEARCH("/",P3907)))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ref="K3908:L3908" si="4215">(J3908/60/60/24)+DATE(1970,1,1)</f>
        <v>42143.917743055557</v>
      </c>
      <c r="L3908" s="11">
        <f t="shared" si="4210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4211"/>
        <v>67.333333333333329</v>
      </c>
      <c r="R3908" s="7">
        <f t="shared" si="4212"/>
        <v>63.125</v>
      </c>
      <c r="S3908" t="str">
        <f t="shared" si="4213"/>
        <v>theater</v>
      </c>
      <c r="T3908" t="str">
        <f t="shared" si="4214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ref="K3909:L3909" si="4216">(J3909/60/60/24)+DATE(1970,1,1)</f>
        <v>41906.819513888891</v>
      </c>
      <c r="L3909" s="11">
        <f t="shared" si="4210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4211"/>
        <v>15.299999999999999</v>
      </c>
      <c r="R3909" s="7">
        <f t="shared" si="4212"/>
        <v>38.25</v>
      </c>
      <c r="S3909" t="str">
        <f t="shared" si="4213"/>
        <v>theater</v>
      </c>
      <c r="T3909" t="str">
        <f t="shared" si="4214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ref="K3910:L3910" si="4217">(J3910/60/60/24)+DATE(1970,1,1)</f>
        <v>41834.135370370372</v>
      </c>
      <c r="L3910" s="11">
        <f t="shared" si="4210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4211"/>
        <v>8.6666666666666679</v>
      </c>
      <c r="R3910" s="7">
        <f t="shared" si="4212"/>
        <v>16.25</v>
      </c>
      <c r="S3910" t="str">
        <f t="shared" si="4213"/>
        <v>theater</v>
      </c>
      <c r="T3910" t="str">
        <f t="shared" si="4214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ref="K3911:L3911" si="4218">(J3911/60/60/24)+DATE(1970,1,1)</f>
        <v>41863.359282407408</v>
      </c>
      <c r="L3911" s="11">
        <f t="shared" si="4210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4211"/>
        <v>0.22499999999999998</v>
      </c>
      <c r="R3911" s="7">
        <f t="shared" si="4212"/>
        <v>33.75</v>
      </c>
      <c r="S3911" t="str">
        <f t="shared" si="4213"/>
        <v>theater</v>
      </c>
      <c r="T3911" t="str">
        <f t="shared" si="4214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ref="K3912:L3912" si="4219">(J3912/60/60/24)+DATE(1970,1,1)</f>
        <v>42224.756909722222</v>
      </c>
      <c r="L3912" s="11">
        <f t="shared" si="4210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4211"/>
        <v>3.0833333333333335</v>
      </c>
      <c r="R3912" s="7">
        <f t="shared" si="4212"/>
        <v>61.666666666666664</v>
      </c>
      <c r="S3912" t="str">
        <f t="shared" si="4213"/>
        <v>theater</v>
      </c>
      <c r="T3912" t="str">
        <f t="shared" si="4214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ref="K3913:L3913" si="4220">(J3913/60/60/24)+DATE(1970,1,1)</f>
        <v>41939.8122337963</v>
      </c>
      <c r="L3913" s="11">
        <f t="shared" si="4210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4211"/>
        <v>37.412500000000001</v>
      </c>
      <c r="R3913" s="7">
        <f t="shared" si="4212"/>
        <v>83.138888888888886</v>
      </c>
      <c r="S3913" t="str">
        <f t="shared" si="4213"/>
        <v>theater</v>
      </c>
      <c r="T3913" t="str">
        <f t="shared" si="4214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ref="K3914:L3914" si="4221">(J3914/60/60/24)+DATE(1970,1,1)</f>
        <v>42059.270023148143</v>
      </c>
      <c r="L3914" s="11">
        <f t="shared" si="4210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4211"/>
        <v>6.6666666666666671E-3</v>
      </c>
      <c r="R3914" s="7">
        <f t="shared" si="4212"/>
        <v>1</v>
      </c>
      <c r="S3914" t="str">
        <f t="shared" si="4213"/>
        <v>theater</v>
      </c>
      <c r="T3914" t="str">
        <f t="shared" si="4214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ref="K3915:L3915" si="4222">(J3915/60/60/24)+DATE(1970,1,1)</f>
        <v>42308.211215277777</v>
      </c>
      <c r="L3915" s="11">
        <f t="shared" si="4210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4211"/>
        <v>10</v>
      </c>
      <c r="R3915" s="7">
        <f t="shared" si="4212"/>
        <v>142.85714285714286</v>
      </c>
      <c r="S3915" t="str">
        <f t="shared" si="4213"/>
        <v>theater</v>
      </c>
      <c r="T3915" t="str">
        <f t="shared" si="4214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ref="K3916:L3916" si="4223">(J3916/60/60/24)+DATE(1970,1,1)</f>
        <v>42114.818935185183</v>
      </c>
      <c r="L3916" s="11">
        <f t="shared" si="4210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4211"/>
        <v>36.36</v>
      </c>
      <c r="R3916" s="7">
        <f t="shared" si="4212"/>
        <v>33.666666666666664</v>
      </c>
      <c r="S3916" t="str">
        <f t="shared" si="4213"/>
        <v>theater</v>
      </c>
      <c r="T3916" t="str">
        <f t="shared" si="4214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ref="K3917:L3917" si="4224">(J3917/60/60/24)+DATE(1970,1,1)</f>
        <v>42492.98505787037</v>
      </c>
      <c r="L3917" s="11">
        <f t="shared" si="4210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4211"/>
        <v>0.33333333333333337</v>
      </c>
      <c r="R3917" s="7">
        <f t="shared" si="4212"/>
        <v>5</v>
      </c>
      <c r="S3917" t="str">
        <f t="shared" si="4213"/>
        <v>theater</v>
      </c>
      <c r="T3917" t="str">
        <f t="shared" si="4214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ref="K3918:L3918" si="4225">(J3918/60/60/24)+DATE(1970,1,1)</f>
        <v>42494.471666666665</v>
      </c>
      <c r="L3918" s="11">
        <f t="shared" si="4210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4211"/>
        <v>0</v>
      </c>
      <c r="R3918" s="7">
        <f t="shared" si="4212"/>
        <v>0</v>
      </c>
      <c r="S3918" t="str">
        <f t="shared" si="4213"/>
        <v>theater</v>
      </c>
      <c r="T3918" t="str">
        <f t="shared" si="4214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ref="K3919:L3919" si="4226">(J3919/60/60/24)+DATE(1970,1,1)</f>
        <v>41863.527326388888</v>
      </c>
      <c r="L3919" s="11">
        <f t="shared" si="4210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4211"/>
        <v>0.2857142857142857</v>
      </c>
      <c r="R3919" s="7">
        <f t="shared" si="4212"/>
        <v>10</v>
      </c>
      <c r="S3919" t="str">
        <f t="shared" si="4213"/>
        <v>theater</v>
      </c>
      <c r="T3919" t="str">
        <f t="shared" si="4214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ref="K3920:L3920" si="4227">(J3920/60/60/24)+DATE(1970,1,1)</f>
        <v>41843.664618055554</v>
      </c>
      <c r="L3920" s="11">
        <f t="shared" si="4210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4211"/>
        <v>0.2</v>
      </c>
      <c r="R3920" s="7">
        <f t="shared" si="4212"/>
        <v>40</v>
      </c>
      <c r="S3920" t="str">
        <f t="shared" si="4213"/>
        <v>theater</v>
      </c>
      <c r="T3920" t="str">
        <f t="shared" si="4214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ref="K3921:L3921" si="4228">(J3921/60/60/24)+DATE(1970,1,1)</f>
        <v>42358.684872685189</v>
      </c>
      <c r="L3921" s="11">
        <f t="shared" si="4210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4211"/>
        <v>1.7999999999999998</v>
      </c>
      <c r="R3921" s="7">
        <f t="shared" si="4212"/>
        <v>30</v>
      </c>
      <c r="S3921" t="str">
        <f t="shared" si="4213"/>
        <v>theater</v>
      </c>
      <c r="T3921" t="str">
        <f t="shared" si="4214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ref="K3922:L3922" si="4229">(J3922/60/60/24)+DATE(1970,1,1)</f>
        <v>42657.38726851852</v>
      </c>
      <c r="L3922" s="11">
        <f t="shared" si="4210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4211"/>
        <v>5.4</v>
      </c>
      <c r="R3922" s="7">
        <f t="shared" si="4212"/>
        <v>45</v>
      </c>
      <c r="S3922" t="str">
        <f t="shared" si="4213"/>
        <v>theater</v>
      </c>
      <c r="T3922" t="str">
        <f t="shared" si="4214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ref="K3923:L3923" si="4230">(J3923/60/60/24)+DATE(1970,1,1)</f>
        <v>41926.542303240742</v>
      </c>
      <c r="L3923" s="11">
        <f t="shared" si="4210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4211"/>
        <v>0</v>
      </c>
      <c r="R3923" s="7">
        <f t="shared" si="4212"/>
        <v>0</v>
      </c>
      <c r="S3923" t="str">
        <f t="shared" si="4213"/>
        <v>theater</v>
      </c>
      <c r="T3923" t="str">
        <f t="shared" si="4214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ref="K3924:L3924" si="4231">(J3924/60/60/24)+DATE(1970,1,1)</f>
        <v>42020.768634259264</v>
      </c>
      <c r="L3924" s="11">
        <f t="shared" si="4210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4211"/>
        <v>8.1333333333333329</v>
      </c>
      <c r="R3924" s="7">
        <f t="shared" si="4212"/>
        <v>10.166666666666666</v>
      </c>
      <c r="S3924" t="str">
        <f t="shared" si="4213"/>
        <v>theater</v>
      </c>
      <c r="T3924" t="str">
        <f t="shared" si="4214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ref="K3925:L3925" si="4232">(J3925/60/60/24)+DATE(1970,1,1)</f>
        <v>42075.979988425926</v>
      </c>
      <c r="L3925" s="11">
        <f t="shared" si="4210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4211"/>
        <v>12.034782608695652</v>
      </c>
      <c r="R3925" s="7">
        <f t="shared" si="4212"/>
        <v>81.411764705882348</v>
      </c>
      <c r="S3925" t="str">
        <f t="shared" si="4213"/>
        <v>theater</v>
      </c>
      <c r="T3925" t="str">
        <f t="shared" si="4214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ref="K3926:L3926" si="4233">(J3926/60/60/24)+DATE(1970,1,1)</f>
        <v>41786.959745370368</v>
      </c>
      <c r="L3926" s="11">
        <f t="shared" si="4210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4211"/>
        <v>15.266666666666667</v>
      </c>
      <c r="R3926" s="7">
        <f t="shared" si="4212"/>
        <v>57.25</v>
      </c>
      <c r="S3926" t="str">
        <f t="shared" si="4213"/>
        <v>theater</v>
      </c>
      <c r="T3926" t="str">
        <f t="shared" si="4214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ref="K3927:L3927" si="4234">(J3927/60/60/24)+DATE(1970,1,1)</f>
        <v>41820.870821759258</v>
      </c>
      <c r="L3927" s="11">
        <f t="shared" si="4210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4211"/>
        <v>10</v>
      </c>
      <c r="R3927" s="7">
        <f t="shared" si="4212"/>
        <v>5</v>
      </c>
      <c r="S3927" t="str">
        <f t="shared" si="4213"/>
        <v>theater</v>
      </c>
      <c r="T3927" t="str">
        <f t="shared" si="4214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ref="K3928:L3928" si="4235">(J3928/60/60/24)+DATE(1970,1,1)</f>
        <v>41970.085046296299</v>
      </c>
      <c r="L3928" s="11">
        <f t="shared" si="4210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4211"/>
        <v>0.3</v>
      </c>
      <c r="R3928" s="7">
        <f t="shared" si="4212"/>
        <v>15</v>
      </c>
      <c r="S3928" t="str">
        <f t="shared" si="4213"/>
        <v>theater</v>
      </c>
      <c r="T3928" t="str">
        <f t="shared" si="4214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ref="K3929:L3929" si="4236">(J3929/60/60/24)+DATE(1970,1,1)</f>
        <v>41830.267407407409</v>
      </c>
      <c r="L3929" s="11">
        <f t="shared" si="4210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4211"/>
        <v>1</v>
      </c>
      <c r="R3929" s="7">
        <f t="shared" si="4212"/>
        <v>12.5</v>
      </c>
      <c r="S3929" t="str">
        <f t="shared" si="4213"/>
        <v>theater</v>
      </c>
      <c r="T3929" t="str">
        <f t="shared" si="4214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ref="K3930:L3930" si="4237">(J3930/60/60/24)+DATE(1970,1,1)</f>
        <v>42265.683182870373</v>
      </c>
      <c r="L3930" s="11">
        <f t="shared" si="4210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4211"/>
        <v>13.020000000000001</v>
      </c>
      <c r="R3930" s="7">
        <f t="shared" si="4212"/>
        <v>93</v>
      </c>
      <c r="S3930" t="str">
        <f t="shared" si="4213"/>
        <v>theater</v>
      </c>
      <c r="T3930" t="str">
        <f t="shared" si="4214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ref="K3931:L3931" si="4238">(J3931/60/60/24)+DATE(1970,1,1)</f>
        <v>42601.827141203699</v>
      </c>
      <c r="L3931" s="11">
        <f t="shared" si="4210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4211"/>
        <v>2.2650000000000001</v>
      </c>
      <c r="R3931" s="7">
        <f t="shared" si="4212"/>
        <v>32.357142857142854</v>
      </c>
      <c r="S3931" t="str">
        <f t="shared" si="4213"/>
        <v>theater</v>
      </c>
      <c r="T3931" t="str">
        <f t="shared" si="4214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ref="K3932:L3932" si="4239">(J3932/60/60/24)+DATE(1970,1,1)</f>
        <v>42433.338749999995</v>
      </c>
      <c r="L3932" s="11">
        <f t="shared" si="4210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4211"/>
        <v>0</v>
      </c>
      <c r="R3932" s="7">
        <f t="shared" si="4212"/>
        <v>0</v>
      </c>
      <c r="S3932" t="str">
        <f t="shared" si="4213"/>
        <v>theater</v>
      </c>
      <c r="T3932" t="str">
        <f t="shared" si="4214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ref="K3933:L3933" si="4240">(J3933/60/60/24)+DATE(1970,1,1)</f>
        <v>42228.151701388888</v>
      </c>
      <c r="L3933" s="11">
        <f t="shared" si="4210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4211"/>
        <v>0</v>
      </c>
      <c r="R3933" s="7">
        <f t="shared" si="4212"/>
        <v>0</v>
      </c>
      <c r="S3933" t="str">
        <f t="shared" si="4213"/>
        <v>theater</v>
      </c>
      <c r="T3933" t="str">
        <f t="shared" si="4214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ref="K3934:L3934" si="4241">(J3934/60/60/24)+DATE(1970,1,1)</f>
        <v>42415.168564814812</v>
      </c>
      <c r="L3934" s="11">
        <f t="shared" si="4210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4211"/>
        <v>8.3333333333333332E-3</v>
      </c>
      <c r="R3934" s="7">
        <f t="shared" si="4212"/>
        <v>1</v>
      </c>
      <c r="S3934" t="str">
        <f t="shared" si="4213"/>
        <v>theater</v>
      </c>
      <c r="T3934" t="str">
        <f t="shared" si="4214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ref="K3935:L3935" si="4242">(J3935/60/60/24)+DATE(1970,1,1)</f>
        <v>42538.968310185184</v>
      </c>
      <c r="L3935" s="11">
        <f t="shared" si="4210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4211"/>
        <v>15.742857142857142</v>
      </c>
      <c r="R3935" s="7">
        <f t="shared" si="4212"/>
        <v>91.833333333333329</v>
      </c>
      <c r="S3935" t="str">
        <f t="shared" si="4213"/>
        <v>theater</v>
      </c>
      <c r="T3935" t="str">
        <f t="shared" si="4214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ref="K3936:L3936" si="4243">(J3936/60/60/24)+DATE(1970,1,1)</f>
        <v>42233.671747685185</v>
      </c>
      <c r="L3936" s="11">
        <f t="shared" si="4210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4211"/>
        <v>11</v>
      </c>
      <c r="R3936" s="7">
        <f t="shared" si="4212"/>
        <v>45.833333333333336</v>
      </c>
      <c r="S3936" t="str">
        <f t="shared" si="4213"/>
        <v>theater</v>
      </c>
      <c r="T3936" t="str">
        <f t="shared" si="4214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ref="K3937:L3937" si="4244">(J3937/60/60/24)+DATE(1970,1,1)</f>
        <v>42221.656782407401</v>
      </c>
      <c r="L3937" s="11">
        <f t="shared" si="4210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4211"/>
        <v>43.833333333333336</v>
      </c>
      <c r="R3937" s="7">
        <f t="shared" si="4212"/>
        <v>57.173913043478258</v>
      </c>
      <c r="S3937" t="str">
        <f t="shared" si="4213"/>
        <v>theater</v>
      </c>
      <c r="T3937" t="str">
        <f t="shared" si="4214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ref="K3938:L3938" si="4245">(J3938/60/60/24)+DATE(1970,1,1)</f>
        <v>42675.262962962966</v>
      </c>
      <c r="L3938" s="11">
        <f t="shared" si="4210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4211"/>
        <v>0</v>
      </c>
      <c r="R3938" s="7">
        <f t="shared" si="4212"/>
        <v>0</v>
      </c>
      <c r="S3938" t="str">
        <f t="shared" si="4213"/>
        <v>theater</v>
      </c>
      <c r="T3938" t="str">
        <f t="shared" si="4214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ref="K3939:L3939" si="4246">(J3939/60/60/24)+DATE(1970,1,1)</f>
        <v>42534.631481481483</v>
      </c>
      <c r="L3939" s="11">
        <f t="shared" si="4210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4211"/>
        <v>86.135181975736558</v>
      </c>
      <c r="R3939" s="7">
        <f t="shared" si="4212"/>
        <v>248.5</v>
      </c>
      <c r="S3939" t="str">
        <f t="shared" si="4213"/>
        <v>theater</v>
      </c>
      <c r="T3939" t="str">
        <f t="shared" si="4214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ref="K3940:L3940" si="4247">(J3940/60/60/24)+DATE(1970,1,1)</f>
        <v>42151.905717592599</v>
      </c>
      <c r="L3940" s="11">
        <f t="shared" si="4210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4211"/>
        <v>12.196620583717358</v>
      </c>
      <c r="R3940" s="7">
        <f t="shared" si="4212"/>
        <v>79.400000000000006</v>
      </c>
      <c r="S3940" t="str">
        <f t="shared" si="4213"/>
        <v>theater</v>
      </c>
      <c r="T3940" t="str">
        <f t="shared" si="4214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ref="K3941:L3941" si="4248">(J3941/60/60/24)+DATE(1970,1,1)</f>
        <v>41915.400219907409</v>
      </c>
      <c r="L3941" s="11">
        <f t="shared" si="4210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4211"/>
        <v>0.1</v>
      </c>
      <c r="R3941" s="7">
        <f t="shared" si="4212"/>
        <v>5</v>
      </c>
      <c r="S3941" t="str">
        <f t="shared" si="4213"/>
        <v>theater</v>
      </c>
      <c r="T3941" t="str">
        <f t="shared" si="4214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ref="K3942:L3942" si="4249">(J3942/60/60/24)+DATE(1970,1,1)</f>
        <v>41961.492488425924</v>
      </c>
      <c r="L3942" s="11">
        <f t="shared" si="4210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4211"/>
        <v>0.22</v>
      </c>
      <c r="R3942" s="7">
        <f t="shared" si="4212"/>
        <v>5.5</v>
      </c>
      <c r="S3942" t="str">
        <f t="shared" si="4213"/>
        <v>theater</v>
      </c>
      <c r="T3942" t="str">
        <f t="shared" si="4214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ref="K3943:L3943" si="4250">(J3943/60/60/24)+DATE(1970,1,1)</f>
        <v>41940.587233796294</v>
      </c>
      <c r="L3943" s="11">
        <f t="shared" si="4210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4211"/>
        <v>0.90909090909090906</v>
      </c>
      <c r="R3943" s="7">
        <f t="shared" si="4212"/>
        <v>25</v>
      </c>
      <c r="S3943" t="str">
        <f t="shared" si="4213"/>
        <v>theater</v>
      </c>
      <c r="T3943" t="str">
        <f t="shared" si="4214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ref="K3944:L3944" si="4251">(J3944/60/60/24)+DATE(1970,1,1)</f>
        <v>42111.904097222221</v>
      </c>
      <c r="L3944" s="11">
        <f t="shared" si="4210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4211"/>
        <v>0</v>
      </c>
      <c r="R3944" s="7">
        <f t="shared" si="4212"/>
        <v>0</v>
      </c>
      <c r="S3944" t="str">
        <f t="shared" si="4213"/>
        <v>theater</v>
      </c>
      <c r="T3944" t="str">
        <f t="shared" si="4214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ref="K3945:L3945" si="4252">(J3945/60/60/24)+DATE(1970,1,1)</f>
        <v>42279.778564814813</v>
      </c>
      <c r="L3945" s="11">
        <f t="shared" si="4210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4211"/>
        <v>35.64</v>
      </c>
      <c r="R3945" s="7">
        <f t="shared" si="4212"/>
        <v>137.07692307692307</v>
      </c>
      <c r="S3945" t="str">
        <f t="shared" si="4213"/>
        <v>theater</v>
      </c>
      <c r="T3945" t="str">
        <f t="shared" si="4214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ref="K3946:L3946" si="4253">(J3946/60/60/24)+DATE(1970,1,1)</f>
        <v>42213.662905092591</v>
      </c>
      <c r="L3946" s="11">
        <f t="shared" si="4210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4211"/>
        <v>0</v>
      </c>
      <c r="R3946" s="7">
        <f t="shared" si="4212"/>
        <v>0</v>
      </c>
      <c r="S3946" t="str">
        <f t="shared" si="4213"/>
        <v>theater</v>
      </c>
      <c r="T3946" t="str">
        <f t="shared" si="4214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ref="K3947:L3947" si="4254">(J3947/60/60/24)+DATE(1970,1,1)</f>
        <v>42109.801712962959</v>
      </c>
      <c r="L3947" s="11">
        <f t="shared" si="4210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4211"/>
        <v>0.25</v>
      </c>
      <c r="R3947" s="7">
        <f t="shared" si="4212"/>
        <v>5</v>
      </c>
      <c r="S3947" t="str">
        <f t="shared" si="4213"/>
        <v>theater</v>
      </c>
      <c r="T3947" t="str">
        <f t="shared" si="4214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ref="K3948:L3948" si="4255">(J3948/60/60/24)+DATE(1970,1,1)</f>
        <v>42031.833587962959</v>
      </c>
      <c r="L3948" s="11">
        <f t="shared" si="4210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4211"/>
        <v>3.25</v>
      </c>
      <c r="R3948" s="7">
        <f t="shared" si="4212"/>
        <v>39</v>
      </c>
      <c r="S3948" t="str">
        <f t="shared" si="4213"/>
        <v>theater</v>
      </c>
      <c r="T3948" t="str">
        <f t="shared" si="4214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ref="K3949:L3949" si="4256">(J3949/60/60/24)+DATE(1970,1,1)</f>
        <v>42615.142870370371</v>
      </c>
      <c r="L3949" s="11">
        <f t="shared" si="4210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4211"/>
        <v>3.3666666666666663</v>
      </c>
      <c r="R3949" s="7">
        <f t="shared" si="4212"/>
        <v>50.5</v>
      </c>
      <c r="S3949" t="str">
        <f t="shared" si="4213"/>
        <v>theater</v>
      </c>
      <c r="T3949" t="str">
        <f t="shared" si="4214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ref="K3950:L3950" si="4257">(J3950/60/60/24)+DATE(1970,1,1)</f>
        <v>41829.325497685182</v>
      </c>
      <c r="L3950" s="11">
        <f t="shared" si="4210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4211"/>
        <v>0</v>
      </c>
      <c r="R3950" s="7">
        <f t="shared" si="4212"/>
        <v>0</v>
      </c>
      <c r="S3950" t="str">
        <f t="shared" si="4213"/>
        <v>theater</v>
      </c>
      <c r="T3950" t="str">
        <f t="shared" si="4214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ref="K3951:L3951" si="4258">(J3951/60/60/24)+DATE(1970,1,1)</f>
        <v>42016.120613425926</v>
      </c>
      <c r="L3951" s="11">
        <f t="shared" si="4210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4211"/>
        <v>15.770000000000001</v>
      </c>
      <c r="R3951" s="7">
        <f t="shared" si="4212"/>
        <v>49.28125</v>
      </c>
      <c r="S3951" t="str">
        <f t="shared" si="4213"/>
        <v>theater</v>
      </c>
      <c r="T3951" t="str">
        <f t="shared" si="4214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ref="K3952:L3952" si="4259">(J3952/60/60/24)+DATE(1970,1,1)</f>
        <v>42439.702314814815</v>
      </c>
      <c r="L3952" s="11">
        <f t="shared" si="4210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4211"/>
        <v>0.625</v>
      </c>
      <c r="R3952" s="7">
        <f t="shared" si="4212"/>
        <v>25</v>
      </c>
      <c r="S3952" t="str">
        <f t="shared" si="4213"/>
        <v>theater</v>
      </c>
      <c r="T3952" t="str">
        <f t="shared" si="4214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ref="K3953:L3953" si="4260">(J3953/60/60/24)+DATE(1970,1,1)</f>
        <v>42433.825717592597</v>
      </c>
      <c r="L3953" s="11">
        <f t="shared" si="4210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4211"/>
        <v>5.0000000000000001E-4</v>
      </c>
      <c r="R3953" s="7">
        <f t="shared" si="4212"/>
        <v>1</v>
      </c>
      <c r="S3953" t="str">
        <f t="shared" si="4213"/>
        <v>theater</v>
      </c>
      <c r="T3953" t="str">
        <f t="shared" si="4214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ref="K3954:L3954" si="4261">(J3954/60/60/24)+DATE(1970,1,1)</f>
        <v>42243.790393518517</v>
      </c>
      <c r="L3954" s="11">
        <f t="shared" si="4210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4211"/>
        <v>9.6153846153846159E-2</v>
      </c>
      <c r="R3954" s="7">
        <f t="shared" si="4212"/>
        <v>25</v>
      </c>
      <c r="S3954" t="str">
        <f t="shared" si="4213"/>
        <v>theater</v>
      </c>
      <c r="T3954" t="str">
        <f t="shared" si="4214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ref="K3955:L3955" si="4262">(J3955/60/60/24)+DATE(1970,1,1)</f>
        <v>42550.048449074078</v>
      </c>
      <c r="L3955" s="11">
        <f t="shared" si="4210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4211"/>
        <v>0</v>
      </c>
      <c r="R3955" s="7">
        <f t="shared" si="4212"/>
        <v>0</v>
      </c>
      <c r="S3955" t="str">
        <f t="shared" si="4213"/>
        <v>theater</v>
      </c>
      <c r="T3955" t="str">
        <f t="shared" si="4214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ref="K3956:L3956" si="4263">(J3956/60/60/24)+DATE(1970,1,1)</f>
        <v>41774.651203703703</v>
      </c>
      <c r="L3956" s="11">
        <f t="shared" si="4210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4211"/>
        <v>0</v>
      </c>
      <c r="R3956" s="7">
        <f t="shared" si="4212"/>
        <v>0</v>
      </c>
      <c r="S3956" t="str">
        <f t="shared" si="4213"/>
        <v>theater</v>
      </c>
      <c r="T3956" t="str">
        <f t="shared" si="4214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ref="K3957:L3957" si="4264">(J3957/60/60/24)+DATE(1970,1,1)</f>
        <v>42306.848854166667</v>
      </c>
      <c r="L3957" s="11">
        <f t="shared" si="4210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4211"/>
        <v>24.285714285714285</v>
      </c>
      <c r="R3957" s="7">
        <f t="shared" si="4212"/>
        <v>53.125</v>
      </c>
      <c r="S3957" t="str">
        <f t="shared" si="4213"/>
        <v>theater</v>
      </c>
      <c r="T3957" t="str">
        <f t="shared" si="4214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ref="K3958:L3958" si="4265">(J3958/60/60/24)+DATE(1970,1,1)</f>
        <v>42457.932025462964</v>
      </c>
      <c r="L3958" s="11">
        <f t="shared" si="4210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4211"/>
        <v>0</v>
      </c>
      <c r="R3958" s="7">
        <f t="shared" si="4212"/>
        <v>0</v>
      </c>
      <c r="S3958" t="str">
        <f t="shared" si="4213"/>
        <v>theater</v>
      </c>
      <c r="T3958" t="str">
        <f t="shared" si="4214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ref="K3959:L3959" si="4266">(J3959/60/60/24)+DATE(1970,1,1)</f>
        <v>42513.976319444439</v>
      </c>
      <c r="L3959" s="11">
        <f t="shared" si="4210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4211"/>
        <v>2.5000000000000001E-2</v>
      </c>
      <c r="R3959" s="7">
        <f t="shared" si="4212"/>
        <v>7</v>
      </c>
      <c r="S3959" t="str">
        <f t="shared" si="4213"/>
        <v>theater</v>
      </c>
      <c r="T3959" t="str">
        <f t="shared" si="4214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ref="K3960:L3960" si="4267">(J3960/60/60/24)+DATE(1970,1,1)</f>
        <v>41816.950370370374</v>
      </c>
      <c r="L3960" s="11">
        <f t="shared" si="4210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4211"/>
        <v>32.049999999999997</v>
      </c>
      <c r="R3960" s="7">
        <f t="shared" si="4212"/>
        <v>40.0625</v>
      </c>
      <c r="S3960" t="str">
        <f t="shared" si="4213"/>
        <v>theater</v>
      </c>
      <c r="T3960" t="str">
        <f t="shared" si="4214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ref="K3961:L3961" si="4268">(J3961/60/60/24)+DATE(1970,1,1)</f>
        <v>41880.788842592592</v>
      </c>
      <c r="L3961" s="11">
        <f t="shared" si="4210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4211"/>
        <v>24.333333333333336</v>
      </c>
      <c r="R3961" s="7">
        <f t="shared" si="4212"/>
        <v>24.333333333333332</v>
      </c>
      <c r="S3961" t="str">
        <f t="shared" si="4213"/>
        <v>theater</v>
      </c>
      <c r="T3961" t="str">
        <f t="shared" si="4214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ref="K3962:L3962" si="4269">(J3962/60/60/24)+DATE(1970,1,1)</f>
        <v>42342.845555555556</v>
      </c>
      <c r="L3962" s="11">
        <f t="shared" si="4210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4211"/>
        <v>1.5</v>
      </c>
      <c r="R3962" s="7">
        <f t="shared" si="4212"/>
        <v>11.25</v>
      </c>
      <c r="S3962" t="str">
        <f t="shared" si="4213"/>
        <v>theater</v>
      </c>
      <c r="T3962" t="str">
        <f t="shared" si="4214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ref="K3963:L3963" si="4270">(J3963/60/60/24)+DATE(1970,1,1)</f>
        <v>41745.891319444447</v>
      </c>
      <c r="L3963" s="11">
        <f t="shared" si="4210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4211"/>
        <v>0.42</v>
      </c>
      <c r="R3963" s="7">
        <f t="shared" si="4212"/>
        <v>10.5</v>
      </c>
      <c r="S3963" t="str">
        <f t="shared" si="4213"/>
        <v>theater</v>
      </c>
      <c r="T3963" t="str">
        <f t="shared" si="4214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ref="K3964:L3964" si="4271">(J3964/60/60/24)+DATE(1970,1,1)</f>
        <v>42311.621458333335</v>
      </c>
      <c r="L3964" s="11">
        <f t="shared" si="4210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4211"/>
        <v>3.214285714285714</v>
      </c>
      <c r="R3964" s="7">
        <f t="shared" si="4212"/>
        <v>15</v>
      </c>
      <c r="S3964" t="str">
        <f t="shared" si="4213"/>
        <v>theater</v>
      </c>
      <c r="T3964" t="str">
        <f t="shared" si="4214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ref="K3965:L3965" si="4272">(J3965/60/60/24)+DATE(1970,1,1)</f>
        <v>42296.154131944444</v>
      </c>
      <c r="L3965" s="11">
        <f t="shared" si="4210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4211"/>
        <v>0</v>
      </c>
      <c r="R3965" s="7">
        <f t="shared" si="4212"/>
        <v>0</v>
      </c>
      <c r="S3965" t="str">
        <f t="shared" si="4213"/>
        <v>theater</v>
      </c>
      <c r="T3965" t="str">
        <f t="shared" si="4214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ref="K3966:L3966" si="4273">(J3966/60/60/24)+DATE(1970,1,1)</f>
        <v>42053.722060185188</v>
      </c>
      <c r="L3966" s="11">
        <f t="shared" si="4210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4211"/>
        <v>6.3</v>
      </c>
      <c r="R3966" s="7">
        <f t="shared" si="4212"/>
        <v>42</v>
      </c>
      <c r="S3966" t="str">
        <f t="shared" si="4213"/>
        <v>theater</v>
      </c>
      <c r="T3966" t="str">
        <f t="shared" si="4214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ref="K3967:L3967" si="4274">(J3967/60/60/24)+DATE(1970,1,1)</f>
        <v>42414.235879629632</v>
      </c>
      <c r="L3967" s="11">
        <f t="shared" si="4210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4211"/>
        <v>14.249999999999998</v>
      </c>
      <c r="R3967" s="7">
        <f t="shared" si="4212"/>
        <v>71.25</v>
      </c>
      <c r="S3967" t="str">
        <f t="shared" si="4213"/>
        <v>theater</v>
      </c>
      <c r="T3967" t="str">
        <f t="shared" si="4214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ref="K3968:L3968" si="4275">(J3968/60/60/24)+DATE(1970,1,1)</f>
        <v>41801.711550925924</v>
      </c>
      <c r="L3968" s="11">
        <f t="shared" si="4210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4211"/>
        <v>0.6</v>
      </c>
      <c r="R3968" s="7">
        <f t="shared" si="4212"/>
        <v>22.5</v>
      </c>
      <c r="S3968" t="str">
        <f t="shared" si="4213"/>
        <v>theater</v>
      </c>
      <c r="T3968" t="str">
        <f t="shared" si="4214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ref="K3969:L3969" si="4276">(J3969/60/60/24)+DATE(1970,1,1)</f>
        <v>42770.290590277778</v>
      </c>
      <c r="L3969" s="11">
        <f t="shared" si="4210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4211"/>
        <v>24.117647058823529</v>
      </c>
      <c r="R3969" s="7">
        <f t="shared" si="4212"/>
        <v>41</v>
      </c>
      <c r="S3969" t="str">
        <f t="shared" si="4213"/>
        <v>theater</v>
      </c>
      <c r="T3969" t="str">
        <f t="shared" si="4214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ref="K3970:L3970" si="4277">(J3970/60/60/24)+DATE(1970,1,1)</f>
        <v>42452.815659722226</v>
      </c>
      <c r="L3970" s="11">
        <f t="shared" si="4210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4211"/>
        <v>10.54</v>
      </c>
      <c r="R3970" s="7">
        <f t="shared" si="4212"/>
        <v>47.909090909090907</v>
      </c>
      <c r="S3970" t="str">
        <f t="shared" si="4213"/>
        <v>theater</v>
      </c>
      <c r="T3970" t="str">
        <f t="shared" si="4214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ref="K3971:L3971" si="4278">(J3971/60/60/24)+DATE(1970,1,1)</f>
        <v>42601.854699074072</v>
      </c>
      <c r="L3971" s="11">
        <f t="shared" ref="L3971:L4034" si="4279">(I3971/60/60/24)+DATE(1970,1,1)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4280">(E3971/D3971)*100</f>
        <v>7.4690265486725664</v>
      </c>
      <c r="R3971" s="7">
        <f t="shared" ref="R3971:R4034" si="4281">IFERROR(E3971/N3971, 0)</f>
        <v>35.166666666666664</v>
      </c>
      <c r="S3971" t="str">
        <f t="shared" ref="S3971:S4034" si="4282">LEFT(P3971, SEARCH("/", P3971,1)-1)</f>
        <v>theater</v>
      </c>
      <c r="T3971" t="str">
        <f t="shared" ref="T3971:T4034" si="4283">RIGHT(P3971,LEN(P3971)-SEARCH("/",P3971,SEARCH("/",P3971)))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ref="K3972:L3972" si="4284">(J3972/60/60/24)+DATE(1970,1,1)</f>
        <v>42447.863553240735</v>
      </c>
      <c r="L3972" s="11">
        <f t="shared" si="427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4280"/>
        <v>7.3333333333333334E-2</v>
      </c>
      <c r="R3972" s="7">
        <f t="shared" si="4281"/>
        <v>5.5</v>
      </c>
      <c r="S3972" t="str">
        <f t="shared" si="4282"/>
        <v>theater</v>
      </c>
      <c r="T3972" t="str">
        <f t="shared" si="4283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ref="K3973:L3973" si="4285">(J3973/60/60/24)+DATE(1970,1,1)</f>
        <v>41811.536180555559</v>
      </c>
      <c r="L3973" s="11">
        <f t="shared" si="427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4280"/>
        <v>0.97142857142857131</v>
      </c>
      <c r="R3973" s="7">
        <f t="shared" si="4281"/>
        <v>22.666666666666668</v>
      </c>
      <c r="S3973" t="str">
        <f t="shared" si="4282"/>
        <v>theater</v>
      </c>
      <c r="T3973" t="str">
        <f t="shared" si="4283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ref="K3974:L3974" si="4286">(J3974/60/60/24)+DATE(1970,1,1)</f>
        <v>41981.067523148144</v>
      </c>
      <c r="L3974" s="11">
        <f t="shared" si="427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4280"/>
        <v>21.099999999999998</v>
      </c>
      <c r="R3974" s="7">
        <f t="shared" si="4281"/>
        <v>26.375</v>
      </c>
      <c r="S3974" t="str">
        <f t="shared" si="4282"/>
        <v>theater</v>
      </c>
      <c r="T3974" t="str">
        <f t="shared" si="4283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ref="K3975:L3975" si="4287">(J3975/60/60/24)+DATE(1970,1,1)</f>
        <v>42469.68414351852</v>
      </c>
      <c r="L3975" s="11">
        <f t="shared" si="427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4280"/>
        <v>78.100000000000009</v>
      </c>
      <c r="R3975" s="7">
        <f t="shared" si="4281"/>
        <v>105.54054054054055</v>
      </c>
      <c r="S3975" t="str">
        <f t="shared" si="4282"/>
        <v>theater</v>
      </c>
      <c r="T3975" t="str">
        <f t="shared" si="4283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ref="K3976:L3976" si="4288">(J3976/60/60/24)+DATE(1970,1,1)</f>
        <v>42493.546851851846</v>
      </c>
      <c r="L3976" s="11">
        <f t="shared" si="427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4280"/>
        <v>32</v>
      </c>
      <c r="R3976" s="7">
        <f t="shared" si="4281"/>
        <v>29.09090909090909</v>
      </c>
      <c r="S3976" t="str">
        <f t="shared" si="4282"/>
        <v>theater</v>
      </c>
      <c r="T3976" t="str">
        <f t="shared" si="4283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ref="K3977:L3977" si="4289">(J3977/60/60/24)+DATE(1970,1,1)</f>
        <v>42534.866875</v>
      </c>
      <c r="L3977" s="11">
        <f t="shared" si="4279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4280"/>
        <v>0</v>
      </c>
      <c r="R3977" s="7">
        <f t="shared" si="4281"/>
        <v>0</v>
      </c>
      <c r="S3977" t="str">
        <f t="shared" si="4282"/>
        <v>theater</v>
      </c>
      <c r="T3977" t="str">
        <f t="shared" si="4283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ref="K3978:L3978" si="4290">(J3978/60/60/24)+DATE(1970,1,1)</f>
        <v>41830.858344907407</v>
      </c>
      <c r="L3978" s="11">
        <f t="shared" si="427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4280"/>
        <v>47.692307692307693</v>
      </c>
      <c r="R3978" s="7">
        <f t="shared" si="4281"/>
        <v>62</v>
      </c>
      <c r="S3978" t="str">
        <f t="shared" si="4282"/>
        <v>theater</v>
      </c>
      <c r="T3978" t="str">
        <f t="shared" si="4283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ref="K3979:L3979" si="4291">(J3979/60/60/24)+DATE(1970,1,1)</f>
        <v>42543.788564814815</v>
      </c>
      <c r="L3979" s="11">
        <f t="shared" si="427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4280"/>
        <v>1.4500000000000002</v>
      </c>
      <c r="R3979" s="7">
        <f t="shared" si="4281"/>
        <v>217.5</v>
      </c>
      <c r="S3979" t="str">
        <f t="shared" si="4282"/>
        <v>theater</v>
      </c>
      <c r="T3979" t="str">
        <f t="shared" si="4283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ref="K3980:L3980" si="4292">(J3980/60/60/24)+DATE(1970,1,1)</f>
        <v>41975.642974537041</v>
      </c>
      <c r="L3980" s="11">
        <f t="shared" si="427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4280"/>
        <v>10.7</v>
      </c>
      <c r="R3980" s="7">
        <f t="shared" si="4281"/>
        <v>26.75</v>
      </c>
      <c r="S3980" t="str">
        <f t="shared" si="4282"/>
        <v>theater</v>
      </c>
      <c r="T3980" t="str">
        <f t="shared" si="4283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ref="K3981:L3981" si="4293">(J3981/60/60/24)+DATE(1970,1,1)</f>
        <v>42069.903437500005</v>
      </c>
      <c r="L3981" s="11">
        <f t="shared" si="427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4280"/>
        <v>1.8333333333333333</v>
      </c>
      <c r="R3981" s="7">
        <f t="shared" si="4281"/>
        <v>18.333333333333332</v>
      </c>
      <c r="S3981" t="str">
        <f t="shared" si="4282"/>
        <v>theater</v>
      </c>
      <c r="T3981" t="str">
        <f t="shared" si="4283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ref="K3982:L3982" si="4294">(J3982/60/60/24)+DATE(1970,1,1)</f>
        <v>41795.598923611113</v>
      </c>
      <c r="L3982" s="11">
        <f t="shared" si="427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4280"/>
        <v>18</v>
      </c>
      <c r="R3982" s="7">
        <f t="shared" si="4281"/>
        <v>64.285714285714292</v>
      </c>
      <c r="S3982" t="str">
        <f t="shared" si="4282"/>
        <v>theater</v>
      </c>
      <c r="T3982" t="str">
        <f t="shared" si="4283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ref="K3983:L3983" si="4295">(J3983/60/60/24)+DATE(1970,1,1)</f>
        <v>42508.179965277777</v>
      </c>
      <c r="L3983" s="11">
        <f t="shared" si="427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4280"/>
        <v>4.083333333333333</v>
      </c>
      <c r="R3983" s="7">
        <f t="shared" si="4281"/>
        <v>175</v>
      </c>
      <c r="S3983" t="str">
        <f t="shared" si="4282"/>
        <v>theater</v>
      </c>
      <c r="T3983" t="str">
        <f t="shared" si="4283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ref="K3984:L3984" si="4296">(J3984/60/60/24)+DATE(1970,1,1)</f>
        <v>42132.809953703705</v>
      </c>
      <c r="L3984" s="11">
        <f t="shared" si="427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4280"/>
        <v>20</v>
      </c>
      <c r="R3984" s="7">
        <f t="shared" si="4281"/>
        <v>34</v>
      </c>
      <c r="S3984" t="str">
        <f t="shared" si="4282"/>
        <v>theater</v>
      </c>
      <c r="T3984" t="str">
        <f t="shared" si="4283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ref="K3985:L3985" si="4297">(J3985/60/60/24)+DATE(1970,1,1)</f>
        <v>41747.86986111111</v>
      </c>
      <c r="L3985" s="11">
        <f t="shared" si="427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4280"/>
        <v>34.802513464991023</v>
      </c>
      <c r="R3985" s="7">
        <f t="shared" si="4281"/>
        <v>84.282608695652172</v>
      </c>
      <c r="S3985" t="str">
        <f t="shared" si="4282"/>
        <v>theater</v>
      </c>
      <c r="T3985" t="str">
        <f t="shared" si="4283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ref="K3986:L3986" si="4298">(J3986/60/60/24)+DATE(1970,1,1)</f>
        <v>41920.963472222218</v>
      </c>
      <c r="L3986" s="11">
        <f t="shared" si="4279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4280"/>
        <v>6.3333333333333339</v>
      </c>
      <c r="R3986" s="7">
        <f t="shared" si="4281"/>
        <v>9.5</v>
      </c>
      <c r="S3986" t="str">
        <f t="shared" si="4282"/>
        <v>theater</v>
      </c>
      <c r="T3986" t="str">
        <f t="shared" si="4283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ref="K3987:L3987" si="4299">(J3987/60/60/24)+DATE(1970,1,1)</f>
        <v>42399.707407407404</v>
      </c>
      <c r="L3987" s="11">
        <f t="shared" si="427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4280"/>
        <v>32.049999999999997</v>
      </c>
      <c r="R3987" s="7">
        <f t="shared" si="4281"/>
        <v>33.736842105263158</v>
      </c>
      <c r="S3987" t="str">
        <f t="shared" si="4282"/>
        <v>theater</v>
      </c>
      <c r="T3987" t="str">
        <f t="shared" si="4283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ref="K3988:L3988" si="4300">(J3988/60/60/24)+DATE(1970,1,1)</f>
        <v>42467.548541666663</v>
      </c>
      <c r="L3988" s="11">
        <f t="shared" si="427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4280"/>
        <v>9.76</v>
      </c>
      <c r="R3988" s="7">
        <f t="shared" si="4281"/>
        <v>37.53846153846154</v>
      </c>
      <c r="S3988" t="str">
        <f t="shared" si="4282"/>
        <v>theater</v>
      </c>
      <c r="T3988" t="str">
        <f t="shared" si="4283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ref="K3989:L3989" si="4301">(J3989/60/60/24)+DATE(1970,1,1)</f>
        <v>41765.92465277778</v>
      </c>
      <c r="L3989" s="11">
        <f t="shared" si="427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4280"/>
        <v>37.75</v>
      </c>
      <c r="R3989" s="7">
        <f t="shared" si="4281"/>
        <v>11.615384615384615</v>
      </c>
      <c r="S3989" t="str">
        <f t="shared" si="4282"/>
        <v>theater</v>
      </c>
      <c r="T3989" t="str">
        <f t="shared" si="4283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ref="K3990:L3990" si="4302">(J3990/60/60/24)+DATE(1970,1,1)</f>
        <v>42230.08116898148</v>
      </c>
      <c r="L3990" s="11">
        <f t="shared" si="427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4280"/>
        <v>2.1333333333333333</v>
      </c>
      <c r="R3990" s="7">
        <f t="shared" si="4281"/>
        <v>8</v>
      </c>
      <c r="S3990" t="str">
        <f t="shared" si="4282"/>
        <v>theater</v>
      </c>
      <c r="T3990" t="str">
        <f t="shared" si="4283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ref="K3991:L3991" si="4303">(J3991/60/60/24)+DATE(1970,1,1)</f>
        <v>42286.749780092592</v>
      </c>
      <c r="L3991" s="11">
        <f t="shared" si="427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4280"/>
        <v>0</v>
      </c>
      <c r="R3991" s="7">
        <f t="shared" si="4281"/>
        <v>0</v>
      </c>
      <c r="S3991" t="str">
        <f t="shared" si="4282"/>
        <v>theater</v>
      </c>
      <c r="T3991" t="str">
        <f t="shared" si="4283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ref="K3992:L3992" si="4304">(J3992/60/60/24)+DATE(1970,1,1)</f>
        <v>42401.672372685185</v>
      </c>
      <c r="L3992" s="11">
        <f t="shared" si="427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4280"/>
        <v>4.1818181818181817</v>
      </c>
      <c r="R3992" s="7">
        <f t="shared" si="4281"/>
        <v>23</v>
      </c>
      <c r="S3992" t="str">
        <f t="shared" si="4282"/>
        <v>theater</v>
      </c>
      <c r="T3992" t="str">
        <f t="shared" si="4283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ref="K3993:L3993" si="4305">(J3993/60/60/24)+DATE(1970,1,1)</f>
        <v>42125.644467592589</v>
      </c>
      <c r="L3993" s="11">
        <f t="shared" si="427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4280"/>
        <v>20</v>
      </c>
      <c r="R3993" s="7">
        <f t="shared" si="4281"/>
        <v>100</v>
      </c>
      <c r="S3993" t="str">
        <f t="shared" si="4282"/>
        <v>theater</v>
      </c>
      <c r="T3993" t="str">
        <f t="shared" si="4283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ref="K3994:L3994" si="4306">(J3994/60/60/24)+DATE(1970,1,1)</f>
        <v>42289.94049768518</v>
      </c>
      <c r="L3994" s="11">
        <f t="shared" si="427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4280"/>
        <v>5.41</v>
      </c>
      <c r="R3994" s="7">
        <f t="shared" si="4281"/>
        <v>60.111111111111114</v>
      </c>
      <c r="S3994" t="str">
        <f t="shared" si="4282"/>
        <v>theater</v>
      </c>
      <c r="T3994" t="str">
        <f t="shared" si="4283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ref="K3995:L3995" si="4307">(J3995/60/60/24)+DATE(1970,1,1)</f>
        <v>42107.864722222221</v>
      </c>
      <c r="L3995" s="11">
        <f t="shared" si="427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4280"/>
        <v>6.0000000000000001E-3</v>
      </c>
      <c r="R3995" s="7">
        <f t="shared" si="4281"/>
        <v>3</v>
      </c>
      <c r="S3995" t="str">
        <f t="shared" si="4282"/>
        <v>theater</v>
      </c>
      <c r="T3995" t="str">
        <f t="shared" si="4283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ref="K3996:L3996" si="4308">(J3996/60/60/24)+DATE(1970,1,1)</f>
        <v>41809.389930555553</v>
      </c>
      <c r="L3996" s="11">
        <f t="shared" si="427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4280"/>
        <v>0.25</v>
      </c>
      <c r="R3996" s="7">
        <f t="shared" si="4281"/>
        <v>5</v>
      </c>
      <c r="S3996" t="str">
        <f t="shared" si="4282"/>
        <v>theater</v>
      </c>
      <c r="T3996" t="str">
        <f t="shared" si="4283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ref="K3997:L3997" si="4309">(J3997/60/60/24)+DATE(1970,1,1)</f>
        <v>42019.683761574073</v>
      </c>
      <c r="L3997" s="11">
        <f t="shared" si="427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4280"/>
        <v>35</v>
      </c>
      <c r="R3997" s="7">
        <f t="shared" si="4281"/>
        <v>17.5</v>
      </c>
      <c r="S3997" t="str">
        <f t="shared" si="4282"/>
        <v>theater</v>
      </c>
      <c r="T3997" t="str">
        <f t="shared" si="4283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ref="K3998:L3998" si="4310">(J3998/60/60/24)+DATE(1970,1,1)</f>
        <v>41950.26694444444</v>
      </c>
      <c r="L3998" s="11">
        <f t="shared" si="427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4280"/>
        <v>16.566666666666666</v>
      </c>
      <c r="R3998" s="7">
        <f t="shared" si="4281"/>
        <v>29.235294117647058</v>
      </c>
      <c r="S3998" t="str">
        <f t="shared" si="4282"/>
        <v>theater</v>
      </c>
      <c r="T3998" t="str">
        <f t="shared" si="4283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ref="K3999:L3999" si="4311">(J3999/60/60/24)+DATE(1970,1,1)</f>
        <v>42069.391446759255</v>
      </c>
      <c r="L3999" s="11">
        <f t="shared" si="427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4280"/>
        <v>0</v>
      </c>
      <c r="R3999" s="7">
        <f t="shared" si="4281"/>
        <v>0</v>
      </c>
      <c r="S3999" t="str">
        <f t="shared" si="4282"/>
        <v>theater</v>
      </c>
      <c r="T3999" t="str">
        <f t="shared" si="4283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ref="K4000:L4000" si="4312">(J4000/60/60/24)+DATE(1970,1,1)</f>
        <v>42061.963263888887</v>
      </c>
      <c r="L4000" s="11">
        <f t="shared" si="427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4280"/>
        <v>57.199999999999996</v>
      </c>
      <c r="R4000" s="7">
        <f t="shared" si="4281"/>
        <v>59.583333333333336</v>
      </c>
      <c r="S4000" t="str">
        <f t="shared" si="4282"/>
        <v>theater</v>
      </c>
      <c r="T4000" t="str">
        <f t="shared" si="4283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ref="K4001:L4001" si="4313">(J4001/60/60/24)+DATE(1970,1,1)</f>
        <v>41842.828680555554</v>
      </c>
      <c r="L4001" s="11">
        <f t="shared" si="427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4280"/>
        <v>16.514285714285716</v>
      </c>
      <c r="R4001" s="7">
        <f t="shared" si="4281"/>
        <v>82.571428571428569</v>
      </c>
      <c r="S4001" t="str">
        <f t="shared" si="4282"/>
        <v>theater</v>
      </c>
      <c r="T4001" t="str">
        <f t="shared" si="4283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ref="K4002:L4002" si="4314">(J4002/60/60/24)+DATE(1970,1,1)</f>
        <v>42437.64534722222</v>
      </c>
      <c r="L4002" s="11">
        <f t="shared" si="427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4280"/>
        <v>0.125</v>
      </c>
      <c r="R4002" s="7">
        <f t="shared" si="4281"/>
        <v>10</v>
      </c>
      <c r="S4002" t="str">
        <f t="shared" si="4282"/>
        <v>theater</v>
      </c>
      <c r="T4002" t="str">
        <f t="shared" si="4283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ref="K4003:L4003" si="4315">(J4003/60/60/24)+DATE(1970,1,1)</f>
        <v>42775.964212962965</v>
      </c>
      <c r="L4003" s="11">
        <f t="shared" si="427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4280"/>
        <v>37.75</v>
      </c>
      <c r="R4003" s="7">
        <f t="shared" si="4281"/>
        <v>32.357142857142854</v>
      </c>
      <c r="S4003" t="str">
        <f t="shared" si="4282"/>
        <v>theater</v>
      </c>
      <c r="T4003" t="str">
        <f t="shared" si="4283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ref="K4004:L4004" si="4316">(J4004/60/60/24)+DATE(1970,1,1)</f>
        <v>41879.043530092589</v>
      </c>
      <c r="L4004" s="11">
        <f t="shared" si="427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4280"/>
        <v>1.8399999999999999</v>
      </c>
      <c r="R4004" s="7">
        <f t="shared" si="4281"/>
        <v>5.75</v>
      </c>
      <c r="S4004" t="str">
        <f t="shared" si="4282"/>
        <v>theater</v>
      </c>
      <c r="T4004" t="str">
        <f t="shared" si="4283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ref="K4005:L4005" si="4317">(J4005/60/60/24)+DATE(1970,1,1)</f>
        <v>42020.587349537032</v>
      </c>
      <c r="L4005" s="11">
        <f t="shared" si="427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4280"/>
        <v>10.050000000000001</v>
      </c>
      <c r="R4005" s="7">
        <f t="shared" si="4281"/>
        <v>100.5</v>
      </c>
      <c r="S4005" t="str">
        <f t="shared" si="4282"/>
        <v>theater</v>
      </c>
      <c r="T4005" t="str">
        <f t="shared" si="4283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ref="K4006:L4006" si="4318">(J4006/60/60/24)+DATE(1970,1,1)</f>
        <v>41890.16269675926</v>
      </c>
      <c r="L4006" s="11">
        <f t="shared" si="427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4280"/>
        <v>0.2</v>
      </c>
      <c r="R4006" s="7">
        <f t="shared" si="4281"/>
        <v>1</v>
      </c>
      <c r="S4006" t="str">
        <f t="shared" si="4282"/>
        <v>theater</v>
      </c>
      <c r="T4006" t="str">
        <f t="shared" si="4283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ref="K4007:L4007" si="4319">(J4007/60/60/24)+DATE(1970,1,1)</f>
        <v>41872.807696759257</v>
      </c>
      <c r="L4007" s="11">
        <f t="shared" si="427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4280"/>
        <v>1.3333333333333335</v>
      </c>
      <c r="R4007" s="7">
        <f t="shared" si="4281"/>
        <v>20</v>
      </c>
      <c r="S4007" t="str">
        <f t="shared" si="4282"/>
        <v>theater</v>
      </c>
      <c r="T4007" t="str">
        <f t="shared" si="4283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ref="K4008:L4008" si="4320">(J4008/60/60/24)+DATE(1970,1,1)</f>
        <v>42391.772997685184</v>
      </c>
      <c r="L4008" s="11">
        <f t="shared" si="427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4280"/>
        <v>6.6666666666666671E-3</v>
      </c>
      <c r="R4008" s="7">
        <f t="shared" si="4281"/>
        <v>2</v>
      </c>
      <c r="S4008" t="str">
        <f t="shared" si="4282"/>
        <v>theater</v>
      </c>
      <c r="T4008" t="str">
        <f t="shared" si="4283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ref="K4009:L4009" si="4321">(J4009/60/60/24)+DATE(1970,1,1)</f>
        <v>41848.772928240738</v>
      </c>
      <c r="L4009" s="11">
        <f t="shared" si="427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4280"/>
        <v>0.25</v>
      </c>
      <c r="R4009" s="7">
        <f t="shared" si="4281"/>
        <v>5</v>
      </c>
      <c r="S4009" t="str">
        <f t="shared" si="4282"/>
        <v>theater</v>
      </c>
      <c r="T4009" t="str">
        <f t="shared" si="4283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ref="K4010:L4010" si="4322">(J4010/60/60/24)+DATE(1970,1,1)</f>
        <v>42177.964201388888</v>
      </c>
      <c r="L4010" s="11">
        <f t="shared" si="427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4280"/>
        <v>6</v>
      </c>
      <c r="R4010" s="7">
        <f t="shared" si="4281"/>
        <v>15</v>
      </c>
      <c r="S4010" t="str">
        <f t="shared" si="4282"/>
        <v>theater</v>
      </c>
      <c r="T4010" t="str">
        <f t="shared" si="4283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ref="K4011:L4011" si="4323">(J4011/60/60/24)+DATE(1970,1,1)</f>
        <v>41851.700925925928</v>
      </c>
      <c r="L4011" s="11">
        <f t="shared" si="427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4280"/>
        <v>3.8860103626943006</v>
      </c>
      <c r="R4011" s="7">
        <f t="shared" si="4281"/>
        <v>25</v>
      </c>
      <c r="S4011" t="str">
        <f t="shared" si="4282"/>
        <v>theater</v>
      </c>
      <c r="T4011" t="str">
        <f t="shared" si="4283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ref="K4012:L4012" si="4324">(J4012/60/60/24)+DATE(1970,1,1)</f>
        <v>41921.770439814813</v>
      </c>
      <c r="L4012" s="11">
        <f t="shared" si="427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4280"/>
        <v>24.194444444444443</v>
      </c>
      <c r="R4012" s="7">
        <f t="shared" si="4281"/>
        <v>45.842105263157897</v>
      </c>
      <c r="S4012" t="str">
        <f t="shared" si="4282"/>
        <v>theater</v>
      </c>
      <c r="T4012" t="str">
        <f t="shared" si="4283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ref="K4013:L4013" si="4325">(J4013/60/60/24)+DATE(1970,1,1)</f>
        <v>42002.54488425926</v>
      </c>
      <c r="L4013" s="11">
        <f t="shared" si="427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4280"/>
        <v>7.6</v>
      </c>
      <c r="R4013" s="7">
        <f t="shared" si="4281"/>
        <v>4.75</v>
      </c>
      <c r="S4013" t="str">
        <f t="shared" si="4282"/>
        <v>theater</v>
      </c>
      <c r="T4013" t="str">
        <f t="shared" si="4283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ref="K4014:L4014" si="4326">(J4014/60/60/24)+DATE(1970,1,1)</f>
        <v>42096.544548611113</v>
      </c>
      <c r="L4014" s="11">
        <f t="shared" si="427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4280"/>
        <v>0</v>
      </c>
      <c r="R4014" s="7">
        <f t="shared" si="4281"/>
        <v>0</v>
      </c>
      <c r="S4014" t="str">
        <f t="shared" si="4282"/>
        <v>theater</v>
      </c>
      <c r="T4014" t="str">
        <f t="shared" si="4283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ref="K4015:L4015" si="4327">(J4015/60/60/24)+DATE(1970,1,1)</f>
        <v>42021.301192129627</v>
      </c>
      <c r="L4015" s="11">
        <f t="shared" si="427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4280"/>
        <v>1.3</v>
      </c>
      <c r="R4015" s="7">
        <f t="shared" si="4281"/>
        <v>13</v>
      </c>
      <c r="S4015" t="str">
        <f t="shared" si="4282"/>
        <v>theater</v>
      </c>
      <c r="T4015" t="str">
        <f t="shared" si="4283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ref="K4016:L4016" si="4328">(J4016/60/60/24)+DATE(1970,1,1)</f>
        <v>42419.246168981481</v>
      </c>
      <c r="L4016" s="11">
        <f t="shared" si="427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4280"/>
        <v>0</v>
      </c>
      <c r="R4016" s="7">
        <f t="shared" si="4281"/>
        <v>0</v>
      </c>
      <c r="S4016" t="str">
        <f t="shared" si="4282"/>
        <v>theater</v>
      </c>
      <c r="T4016" t="str">
        <f t="shared" si="4283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ref="K4017:L4017" si="4329">(J4017/60/60/24)+DATE(1970,1,1)</f>
        <v>42174.780821759254</v>
      </c>
      <c r="L4017" s="11">
        <f t="shared" si="427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4280"/>
        <v>1.4285714285714287E-2</v>
      </c>
      <c r="R4017" s="7">
        <f t="shared" si="4281"/>
        <v>1</v>
      </c>
      <c r="S4017" t="str">
        <f t="shared" si="4282"/>
        <v>theater</v>
      </c>
      <c r="T4017" t="str">
        <f t="shared" si="4283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ref="K4018:L4018" si="4330">(J4018/60/60/24)+DATE(1970,1,1)</f>
        <v>41869.872685185182</v>
      </c>
      <c r="L4018" s="11">
        <f t="shared" si="427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4280"/>
        <v>14.000000000000002</v>
      </c>
      <c r="R4018" s="7">
        <f t="shared" si="4281"/>
        <v>10</v>
      </c>
      <c r="S4018" t="str">
        <f t="shared" si="4282"/>
        <v>theater</v>
      </c>
      <c r="T4018" t="str">
        <f t="shared" si="4283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ref="K4019:L4019" si="4331">(J4019/60/60/24)+DATE(1970,1,1)</f>
        <v>41856.672152777777</v>
      </c>
      <c r="L4019" s="11">
        <f t="shared" si="427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4280"/>
        <v>1.05</v>
      </c>
      <c r="R4019" s="7">
        <f t="shared" si="4281"/>
        <v>52.5</v>
      </c>
      <c r="S4019" t="str">
        <f t="shared" si="4282"/>
        <v>theater</v>
      </c>
      <c r="T4019" t="str">
        <f t="shared" si="4283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ref="K4020:L4020" si="4332">(J4020/60/60/24)+DATE(1970,1,1)</f>
        <v>42620.91097222222</v>
      </c>
      <c r="L4020" s="11">
        <f t="shared" si="427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4280"/>
        <v>8.6666666666666679</v>
      </c>
      <c r="R4020" s="7">
        <f t="shared" si="4281"/>
        <v>32.5</v>
      </c>
      <c r="S4020" t="str">
        <f t="shared" si="4282"/>
        <v>theater</v>
      </c>
      <c r="T4020" t="str">
        <f t="shared" si="4283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ref="K4021:L4021" si="4333">(J4021/60/60/24)+DATE(1970,1,1)</f>
        <v>42417.675879629634</v>
      </c>
      <c r="L4021" s="11">
        <f t="shared" si="427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4280"/>
        <v>0.82857142857142851</v>
      </c>
      <c r="R4021" s="7">
        <f t="shared" si="4281"/>
        <v>7.25</v>
      </c>
      <c r="S4021" t="str">
        <f t="shared" si="4282"/>
        <v>theater</v>
      </c>
      <c r="T4021" t="str">
        <f t="shared" si="4283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ref="K4022:L4022" si="4334">(J4022/60/60/24)+DATE(1970,1,1)</f>
        <v>42057.190960648149</v>
      </c>
      <c r="L4022" s="11">
        <f t="shared" si="427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4280"/>
        <v>16.666666666666664</v>
      </c>
      <c r="R4022" s="7">
        <f t="shared" si="4281"/>
        <v>33.333333333333336</v>
      </c>
      <c r="S4022" t="str">
        <f t="shared" si="4282"/>
        <v>theater</v>
      </c>
      <c r="T4022" t="str">
        <f t="shared" si="4283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ref="K4023:L4023" si="4335">(J4023/60/60/24)+DATE(1970,1,1)</f>
        <v>41878.911550925928</v>
      </c>
      <c r="L4023" s="11">
        <f t="shared" si="427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4280"/>
        <v>0.83333333333333337</v>
      </c>
      <c r="R4023" s="7">
        <f t="shared" si="4281"/>
        <v>62.5</v>
      </c>
      <c r="S4023" t="str">
        <f t="shared" si="4282"/>
        <v>theater</v>
      </c>
      <c r="T4023" t="str">
        <f t="shared" si="4283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ref="K4024:L4024" si="4336">(J4024/60/60/24)+DATE(1970,1,1)</f>
        <v>41990.584108796291</v>
      </c>
      <c r="L4024" s="11">
        <f t="shared" si="427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4280"/>
        <v>69.561111111111103</v>
      </c>
      <c r="R4024" s="7">
        <f t="shared" si="4281"/>
        <v>63.558375634517766</v>
      </c>
      <c r="S4024" t="str">
        <f t="shared" si="4282"/>
        <v>theater</v>
      </c>
      <c r="T4024" t="str">
        <f t="shared" si="4283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ref="K4025:L4025" si="4337">(J4025/60/60/24)+DATE(1970,1,1)</f>
        <v>42408.999571759254</v>
      </c>
      <c r="L4025" s="11">
        <f t="shared" si="427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4280"/>
        <v>0</v>
      </c>
      <c r="R4025" s="7">
        <f t="shared" si="4281"/>
        <v>0</v>
      </c>
      <c r="S4025" t="str">
        <f t="shared" si="4282"/>
        <v>theater</v>
      </c>
      <c r="T4025" t="str">
        <f t="shared" si="4283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ref="K4026:L4026" si="4338">(J4026/60/60/24)+DATE(1970,1,1)</f>
        <v>42217.670104166667</v>
      </c>
      <c r="L4026" s="11">
        <f t="shared" si="427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4280"/>
        <v>1.25</v>
      </c>
      <c r="R4026" s="7">
        <f t="shared" si="4281"/>
        <v>10</v>
      </c>
      <c r="S4026" t="str">
        <f t="shared" si="4282"/>
        <v>theater</v>
      </c>
      <c r="T4026" t="str">
        <f t="shared" si="4283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ref="K4027:L4027" si="4339">(J4027/60/60/24)+DATE(1970,1,1)</f>
        <v>42151.237685185188</v>
      </c>
      <c r="L4027" s="11">
        <f t="shared" si="427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4280"/>
        <v>5</v>
      </c>
      <c r="R4027" s="7">
        <f t="shared" si="4281"/>
        <v>62.5</v>
      </c>
      <c r="S4027" t="str">
        <f t="shared" si="4282"/>
        <v>theater</v>
      </c>
      <c r="T4027" t="str">
        <f t="shared" si="4283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ref="K4028:L4028" si="4340">(J4028/60/60/24)+DATE(1970,1,1)</f>
        <v>42282.655543981484</v>
      </c>
      <c r="L4028" s="11">
        <f t="shared" si="427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4280"/>
        <v>0</v>
      </c>
      <c r="R4028" s="7">
        <f t="shared" si="4281"/>
        <v>0</v>
      </c>
      <c r="S4028" t="str">
        <f t="shared" si="4282"/>
        <v>theater</v>
      </c>
      <c r="T4028" t="str">
        <f t="shared" si="4283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ref="K4029:L4029" si="4341">(J4029/60/60/24)+DATE(1970,1,1)</f>
        <v>42768.97084490741</v>
      </c>
      <c r="L4029" s="11">
        <f t="shared" si="427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4280"/>
        <v>7.166666666666667</v>
      </c>
      <c r="R4029" s="7">
        <f t="shared" si="4281"/>
        <v>30.714285714285715</v>
      </c>
      <c r="S4029" t="str">
        <f t="shared" si="4282"/>
        <v>theater</v>
      </c>
      <c r="T4029" t="str">
        <f t="shared" si="4283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ref="K4030:L4030" si="4342">(J4030/60/60/24)+DATE(1970,1,1)</f>
        <v>41765.938657407409</v>
      </c>
      <c r="L4030" s="11">
        <f t="shared" si="427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4280"/>
        <v>28.050000000000004</v>
      </c>
      <c r="R4030" s="7">
        <f t="shared" si="4281"/>
        <v>51</v>
      </c>
      <c r="S4030" t="str">
        <f t="shared" si="4282"/>
        <v>theater</v>
      </c>
      <c r="T4030" t="str">
        <f t="shared" si="4283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ref="K4031:L4031" si="4343">(J4031/60/60/24)+DATE(1970,1,1)</f>
        <v>42322.025115740747</v>
      </c>
      <c r="L4031" s="11">
        <f t="shared" si="427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4280"/>
        <v>0</v>
      </c>
      <c r="R4031" s="7">
        <f t="shared" si="4281"/>
        <v>0</v>
      </c>
      <c r="S4031" t="str">
        <f t="shared" si="4282"/>
        <v>theater</v>
      </c>
      <c r="T4031" t="str">
        <f t="shared" si="4283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ref="K4032:L4032" si="4344">(J4032/60/60/24)+DATE(1970,1,1)</f>
        <v>42374.655081018514</v>
      </c>
      <c r="L4032" s="11">
        <f t="shared" si="427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4280"/>
        <v>16</v>
      </c>
      <c r="R4032" s="7">
        <f t="shared" si="4281"/>
        <v>66.666666666666671</v>
      </c>
      <c r="S4032" t="str">
        <f t="shared" si="4282"/>
        <v>theater</v>
      </c>
      <c r="T4032" t="str">
        <f t="shared" si="4283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ref="K4033:L4033" si="4345">(J4033/60/60/24)+DATE(1970,1,1)</f>
        <v>41941.585231481484</v>
      </c>
      <c r="L4033" s="11">
        <f t="shared" si="427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4280"/>
        <v>0</v>
      </c>
      <c r="R4033" s="7">
        <f t="shared" si="4281"/>
        <v>0</v>
      </c>
      <c r="S4033" t="str">
        <f t="shared" si="4282"/>
        <v>theater</v>
      </c>
      <c r="T4033" t="str">
        <f t="shared" si="4283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ref="K4034:L4034" si="4346">(J4034/60/60/24)+DATE(1970,1,1)</f>
        <v>42293.809212962966</v>
      </c>
      <c r="L4034" s="11">
        <f t="shared" si="427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4280"/>
        <v>6.8287037037037033</v>
      </c>
      <c r="R4034" s="7">
        <f t="shared" si="4281"/>
        <v>59</v>
      </c>
      <c r="S4034" t="str">
        <f t="shared" si="4282"/>
        <v>theater</v>
      </c>
      <c r="T4034" t="str">
        <f t="shared" si="4283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ref="K4035:L4035" si="4347">(J4035/60/60/24)+DATE(1970,1,1)</f>
        <v>42614.268796296295</v>
      </c>
      <c r="L4035" s="11">
        <f t="shared" ref="L4035:L4098" si="4348">(I4035/60/60/24)+DATE(1970,1,1)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4349">(E4035/D4035)*100</f>
        <v>25.698702928870294</v>
      </c>
      <c r="R4035" s="7">
        <f t="shared" ref="R4035:R4098" si="4350">IFERROR(E4035/N4035, 0)</f>
        <v>65.340319148936175</v>
      </c>
      <c r="S4035" t="str">
        <f t="shared" ref="S4035:S4098" si="4351">LEFT(P4035, SEARCH("/", P4035,1)-1)</f>
        <v>theater</v>
      </c>
      <c r="T4035" t="str">
        <f t="shared" ref="T4035:T4098" si="4352">RIGHT(P4035,LEN(P4035)-SEARCH("/",P4035,SEARCH("/",P4035)))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ref="K4036:L4036" si="4353">(J4036/60/60/24)+DATE(1970,1,1)</f>
        <v>42067.947337962964</v>
      </c>
      <c r="L4036" s="11">
        <f t="shared" si="4348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4349"/>
        <v>1.4814814814814816</v>
      </c>
      <c r="R4036" s="7">
        <f t="shared" si="4350"/>
        <v>100</v>
      </c>
      <c r="S4036" t="str">
        <f t="shared" si="4351"/>
        <v>theater</v>
      </c>
      <c r="T4036" t="str">
        <f t="shared" si="4352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ref="K4037:L4037" si="4354">(J4037/60/60/24)+DATE(1970,1,1)</f>
        <v>41903.882951388885</v>
      </c>
      <c r="L4037" s="11">
        <f t="shared" si="4348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4349"/>
        <v>36.85</v>
      </c>
      <c r="R4037" s="7">
        <f t="shared" si="4350"/>
        <v>147.4</v>
      </c>
      <c r="S4037" t="str">
        <f t="shared" si="4351"/>
        <v>theater</v>
      </c>
      <c r="T4037" t="str">
        <f t="shared" si="4352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ref="K4038:L4038" si="4355">(J4038/60/60/24)+DATE(1970,1,1)</f>
        <v>41804.937083333331</v>
      </c>
      <c r="L4038" s="11">
        <f t="shared" si="4348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4349"/>
        <v>47.05</v>
      </c>
      <c r="R4038" s="7">
        <f t="shared" si="4350"/>
        <v>166.05882352941177</v>
      </c>
      <c r="S4038" t="str">
        <f t="shared" si="4351"/>
        <v>theater</v>
      </c>
      <c r="T4038" t="str">
        <f t="shared" si="4352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ref="K4039:L4039" si="4356">(J4039/60/60/24)+DATE(1970,1,1)</f>
        <v>42497.070775462969</v>
      </c>
      <c r="L4039" s="11">
        <f t="shared" si="4348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4349"/>
        <v>11.428571428571429</v>
      </c>
      <c r="R4039" s="7">
        <f t="shared" si="4350"/>
        <v>40</v>
      </c>
      <c r="S4039" t="str">
        <f t="shared" si="4351"/>
        <v>theater</v>
      </c>
      <c r="T4039" t="str">
        <f t="shared" si="4352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ref="K4040:L4040" si="4357">(J4040/60/60/24)+DATE(1970,1,1)</f>
        <v>41869.798726851855</v>
      </c>
      <c r="L4040" s="11">
        <f t="shared" si="4348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4349"/>
        <v>12.04</v>
      </c>
      <c r="R4040" s="7">
        <f t="shared" si="4350"/>
        <v>75.25</v>
      </c>
      <c r="S4040" t="str">
        <f t="shared" si="4351"/>
        <v>theater</v>
      </c>
      <c r="T4040" t="str">
        <f t="shared" si="4352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ref="K4041:L4041" si="4358">(J4041/60/60/24)+DATE(1970,1,1)</f>
        <v>42305.670914351853</v>
      </c>
      <c r="L4041" s="11">
        <f t="shared" si="4348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4349"/>
        <v>60</v>
      </c>
      <c r="R4041" s="7">
        <f t="shared" si="4350"/>
        <v>60</v>
      </c>
      <c r="S4041" t="str">
        <f t="shared" si="4351"/>
        <v>theater</v>
      </c>
      <c r="T4041" t="str">
        <f t="shared" si="4352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ref="K4042:L4042" si="4359">(J4042/60/60/24)+DATE(1970,1,1)</f>
        <v>42144.231527777782</v>
      </c>
      <c r="L4042" s="11">
        <f t="shared" si="4348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4349"/>
        <v>31.25</v>
      </c>
      <c r="R4042" s="7">
        <f t="shared" si="4350"/>
        <v>1250</v>
      </c>
      <c r="S4042" t="str">
        <f t="shared" si="4351"/>
        <v>theater</v>
      </c>
      <c r="T4042" t="str">
        <f t="shared" si="4352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ref="K4043:L4043" si="4360">(J4043/60/60/24)+DATE(1970,1,1)</f>
        <v>42559.474004629628</v>
      </c>
      <c r="L4043" s="11">
        <f t="shared" si="4348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4349"/>
        <v>0.42</v>
      </c>
      <c r="R4043" s="7">
        <f t="shared" si="4350"/>
        <v>10.5</v>
      </c>
      <c r="S4043" t="str">
        <f t="shared" si="4351"/>
        <v>theater</v>
      </c>
      <c r="T4043" t="str">
        <f t="shared" si="4352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ref="K4044:L4044" si="4361">(J4044/60/60/24)+DATE(1970,1,1)</f>
        <v>41995.084074074075</v>
      </c>
      <c r="L4044" s="11">
        <f t="shared" si="4348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4349"/>
        <v>0.21</v>
      </c>
      <c r="R4044" s="7">
        <f t="shared" si="4350"/>
        <v>7</v>
      </c>
      <c r="S4044" t="str">
        <f t="shared" si="4351"/>
        <v>theater</v>
      </c>
      <c r="T4044" t="str">
        <f t="shared" si="4352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ref="K4045:L4045" si="4362">(J4045/60/60/24)+DATE(1970,1,1)</f>
        <v>41948.957465277781</v>
      </c>
      <c r="L4045" s="11">
        <f t="shared" si="4348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4349"/>
        <v>0</v>
      </c>
      <c r="R4045" s="7">
        <f t="shared" si="4350"/>
        <v>0</v>
      </c>
      <c r="S4045" t="str">
        <f t="shared" si="4351"/>
        <v>theater</v>
      </c>
      <c r="T4045" t="str">
        <f t="shared" si="4352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ref="K4046:L4046" si="4363">(J4046/60/60/24)+DATE(1970,1,1)</f>
        <v>42074.219699074078</v>
      </c>
      <c r="L4046" s="11">
        <f t="shared" si="4348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4349"/>
        <v>37.5</v>
      </c>
      <c r="R4046" s="7">
        <f t="shared" si="4350"/>
        <v>56.25</v>
      </c>
      <c r="S4046" t="str">
        <f t="shared" si="4351"/>
        <v>theater</v>
      </c>
      <c r="T4046" t="str">
        <f t="shared" si="4352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ref="K4047:L4047" si="4364">(J4047/60/60/24)+DATE(1970,1,1)</f>
        <v>41842.201261574075</v>
      </c>
      <c r="L4047" s="11">
        <f t="shared" si="4348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4349"/>
        <v>0.02</v>
      </c>
      <c r="R4047" s="7">
        <f t="shared" si="4350"/>
        <v>1</v>
      </c>
      <c r="S4047" t="str">
        <f t="shared" si="4351"/>
        <v>theater</v>
      </c>
      <c r="T4047" t="str">
        <f t="shared" si="4352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ref="K4048:L4048" si="4365">(J4048/60/60/24)+DATE(1970,1,1)</f>
        <v>41904.650578703702</v>
      </c>
      <c r="L4048" s="11">
        <f t="shared" si="4348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4349"/>
        <v>8.2142857142857135</v>
      </c>
      <c r="R4048" s="7">
        <f t="shared" si="4350"/>
        <v>38.333333333333336</v>
      </c>
      <c r="S4048" t="str">
        <f t="shared" si="4351"/>
        <v>theater</v>
      </c>
      <c r="T4048" t="str">
        <f t="shared" si="4352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ref="K4049:L4049" si="4366">(J4049/60/60/24)+DATE(1970,1,1)</f>
        <v>41991.022488425922</v>
      </c>
      <c r="L4049" s="11">
        <f t="shared" si="4348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4349"/>
        <v>2.1999999999999997</v>
      </c>
      <c r="R4049" s="7">
        <f t="shared" si="4350"/>
        <v>27.5</v>
      </c>
      <c r="S4049" t="str">
        <f t="shared" si="4351"/>
        <v>theater</v>
      </c>
      <c r="T4049" t="str">
        <f t="shared" si="4352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ref="K4050:L4050" si="4367">(J4050/60/60/24)+DATE(1970,1,1)</f>
        <v>42436.509108796294</v>
      </c>
      <c r="L4050" s="11">
        <f t="shared" si="4348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4349"/>
        <v>17.652941176470588</v>
      </c>
      <c r="R4050" s="7">
        <f t="shared" si="4350"/>
        <v>32.978021978021978</v>
      </c>
      <c r="S4050" t="str">
        <f t="shared" si="4351"/>
        <v>theater</v>
      </c>
      <c r="T4050" t="str">
        <f t="shared" si="4352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ref="K4051:L4051" si="4368">(J4051/60/60/24)+DATE(1970,1,1)</f>
        <v>42169.958506944444</v>
      </c>
      <c r="L4051" s="11">
        <f t="shared" si="4348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4349"/>
        <v>0.08</v>
      </c>
      <c r="R4051" s="7">
        <f t="shared" si="4350"/>
        <v>16</v>
      </c>
      <c r="S4051" t="str">
        <f t="shared" si="4351"/>
        <v>theater</v>
      </c>
      <c r="T4051" t="str">
        <f t="shared" si="4352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ref="K4052:L4052" si="4369">(J4052/60/60/24)+DATE(1970,1,1)</f>
        <v>41905.636469907404</v>
      </c>
      <c r="L4052" s="11">
        <f t="shared" si="4348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4349"/>
        <v>6.6666666666666666E-2</v>
      </c>
      <c r="R4052" s="7">
        <f t="shared" si="4350"/>
        <v>1</v>
      </c>
      <c r="S4052" t="str">
        <f t="shared" si="4351"/>
        <v>theater</v>
      </c>
      <c r="T4052" t="str">
        <f t="shared" si="4352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ref="K4053:L4053" si="4370">(J4053/60/60/24)+DATE(1970,1,1)</f>
        <v>41761.810150462967</v>
      </c>
      <c r="L4053" s="11">
        <f t="shared" si="4348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4349"/>
        <v>0</v>
      </c>
      <c r="R4053" s="7">
        <f t="shared" si="4350"/>
        <v>0</v>
      </c>
      <c r="S4053" t="str">
        <f t="shared" si="4351"/>
        <v>theater</v>
      </c>
      <c r="T4053" t="str">
        <f t="shared" si="4352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ref="K4054:L4054" si="4371">(J4054/60/60/24)+DATE(1970,1,1)</f>
        <v>41865.878657407404</v>
      </c>
      <c r="L4054" s="11">
        <f t="shared" si="4348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4349"/>
        <v>37.533333333333339</v>
      </c>
      <c r="R4054" s="7">
        <f t="shared" si="4350"/>
        <v>86.615384615384613</v>
      </c>
      <c r="S4054" t="str">
        <f t="shared" si="4351"/>
        <v>theater</v>
      </c>
      <c r="T4054" t="str">
        <f t="shared" si="4352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ref="K4055:L4055" si="4372">(J4055/60/60/24)+DATE(1970,1,1)</f>
        <v>41928.690138888887</v>
      </c>
      <c r="L4055" s="11">
        <f t="shared" si="4348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4349"/>
        <v>22</v>
      </c>
      <c r="R4055" s="7">
        <f t="shared" si="4350"/>
        <v>55</v>
      </c>
      <c r="S4055" t="str">
        <f t="shared" si="4351"/>
        <v>theater</v>
      </c>
      <c r="T4055" t="str">
        <f t="shared" si="4352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ref="K4056:L4056" si="4373">(J4056/60/60/24)+DATE(1970,1,1)</f>
        <v>42613.841261574074</v>
      </c>
      <c r="L4056" s="11">
        <f t="shared" si="4348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4349"/>
        <v>0</v>
      </c>
      <c r="R4056" s="7">
        <f t="shared" si="4350"/>
        <v>0</v>
      </c>
      <c r="S4056" t="str">
        <f t="shared" si="4351"/>
        <v>theater</v>
      </c>
      <c r="T4056" t="str">
        <f t="shared" si="4352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ref="K4057:L4057" si="4374">(J4057/60/60/24)+DATE(1970,1,1)</f>
        <v>41779.648506944446</v>
      </c>
      <c r="L4057" s="11">
        <f t="shared" si="4348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4349"/>
        <v>17.62</v>
      </c>
      <c r="R4057" s="7">
        <f t="shared" si="4350"/>
        <v>41.952380952380949</v>
      </c>
      <c r="S4057" t="str">
        <f t="shared" si="4351"/>
        <v>theater</v>
      </c>
      <c r="T4057" t="str">
        <f t="shared" si="4352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ref="K4058:L4058" si="4375">(J4058/60/60/24)+DATE(1970,1,1)</f>
        <v>42534.933321759265</v>
      </c>
      <c r="L4058" s="11">
        <f t="shared" si="4348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4349"/>
        <v>53</v>
      </c>
      <c r="R4058" s="7">
        <f t="shared" si="4350"/>
        <v>88.333333333333329</v>
      </c>
      <c r="S4058" t="str">
        <f t="shared" si="4351"/>
        <v>theater</v>
      </c>
      <c r="T4058" t="str">
        <f t="shared" si="4352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ref="K4059:L4059" si="4376">(J4059/60/60/24)+DATE(1970,1,1)</f>
        <v>42310.968518518523</v>
      </c>
      <c r="L4059" s="11">
        <f t="shared" si="4348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4349"/>
        <v>22.142857142857142</v>
      </c>
      <c r="R4059" s="7">
        <f t="shared" si="4350"/>
        <v>129.16666666666666</v>
      </c>
      <c r="S4059" t="str">
        <f t="shared" si="4351"/>
        <v>theater</v>
      </c>
      <c r="T4059" t="str">
        <f t="shared" si="4352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ref="K4060:L4060" si="4377">(J4060/60/60/24)+DATE(1970,1,1)</f>
        <v>42446.060694444444</v>
      </c>
      <c r="L4060" s="11">
        <f t="shared" si="4348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4349"/>
        <v>2.5333333333333332</v>
      </c>
      <c r="R4060" s="7">
        <f t="shared" si="4350"/>
        <v>23.75</v>
      </c>
      <c r="S4060" t="str">
        <f t="shared" si="4351"/>
        <v>theater</v>
      </c>
      <c r="T4060" t="str">
        <f t="shared" si="4352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ref="K4061:L4061" si="4378">(J4061/60/60/24)+DATE(1970,1,1)</f>
        <v>41866.640648148146</v>
      </c>
      <c r="L4061" s="11">
        <f t="shared" si="4348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4349"/>
        <v>2.5</v>
      </c>
      <c r="R4061" s="7">
        <f t="shared" si="4350"/>
        <v>35.714285714285715</v>
      </c>
      <c r="S4061" t="str">
        <f t="shared" si="4351"/>
        <v>theater</v>
      </c>
      <c r="T4061" t="str">
        <f t="shared" si="4352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ref="K4062:L4062" si="4379">(J4062/60/60/24)+DATE(1970,1,1)</f>
        <v>41779.695092592592</v>
      </c>
      <c r="L4062" s="11">
        <f t="shared" si="4348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4349"/>
        <v>2.85</v>
      </c>
      <c r="R4062" s="7">
        <f t="shared" si="4350"/>
        <v>57</v>
      </c>
      <c r="S4062" t="str">
        <f t="shared" si="4351"/>
        <v>theater</v>
      </c>
      <c r="T4062" t="str">
        <f t="shared" si="4352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ref="K4063:L4063" si="4380">(J4063/60/60/24)+DATE(1970,1,1)</f>
        <v>42421.141469907408</v>
      </c>
      <c r="L4063" s="11">
        <f t="shared" si="4348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4349"/>
        <v>0</v>
      </c>
      <c r="R4063" s="7">
        <f t="shared" si="4350"/>
        <v>0</v>
      </c>
      <c r="S4063" t="str">
        <f t="shared" si="4351"/>
        <v>theater</v>
      </c>
      <c r="T4063" t="str">
        <f t="shared" si="4352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ref="K4064:L4064" si="4381">(J4064/60/60/24)+DATE(1970,1,1)</f>
        <v>42523.739212962959</v>
      </c>
      <c r="L4064" s="11">
        <f t="shared" si="4348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4349"/>
        <v>2.4500000000000002</v>
      </c>
      <c r="R4064" s="7">
        <f t="shared" si="4350"/>
        <v>163.33333333333334</v>
      </c>
      <c r="S4064" t="str">
        <f t="shared" si="4351"/>
        <v>theater</v>
      </c>
      <c r="T4064" t="str">
        <f t="shared" si="4352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ref="K4065:L4065" si="4382">(J4065/60/60/24)+DATE(1970,1,1)</f>
        <v>41787.681527777779</v>
      </c>
      <c r="L4065" s="11">
        <f t="shared" si="4348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4349"/>
        <v>1.4210526315789473</v>
      </c>
      <c r="R4065" s="7">
        <f t="shared" si="4350"/>
        <v>15</v>
      </c>
      <c r="S4065" t="str">
        <f t="shared" si="4351"/>
        <v>theater</v>
      </c>
      <c r="T4065" t="str">
        <f t="shared" si="4352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ref="K4066:L4066" si="4383">(J4066/60/60/24)+DATE(1970,1,1)</f>
        <v>42093.588263888887</v>
      </c>
      <c r="L4066" s="11">
        <f t="shared" si="4348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4349"/>
        <v>19.25</v>
      </c>
      <c r="R4066" s="7">
        <f t="shared" si="4350"/>
        <v>64.166666666666671</v>
      </c>
      <c r="S4066" t="str">
        <f t="shared" si="4351"/>
        <v>theater</v>
      </c>
      <c r="T4066" t="str">
        <f t="shared" si="4352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ref="K4067:L4067" si="4384">(J4067/60/60/24)+DATE(1970,1,1)</f>
        <v>41833.951516203706</v>
      </c>
      <c r="L4067" s="11">
        <f t="shared" si="4348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4349"/>
        <v>0.67500000000000004</v>
      </c>
      <c r="R4067" s="7">
        <f t="shared" si="4350"/>
        <v>6.75</v>
      </c>
      <c r="S4067" t="str">
        <f t="shared" si="4351"/>
        <v>theater</v>
      </c>
      <c r="T4067" t="str">
        <f t="shared" si="4352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ref="K4068:L4068" si="4385">(J4068/60/60/24)+DATE(1970,1,1)</f>
        <v>42479.039212962962</v>
      </c>
      <c r="L4068" s="11">
        <f t="shared" si="4348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4349"/>
        <v>0.16666666666666669</v>
      </c>
      <c r="R4068" s="7">
        <f t="shared" si="4350"/>
        <v>25</v>
      </c>
      <c r="S4068" t="str">
        <f t="shared" si="4351"/>
        <v>theater</v>
      </c>
      <c r="T4068" t="str">
        <f t="shared" si="4352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ref="K4069:L4069" si="4386">(J4069/60/60/24)+DATE(1970,1,1)</f>
        <v>42235.117476851854</v>
      </c>
      <c r="L4069" s="11">
        <f t="shared" si="4348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4349"/>
        <v>60.9</v>
      </c>
      <c r="R4069" s="7">
        <f t="shared" si="4350"/>
        <v>179.11764705882354</v>
      </c>
      <c r="S4069" t="str">
        <f t="shared" si="4351"/>
        <v>theater</v>
      </c>
      <c r="T4069" t="str">
        <f t="shared" si="4352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ref="K4070:L4070" si="4387">(J4070/60/60/24)+DATE(1970,1,1)</f>
        <v>42718.963599537034</v>
      </c>
      <c r="L4070" s="11">
        <f t="shared" si="4348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4349"/>
        <v>1</v>
      </c>
      <c r="R4070" s="7">
        <f t="shared" si="4350"/>
        <v>34.950000000000003</v>
      </c>
      <c r="S4070" t="str">
        <f t="shared" si="4351"/>
        <v>theater</v>
      </c>
      <c r="T4070" t="str">
        <f t="shared" si="4352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ref="K4071:L4071" si="4388">(J4071/60/60/24)+DATE(1970,1,1)</f>
        <v>42022.661527777775</v>
      </c>
      <c r="L4071" s="11">
        <f t="shared" si="4348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4349"/>
        <v>34.4</v>
      </c>
      <c r="R4071" s="7">
        <f t="shared" si="4350"/>
        <v>33.07692307692308</v>
      </c>
      <c r="S4071" t="str">
        <f t="shared" si="4351"/>
        <v>theater</v>
      </c>
      <c r="T4071" t="str">
        <f t="shared" si="4352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ref="K4072:L4072" si="4389">(J4072/60/60/24)+DATE(1970,1,1)</f>
        <v>42031.666898148149</v>
      </c>
      <c r="L4072" s="11">
        <f t="shared" si="4348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4349"/>
        <v>16.5</v>
      </c>
      <c r="R4072" s="7">
        <f t="shared" si="4350"/>
        <v>27.5</v>
      </c>
      <c r="S4072" t="str">
        <f t="shared" si="4351"/>
        <v>theater</v>
      </c>
      <c r="T4072" t="str">
        <f t="shared" si="4352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ref="K4073:L4073" si="4390">(J4073/60/60/24)+DATE(1970,1,1)</f>
        <v>42700.804756944446</v>
      </c>
      <c r="L4073" s="11">
        <f t="shared" si="4348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4349"/>
        <v>0</v>
      </c>
      <c r="R4073" s="7">
        <f t="shared" si="4350"/>
        <v>0</v>
      </c>
      <c r="S4073" t="str">
        <f t="shared" si="4351"/>
        <v>theater</v>
      </c>
      <c r="T4073" t="str">
        <f t="shared" si="4352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ref="K4074:L4074" si="4391">(J4074/60/60/24)+DATE(1970,1,1)</f>
        <v>41812.77443287037</v>
      </c>
      <c r="L4074" s="11">
        <f t="shared" si="4348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4349"/>
        <v>0.4</v>
      </c>
      <c r="R4074" s="7">
        <f t="shared" si="4350"/>
        <v>2</v>
      </c>
      <c r="S4074" t="str">
        <f t="shared" si="4351"/>
        <v>theater</v>
      </c>
      <c r="T4074" t="str">
        <f t="shared" si="4352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ref="K4075:L4075" si="4392">(J4075/60/60/24)+DATE(1970,1,1)</f>
        <v>42078.34520833334</v>
      </c>
      <c r="L4075" s="11">
        <f t="shared" si="4348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4349"/>
        <v>1.0571428571428572</v>
      </c>
      <c r="R4075" s="7">
        <f t="shared" si="4350"/>
        <v>18.5</v>
      </c>
      <c r="S4075" t="str">
        <f t="shared" si="4351"/>
        <v>theater</v>
      </c>
      <c r="T4075" t="str">
        <f t="shared" si="4352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ref="K4076:L4076" si="4393">(J4076/60/60/24)+DATE(1970,1,1)</f>
        <v>42283.552951388891</v>
      </c>
      <c r="L4076" s="11">
        <f t="shared" si="4348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4349"/>
        <v>26.727272727272727</v>
      </c>
      <c r="R4076" s="7">
        <f t="shared" si="4350"/>
        <v>35</v>
      </c>
      <c r="S4076" t="str">
        <f t="shared" si="4351"/>
        <v>theater</v>
      </c>
      <c r="T4076" t="str">
        <f t="shared" si="4352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ref="K4077:L4077" si="4394">(J4077/60/60/24)+DATE(1970,1,1)</f>
        <v>41779.045937499999</v>
      </c>
      <c r="L4077" s="11">
        <f t="shared" si="4348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4349"/>
        <v>28.799999999999997</v>
      </c>
      <c r="R4077" s="7">
        <f t="shared" si="4350"/>
        <v>44.307692307692307</v>
      </c>
      <c r="S4077" t="str">
        <f t="shared" si="4351"/>
        <v>theater</v>
      </c>
      <c r="T4077" t="str">
        <f t="shared" si="4352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ref="K4078:L4078" si="4395">(J4078/60/60/24)+DATE(1970,1,1)</f>
        <v>41905.795706018522</v>
      </c>
      <c r="L4078" s="11">
        <f t="shared" si="4348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4349"/>
        <v>0</v>
      </c>
      <c r="R4078" s="7">
        <f t="shared" si="4350"/>
        <v>0</v>
      </c>
      <c r="S4078" t="str">
        <f t="shared" si="4351"/>
        <v>theater</v>
      </c>
      <c r="T4078" t="str">
        <f t="shared" si="4352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ref="K4079:L4079" si="4396">(J4079/60/60/24)+DATE(1970,1,1)</f>
        <v>42695.7105787037</v>
      </c>
      <c r="L4079" s="11">
        <f t="shared" si="4348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4349"/>
        <v>8.9</v>
      </c>
      <c r="R4079" s="7">
        <f t="shared" si="4350"/>
        <v>222.5</v>
      </c>
      <c r="S4079" t="str">
        <f t="shared" si="4351"/>
        <v>theater</v>
      </c>
      <c r="T4079" t="str">
        <f t="shared" si="4352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ref="K4080:L4080" si="4397">(J4080/60/60/24)+DATE(1970,1,1)</f>
        <v>42732.787523148145</v>
      </c>
      <c r="L4080" s="11">
        <f t="shared" si="4348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4349"/>
        <v>0</v>
      </c>
      <c r="R4080" s="7">
        <f t="shared" si="4350"/>
        <v>0</v>
      </c>
      <c r="S4080" t="str">
        <f t="shared" si="4351"/>
        <v>theater</v>
      </c>
      <c r="T4080" t="str">
        <f t="shared" si="4352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ref="K4081:L4081" si="4398">(J4081/60/60/24)+DATE(1970,1,1)</f>
        <v>42510.938900462963</v>
      </c>
      <c r="L4081" s="11">
        <f t="shared" si="4348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4349"/>
        <v>0.16666666666666669</v>
      </c>
      <c r="R4081" s="7">
        <f t="shared" si="4350"/>
        <v>5</v>
      </c>
      <c r="S4081" t="str">
        <f t="shared" si="4351"/>
        <v>theater</v>
      </c>
      <c r="T4081" t="str">
        <f t="shared" si="4352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ref="K4082:L4082" si="4399">(J4082/60/60/24)+DATE(1970,1,1)</f>
        <v>42511.698101851856</v>
      </c>
      <c r="L4082" s="11">
        <f t="shared" si="4348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4349"/>
        <v>0</v>
      </c>
      <c r="R4082" s="7">
        <f t="shared" si="4350"/>
        <v>0</v>
      </c>
      <c r="S4082" t="str">
        <f t="shared" si="4351"/>
        <v>theater</v>
      </c>
      <c r="T4082" t="str">
        <f t="shared" si="4352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ref="K4083:L4083" si="4400">(J4083/60/60/24)+DATE(1970,1,1)</f>
        <v>42041.581307870365</v>
      </c>
      <c r="L4083" s="11">
        <f t="shared" si="4348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4349"/>
        <v>15.737410071942445</v>
      </c>
      <c r="R4083" s="7">
        <f t="shared" si="4350"/>
        <v>29.166666666666668</v>
      </c>
      <c r="S4083" t="str">
        <f t="shared" si="4351"/>
        <v>theater</v>
      </c>
      <c r="T4083" t="str">
        <f t="shared" si="4352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ref="K4084:L4084" si="4401">(J4084/60/60/24)+DATE(1970,1,1)</f>
        <v>42307.189270833333</v>
      </c>
      <c r="L4084" s="11">
        <f t="shared" si="4348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4349"/>
        <v>2</v>
      </c>
      <c r="R4084" s="7">
        <f t="shared" si="4350"/>
        <v>1.5</v>
      </c>
      <c r="S4084" t="str">
        <f t="shared" si="4351"/>
        <v>theater</v>
      </c>
      <c r="T4084" t="str">
        <f t="shared" si="4352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ref="K4085:L4085" si="4402">(J4085/60/60/24)+DATE(1970,1,1)</f>
        <v>42353.761759259258</v>
      </c>
      <c r="L4085" s="11">
        <f t="shared" si="4348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4349"/>
        <v>21.685714285714287</v>
      </c>
      <c r="R4085" s="7">
        <f t="shared" si="4350"/>
        <v>126.5</v>
      </c>
      <c r="S4085" t="str">
        <f t="shared" si="4351"/>
        <v>theater</v>
      </c>
      <c r="T4085" t="str">
        <f t="shared" si="4352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ref="K4086:L4086" si="4403">(J4086/60/60/24)+DATE(1970,1,1)</f>
        <v>42622.436412037037</v>
      </c>
      <c r="L4086" s="11">
        <f t="shared" si="4348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4349"/>
        <v>0.33333333333333337</v>
      </c>
      <c r="R4086" s="7">
        <f t="shared" si="4350"/>
        <v>10</v>
      </c>
      <c r="S4086" t="str">
        <f t="shared" si="4351"/>
        <v>theater</v>
      </c>
      <c r="T4086" t="str">
        <f t="shared" si="4352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ref="K4087:L4087" si="4404">(J4087/60/60/24)+DATE(1970,1,1)</f>
        <v>42058.603877314818</v>
      </c>
      <c r="L4087" s="11">
        <f t="shared" si="4348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4349"/>
        <v>0.2857142857142857</v>
      </c>
      <c r="R4087" s="7">
        <f t="shared" si="4350"/>
        <v>10</v>
      </c>
      <c r="S4087" t="str">
        <f t="shared" si="4351"/>
        <v>theater</v>
      </c>
      <c r="T4087" t="str">
        <f t="shared" si="4352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ref="K4088:L4088" si="4405">(J4088/60/60/24)+DATE(1970,1,1)</f>
        <v>42304.940960648149</v>
      </c>
      <c r="L4088" s="11">
        <f t="shared" si="4348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4349"/>
        <v>4.7</v>
      </c>
      <c r="R4088" s="7">
        <f t="shared" si="4350"/>
        <v>9.4</v>
      </c>
      <c r="S4088" t="str">
        <f t="shared" si="4351"/>
        <v>theater</v>
      </c>
      <c r="T4088" t="str">
        <f t="shared" si="4352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ref="K4089:L4089" si="4406">(J4089/60/60/24)+DATE(1970,1,1)</f>
        <v>42538.742893518516</v>
      </c>
      <c r="L4089" s="11">
        <f t="shared" si="4348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4349"/>
        <v>0</v>
      </c>
      <c r="R4089" s="7">
        <f t="shared" si="4350"/>
        <v>0</v>
      </c>
      <c r="S4089" t="str">
        <f t="shared" si="4351"/>
        <v>theater</v>
      </c>
      <c r="T4089" t="str">
        <f t="shared" si="4352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ref="K4090:L4090" si="4407">(J4090/60/60/24)+DATE(1970,1,1)</f>
        <v>41990.612546296295</v>
      </c>
      <c r="L4090" s="11">
        <f t="shared" si="4348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4349"/>
        <v>10.8</v>
      </c>
      <c r="R4090" s="7">
        <f t="shared" si="4350"/>
        <v>72</v>
      </c>
      <c r="S4090" t="str">
        <f t="shared" si="4351"/>
        <v>theater</v>
      </c>
      <c r="T4090" t="str">
        <f t="shared" si="4352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ref="K4091:L4091" si="4408">(J4091/60/60/24)+DATE(1970,1,1)</f>
        <v>42122.732499999998</v>
      </c>
      <c r="L4091" s="11">
        <f t="shared" si="4348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4349"/>
        <v>4.8</v>
      </c>
      <c r="R4091" s="7">
        <f t="shared" si="4350"/>
        <v>30</v>
      </c>
      <c r="S4091" t="str">
        <f t="shared" si="4351"/>
        <v>theater</v>
      </c>
      <c r="T4091" t="str">
        <f t="shared" si="4352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ref="K4092:L4092" si="4409">(J4092/60/60/24)+DATE(1970,1,1)</f>
        <v>42209.67288194444</v>
      </c>
      <c r="L4092" s="11">
        <f t="shared" si="4348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4349"/>
        <v>3.2</v>
      </c>
      <c r="R4092" s="7">
        <f t="shared" si="4350"/>
        <v>10.666666666666666</v>
      </c>
      <c r="S4092" t="str">
        <f t="shared" si="4351"/>
        <v>theater</v>
      </c>
      <c r="T4092" t="str">
        <f t="shared" si="4352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ref="K4093:L4093" si="4410">(J4093/60/60/24)+DATE(1970,1,1)</f>
        <v>41990.506377314814</v>
      </c>
      <c r="L4093" s="11">
        <f t="shared" si="4348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4349"/>
        <v>12.75</v>
      </c>
      <c r="R4093" s="7">
        <f t="shared" si="4350"/>
        <v>25.5</v>
      </c>
      <c r="S4093" t="str">
        <f t="shared" si="4351"/>
        <v>theater</v>
      </c>
      <c r="T4093" t="str">
        <f t="shared" si="4352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ref="K4094:L4094" si="4411">(J4094/60/60/24)+DATE(1970,1,1)</f>
        <v>42039.194988425923</v>
      </c>
      <c r="L4094" s="11">
        <f t="shared" si="4348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4349"/>
        <v>1.8181818181818181E-2</v>
      </c>
      <c r="R4094" s="7">
        <f t="shared" si="4350"/>
        <v>20</v>
      </c>
      <c r="S4094" t="str">
        <f t="shared" si="4351"/>
        <v>theater</v>
      </c>
      <c r="T4094" t="str">
        <f t="shared" si="4352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ref="K4095:L4095" si="4412">(J4095/60/60/24)+DATE(1970,1,1)</f>
        <v>42178.815891203703</v>
      </c>
      <c r="L4095" s="11">
        <f t="shared" si="4348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4349"/>
        <v>2.4</v>
      </c>
      <c r="R4095" s="7">
        <f t="shared" si="4350"/>
        <v>15</v>
      </c>
      <c r="S4095" t="str">
        <f t="shared" si="4351"/>
        <v>theater</v>
      </c>
      <c r="T4095" t="str">
        <f t="shared" si="4352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ref="K4096:L4096" si="4413">(J4096/60/60/24)+DATE(1970,1,1)</f>
        <v>41890.086805555555</v>
      </c>
      <c r="L4096" s="11">
        <f t="shared" si="4348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4349"/>
        <v>36.5</v>
      </c>
      <c r="R4096" s="7">
        <f t="shared" si="4350"/>
        <v>91.25</v>
      </c>
      <c r="S4096" t="str">
        <f t="shared" si="4351"/>
        <v>theater</v>
      </c>
      <c r="T4096" t="str">
        <f t="shared" si="4352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ref="K4097:L4097" si="4414">(J4097/60/60/24)+DATE(1970,1,1)</f>
        <v>42693.031828703708</v>
      </c>
      <c r="L4097" s="11">
        <f t="shared" si="4348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4349"/>
        <v>2.666666666666667</v>
      </c>
      <c r="R4097" s="7">
        <f t="shared" si="4350"/>
        <v>800</v>
      </c>
      <c r="S4097" t="str">
        <f t="shared" si="4351"/>
        <v>theater</v>
      </c>
      <c r="T4097" t="str">
        <f t="shared" si="4352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ref="K4098:L4098" si="4415">(J4098/60/60/24)+DATE(1970,1,1)</f>
        <v>42750.530312499999</v>
      </c>
      <c r="L4098" s="11">
        <f t="shared" si="4348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4349"/>
        <v>11.428571428571429</v>
      </c>
      <c r="R4098" s="7">
        <f t="shared" si="4350"/>
        <v>80</v>
      </c>
      <c r="S4098" t="str">
        <f t="shared" si="4351"/>
        <v>theater</v>
      </c>
      <c r="T4098" t="str">
        <f t="shared" si="4352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ref="K4099:L4099" si="4416">(J4099/60/60/24)+DATE(1970,1,1)</f>
        <v>42344.824502314819</v>
      </c>
      <c r="L4099" s="11">
        <f t="shared" ref="L4099:L4115" si="4417">(I4099/60/60/24)+DATE(1970,1,1)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4418">(E4099/D4099)*100</f>
        <v>0</v>
      </c>
      <c r="R4099" s="7">
        <f t="shared" ref="R4099:R4115" si="4419">IFERROR(E4099/N4099, 0)</f>
        <v>0</v>
      </c>
      <c r="S4099" t="str">
        <f t="shared" ref="S4099:S4115" si="4420">LEFT(P4099, SEARCH("/", P4099,1)-1)</f>
        <v>theater</v>
      </c>
      <c r="T4099" t="str">
        <f t="shared" ref="T4099:T4115" si="4421">RIGHT(P4099,LEN(P4099)-SEARCH("/",P4099,SEARCH("/",P4099)))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ref="K4100:L4100" si="4422">(J4100/60/60/24)+DATE(1970,1,1)</f>
        <v>42495.722187499996</v>
      </c>
      <c r="L4100" s="11">
        <f t="shared" si="441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4418"/>
        <v>0</v>
      </c>
      <c r="R4100" s="7">
        <f t="shared" si="4419"/>
        <v>0</v>
      </c>
      <c r="S4100" t="str">
        <f t="shared" si="4420"/>
        <v>theater</v>
      </c>
      <c r="T4100" t="str">
        <f t="shared" si="4421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ref="K4101:L4101" si="4423">(J4101/60/60/24)+DATE(1970,1,1)</f>
        <v>42570.850381944445</v>
      </c>
      <c r="L4101" s="11">
        <f t="shared" si="441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4418"/>
        <v>1.1111111111111112</v>
      </c>
      <c r="R4101" s="7">
        <f t="shared" si="4419"/>
        <v>50</v>
      </c>
      <c r="S4101" t="str">
        <f t="shared" si="4420"/>
        <v>theater</v>
      </c>
      <c r="T4101" t="str">
        <f t="shared" si="4421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ref="K4102:L4102" si="4424">(J4102/60/60/24)+DATE(1970,1,1)</f>
        <v>41927.124884259261</v>
      </c>
      <c r="L4102" s="11">
        <f t="shared" si="441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4418"/>
        <v>0</v>
      </c>
      <c r="R4102" s="7">
        <f t="shared" si="4419"/>
        <v>0</v>
      </c>
      <c r="S4102" t="str">
        <f t="shared" si="4420"/>
        <v>theater</v>
      </c>
      <c r="T4102" t="str">
        <f t="shared" si="4421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ref="K4103:L4103" si="4425">(J4103/60/60/24)+DATE(1970,1,1)</f>
        <v>42730.903726851851</v>
      </c>
      <c r="L4103" s="11">
        <f t="shared" si="441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4418"/>
        <v>0</v>
      </c>
      <c r="R4103" s="7">
        <f t="shared" si="4419"/>
        <v>0</v>
      </c>
      <c r="S4103" t="str">
        <f t="shared" si="4420"/>
        <v>theater</v>
      </c>
      <c r="T4103" t="str">
        <f t="shared" si="4421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ref="K4104:L4104" si="4426">(J4104/60/60/24)+DATE(1970,1,1)</f>
        <v>42475.848067129627</v>
      </c>
      <c r="L4104" s="11">
        <f t="shared" si="441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4418"/>
        <v>27.400000000000002</v>
      </c>
      <c r="R4104" s="7">
        <f t="shared" si="4419"/>
        <v>22.833333333333332</v>
      </c>
      <c r="S4104" t="str">
        <f t="shared" si="4420"/>
        <v>theater</v>
      </c>
      <c r="T4104" t="str">
        <f t="shared" si="4421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ref="K4105:L4105" si="4427">(J4105/60/60/24)+DATE(1970,1,1)</f>
        <v>42188.83293981482</v>
      </c>
      <c r="L4105" s="11">
        <f t="shared" si="441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4418"/>
        <v>10</v>
      </c>
      <c r="R4105" s="7">
        <f t="shared" si="4419"/>
        <v>16.666666666666668</v>
      </c>
      <c r="S4105" t="str">
        <f t="shared" si="4420"/>
        <v>theater</v>
      </c>
      <c r="T4105" t="str">
        <f t="shared" si="4421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ref="K4106:L4106" si="4428">(J4106/60/60/24)+DATE(1970,1,1)</f>
        <v>42640.278171296297</v>
      </c>
      <c r="L4106" s="11">
        <f t="shared" si="441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4418"/>
        <v>21.366666666666667</v>
      </c>
      <c r="R4106" s="7">
        <f t="shared" si="4419"/>
        <v>45.785714285714285</v>
      </c>
      <c r="S4106" t="str">
        <f t="shared" si="4420"/>
        <v>theater</v>
      </c>
      <c r="T4106" t="str">
        <f t="shared" si="4421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ref="K4107:L4107" si="4429">(J4107/60/60/24)+DATE(1970,1,1)</f>
        <v>42697.010520833333</v>
      </c>
      <c r="L4107" s="11">
        <f t="shared" si="441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4418"/>
        <v>6.9696969696969706</v>
      </c>
      <c r="R4107" s="7">
        <f t="shared" si="4419"/>
        <v>383.33333333333331</v>
      </c>
      <c r="S4107" t="str">
        <f t="shared" si="4420"/>
        <v>theater</v>
      </c>
      <c r="T4107" t="str">
        <f t="shared" si="4421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ref="K4108:L4108" si="4430">(J4108/60/60/24)+DATE(1970,1,1)</f>
        <v>42053.049375000002</v>
      </c>
      <c r="L4108" s="11">
        <f t="shared" si="441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4418"/>
        <v>70.599999999999994</v>
      </c>
      <c r="R4108" s="7">
        <f t="shared" si="4419"/>
        <v>106.96969696969697</v>
      </c>
      <c r="S4108" t="str">
        <f t="shared" si="4420"/>
        <v>theater</v>
      </c>
      <c r="T4108" t="str">
        <f t="shared" si="4421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ref="K4109:L4109" si="4431">(J4109/60/60/24)+DATE(1970,1,1)</f>
        <v>41883.916678240741</v>
      </c>
      <c r="L4109" s="11">
        <f t="shared" si="441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4418"/>
        <v>2.0500000000000003</v>
      </c>
      <c r="R4109" s="7">
        <f t="shared" si="4419"/>
        <v>10.25</v>
      </c>
      <c r="S4109" t="str">
        <f t="shared" si="4420"/>
        <v>theater</v>
      </c>
      <c r="T4109" t="str">
        <f t="shared" si="4421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ref="K4110:L4110" si="4432">(J4110/60/60/24)+DATE(1970,1,1)</f>
        <v>42767.031678240746</v>
      </c>
      <c r="L4110" s="11">
        <f t="shared" si="441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4418"/>
        <v>1.9666666666666666</v>
      </c>
      <c r="R4110" s="7">
        <f t="shared" si="4419"/>
        <v>59</v>
      </c>
      <c r="S4110" t="str">
        <f t="shared" si="4420"/>
        <v>theater</v>
      </c>
      <c r="T4110" t="str">
        <f t="shared" si="4421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ref="K4111:L4111" si="4433">(J4111/60/60/24)+DATE(1970,1,1)</f>
        <v>42307.539398148147</v>
      </c>
      <c r="L4111" s="11">
        <f t="shared" si="441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4418"/>
        <v>0</v>
      </c>
      <c r="R4111" s="7">
        <f t="shared" si="4419"/>
        <v>0</v>
      </c>
      <c r="S4111" t="str">
        <f t="shared" si="4420"/>
        <v>theater</v>
      </c>
      <c r="T4111" t="str">
        <f t="shared" si="4421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ref="K4112:L4112" si="4434">(J4112/60/60/24)+DATE(1970,1,1)</f>
        <v>42512.626747685179</v>
      </c>
      <c r="L4112" s="11">
        <f t="shared" si="441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4418"/>
        <v>28.666666666666668</v>
      </c>
      <c r="R4112" s="7">
        <f t="shared" si="4419"/>
        <v>14.333333333333334</v>
      </c>
      <c r="S4112" t="str">
        <f t="shared" si="4420"/>
        <v>theater</v>
      </c>
      <c r="T4112" t="str">
        <f t="shared" si="4421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ref="K4113:L4113" si="4435">(J4113/60/60/24)+DATE(1970,1,1)</f>
        <v>42029.135879629626</v>
      </c>
      <c r="L4113" s="11">
        <f t="shared" si="441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4418"/>
        <v>3.1333333333333333</v>
      </c>
      <c r="R4113" s="7">
        <f t="shared" si="4419"/>
        <v>15.666666666666666</v>
      </c>
      <c r="S4113" t="str">
        <f t="shared" si="4420"/>
        <v>theater</v>
      </c>
      <c r="T4113" t="str">
        <f t="shared" si="4421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ref="K4114:L4114" si="4436">(J4114/60/60/24)+DATE(1970,1,1)</f>
        <v>42400.946597222224</v>
      </c>
      <c r="L4114" s="11">
        <f t="shared" si="4417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4418"/>
        <v>0.04</v>
      </c>
      <c r="R4114" s="7">
        <f t="shared" si="4419"/>
        <v>1</v>
      </c>
      <c r="S4114" t="str">
        <f t="shared" si="4420"/>
        <v>theater</v>
      </c>
      <c r="T4114" t="str">
        <f t="shared" si="4421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ref="K4115:L4115" si="4437">(J4115/60/60/24)+DATE(1970,1,1)</f>
        <v>42358.573182870372</v>
      </c>
      <c r="L4115" s="11">
        <f t="shared" si="441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4418"/>
        <v>0.2</v>
      </c>
      <c r="R4115" s="7">
        <f t="shared" si="4419"/>
        <v>1</v>
      </c>
      <c r="S4115" t="str">
        <f t="shared" si="4420"/>
        <v>theater</v>
      </c>
      <c r="T4115" t="str">
        <f t="shared" si="4421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787E5-45DF-4B55-BEB6-61FC6DE29D96}">
  <dimension ref="A1:F14"/>
  <sheetViews>
    <sheetView topLeftCell="G1" zoomScale="85" zoomScaleNormal="85" workbookViewId="0">
      <selection activeCell="N38" sqref="N3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9.1796875" bestFit="1" customWidth="1"/>
    <col min="4" max="4" width="5.54296875" bestFit="1" customWidth="1"/>
    <col min="5" max="5" width="8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8312</v>
      </c>
    </row>
    <row r="3" spans="1:6" x14ac:dyDescent="0.35">
      <c r="A3" s="8" t="s">
        <v>8364</v>
      </c>
      <c r="B3" s="8" t="s">
        <v>8363</v>
      </c>
    </row>
    <row r="4" spans="1:6" x14ac:dyDescent="0.35">
      <c r="A4" s="8" t="s">
        <v>8313</v>
      </c>
      <c r="B4" t="s">
        <v>8222</v>
      </c>
      <c r="C4" t="s">
        <v>8219</v>
      </c>
      <c r="D4" t="s">
        <v>8221</v>
      </c>
      <c r="E4" t="s">
        <v>8220</v>
      </c>
      <c r="F4" t="s">
        <v>8354</v>
      </c>
    </row>
    <row r="5" spans="1:6" x14ac:dyDescent="0.35">
      <c r="A5" s="9" t="s">
        <v>8310</v>
      </c>
      <c r="B5" s="10"/>
      <c r="C5" s="10">
        <v>300</v>
      </c>
      <c r="D5" s="10">
        <v>180</v>
      </c>
      <c r="E5" s="10">
        <v>40</v>
      </c>
      <c r="F5" s="10">
        <v>520</v>
      </c>
    </row>
    <row r="6" spans="1:6" x14ac:dyDescent="0.35">
      <c r="A6" s="9" t="s">
        <v>8355</v>
      </c>
      <c r="B6" s="10">
        <v>6</v>
      </c>
      <c r="C6" s="10">
        <v>34</v>
      </c>
      <c r="D6" s="10">
        <v>140</v>
      </c>
      <c r="E6" s="10">
        <v>20</v>
      </c>
      <c r="F6" s="10">
        <v>200</v>
      </c>
    </row>
    <row r="7" spans="1:6" x14ac:dyDescent="0.35">
      <c r="A7" s="9" t="s">
        <v>8356</v>
      </c>
      <c r="B7" s="10"/>
      <c r="C7" s="10">
        <v>80</v>
      </c>
      <c r="D7" s="10">
        <v>140</v>
      </c>
      <c r="E7" s="10"/>
      <c r="F7" s="10">
        <v>220</v>
      </c>
    </row>
    <row r="8" spans="1:6" x14ac:dyDescent="0.35">
      <c r="A8" s="9" t="s">
        <v>8357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8358</v>
      </c>
      <c r="B9" s="10">
        <v>20</v>
      </c>
      <c r="C9" s="10">
        <v>540</v>
      </c>
      <c r="D9" s="10">
        <v>120</v>
      </c>
      <c r="E9" s="10">
        <v>20</v>
      </c>
      <c r="F9" s="10">
        <v>700</v>
      </c>
    </row>
    <row r="10" spans="1:6" x14ac:dyDescent="0.35">
      <c r="A10" s="9" t="s">
        <v>8359</v>
      </c>
      <c r="B10" s="10"/>
      <c r="C10" s="10">
        <v>103</v>
      </c>
      <c r="D10" s="10">
        <v>117</v>
      </c>
      <c r="E10" s="10"/>
      <c r="F10" s="10">
        <v>220</v>
      </c>
    </row>
    <row r="11" spans="1:6" x14ac:dyDescent="0.35">
      <c r="A11" s="9" t="s">
        <v>8360</v>
      </c>
      <c r="B11" s="10"/>
      <c r="C11" s="10">
        <v>80</v>
      </c>
      <c r="D11" s="10">
        <v>127</v>
      </c>
      <c r="E11" s="10">
        <v>30</v>
      </c>
      <c r="F11" s="10">
        <v>237</v>
      </c>
    </row>
    <row r="12" spans="1:6" x14ac:dyDescent="0.35">
      <c r="A12" s="9" t="s">
        <v>8361</v>
      </c>
      <c r="B12" s="10"/>
      <c r="C12" s="10">
        <v>209</v>
      </c>
      <c r="D12" s="10">
        <v>213</v>
      </c>
      <c r="E12" s="10">
        <v>178</v>
      </c>
      <c r="F12" s="10">
        <v>600</v>
      </c>
    </row>
    <row r="13" spans="1:6" x14ac:dyDescent="0.35">
      <c r="A13" s="9" t="s">
        <v>8362</v>
      </c>
      <c r="B13" s="10">
        <v>24</v>
      </c>
      <c r="C13" s="10">
        <v>839</v>
      </c>
      <c r="D13" s="10">
        <v>493</v>
      </c>
      <c r="E13" s="10">
        <v>37</v>
      </c>
      <c r="F13" s="10">
        <v>1393</v>
      </c>
    </row>
    <row r="14" spans="1:6" x14ac:dyDescent="0.35">
      <c r="A14" s="9" t="s">
        <v>8354</v>
      </c>
      <c r="B14" s="10">
        <v>50</v>
      </c>
      <c r="C14" s="10">
        <v>2185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537D0-311D-4F34-9C3D-4FB7054F0F1F}">
  <dimension ref="A1:F47"/>
  <sheetViews>
    <sheetView workbookViewId="0">
      <selection activeCell="A5" sqref="A5:F5"/>
    </sheetView>
  </sheetViews>
  <sheetFormatPr defaultRowHeight="14.5" x14ac:dyDescent="0.35"/>
  <cols>
    <col min="1" max="1" width="24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8312</v>
      </c>
    </row>
    <row r="2" spans="1:6" x14ac:dyDescent="0.35">
      <c r="A2" s="8" t="s">
        <v>8264</v>
      </c>
      <c r="B2" t="s">
        <v>8312</v>
      </c>
    </row>
    <row r="4" spans="1:6" x14ac:dyDescent="0.35">
      <c r="A4" s="8" t="s">
        <v>8365</v>
      </c>
      <c r="B4" s="8" t="s">
        <v>8363</v>
      </c>
    </row>
    <row r="5" spans="1:6" x14ac:dyDescent="0.3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3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8315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8317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8318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8319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8320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8321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8322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8324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8325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8326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8329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8330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8332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8333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8334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8335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8337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8338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8339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8341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8342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8343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8344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8345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8346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8347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8348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8350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8351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8352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8353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8354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AD128-3F96-4E31-9BB9-9D300331AA1D}">
  <dimension ref="A1:E18"/>
  <sheetViews>
    <sheetView workbookViewId="0">
      <selection activeCell="N30" sqref="N30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8" t="s">
        <v>8368</v>
      </c>
      <c r="B1" t="s">
        <v>8312</v>
      </c>
    </row>
    <row r="2" spans="1:5" x14ac:dyDescent="0.35">
      <c r="A2" s="8" t="s">
        <v>8381</v>
      </c>
      <c r="B2" t="s">
        <v>8312</v>
      </c>
    </row>
    <row r="4" spans="1:5" x14ac:dyDescent="0.35">
      <c r="A4" s="8" t="s">
        <v>8365</v>
      </c>
      <c r="B4" s="8" t="s">
        <v>8363</v>
      </c>
    </row>
    <row r="5" spans="1:5" x14ac:dyDescent="0.35">
      <c r="A5" s="8" t="s">
        <v>8313</v>
      </c>
      <c r="B5" t="s">
        <v>8220</v>
      </c>
      <c r="C5" t="s">
        <v>8221</v>
      </c>
      <c r="D5" t="s">
        <v>8219</v>
      </c>
      <c r="E5" t="s">
        <v>8354</v>
      </c>
    </row>
    <row r="6" spans="1:5" x14ac:dyDescent="0.35">
      <c r="A6" s="12" t="s">
        <v>8375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12" t="s">
        <v>8376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12" t="s">
        <v>8377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12" t="s">
        <v>8378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12" t="s">
        <v>8369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12" t="s">
        <v>8379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12" t="s">
        <v>8370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12" t="s">
        <v>8371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12" t="s">
        <v>8372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12" t="s">
        <v>8373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12" t="s">
        <v>8374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5">
      <c r="A17" s="12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5">
      <c r="A18" s="12" t="s">
        <v>8354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12ED-0139-4003-97EF-94C02ADD3BD0}">
  <dimension ref="A1:H13"/>
  <sheetViews>
    <sheetView zoomScale="115" zoomScaleNormal="115" workbookViewId="0">
      <selection activeCell="F10" sqref="F10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35">
      <c r="A2" t="s">
        <v>8390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14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35">
      <c r="A3" t="s">
        <v>8391</v>
      </c>
      <c r="B3">
        <f>COUNTIFS(Sheet1!D:D, "&lt;= 4999", Sheet1!D:D, "&gt;=1000", Sheet1!F:F, "successful")</f>
        <v>932</v>
      </c>
      <c r="C3">
        <f>COUNTIFS(Sheet1!D:D, "&lt;= 4999", Sheet1!D:D, "&gt;=1000", Sheet1!F:F, "failed")</f>
        <v>420</v>
      </c>
      <c r="D3">
        <f>COUNTIFS(Sheet1!D:D, "&lt;= 4999", Sheet1!D:D, "&gt;=1000", Sheet1!F:F, "canceled")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35">
      <c r="A4" t="s">
        <v>8392</v>
      </c>
      <c r="B4">
        <f>COUNTIFS(Sheet1!D:D, "&lt;= 9999", Sheet1!D:D, "&gt;=5000", Sheet1!F:F, "successful")</f>
        <v>381</v>
      </c>
      <c r="C4">
        <f>COUNTIFS(Sheet1!D:D, "&lt;= 9999", Sheet1!D:D, "&gt;=5000", Sheet1!F:F, "failed")</f>
        <v>283</v>
      </c>
      <c r="D4">
        <f>COUNTIFS(Sheet1!D:D, "&lt;= 9999", Sheet1!D:D, "&gt;=5000", Sheet1!F:F, "canceled")</f>
        <v>52</v>
      </c>
      <c r="E4">
        <f t="shared" si="1"/>
        <v>716</v>
      </c>
      <c r="F4" s="14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35">
      <c r="A5" t="s">
        <v>8393</v>
      </c>
      <c r="B5">
        <f>COUNTIFS(Sheet1!D:D, "&lt;= 14999", Sheet1!D:D, "&gt;=10000", Sheet1!F:F, "successful")</f>
        <v>168</v>
      </c>
      <c r="C5">
        <f>COUNTIFS(Sheet1!D:D, "&lt;= 14999", Sheet1!D:D, "&gt;=10000", Sheet1!F:F, "failed")</f>
        <v>144</v>
      </c>
      <c r="D5">
        <f>COUNTIFS(Sheet1!D:D, "&lt;= 14999", Sheet1!D:D, "&gt;=10000", Sheet1!F:F, "canceled")</f>
        <v>40</v>
      </c>
      <c r="E5">
        <f t="shared" si="1"/>
        <v>352</v>
      </c>
      <c r="F5" s="14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35">
      <c r="A6" t="s">
        <v>8394</v>
      </c>
      <c r="B6">
        <f>COUNTIFS(Sheet1!D:D, "&lt;= 19999", Sheet1!D:D, "&gt;=15000", Sheet1!F:F, "successful")</f>
        <v>94</v>
      </c>
      <c r="C6">
        <f>COUNTIFS(Sheet1!D:D, "&lt;= 19999", Sheet1!D:D, "&gt;=15000", Sheet1!F:F, "failed")</f>
        <v>90</v>
      </c>
      <c r="D6">
        <f>COUNTIFS(Sheet1!D:D, "&lt;= 19999", Sheet1!D:D, "&gt;=15000", Sheet1!F:F, "canceled")</f>
        <v>17</v>
      </c>
      <c r="E6">
        <f t="shared" si="1"/>
        <v>201</v>
      </c>
      <c r="F6" s="14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35">
      <c r="A7" t="s">
        <v>8395</v>
      </c>
      <c r="B7">
        <f>COUNTIFS(Sheet1!D:D, "&lt;= 24999", Sheet1!D:D, "&gt;=20000", Sheet1!F:F, "successful")</f>
        <v>62</v>
      </c>
      <c r="C7">
        <f>COUNTIFS(Sheet1!D:D, "&lt;= 24999", Sheet1!D:D, "&gt;=20000", Sheet1!F:F, "failed")</f>
        <v>72</v>
      </c>
      <c r="D7">
        <f>COUNTIFS(Sheet1!D:D, "&lt;= 24999", Sheet1!D:D, "&gt;=20000", Sheet1!F:F, "canceled")</f>
        <v>14</v>
      </c>
      <c r="E7">
        <f t="shared" si="1"/>
        <v>148</v>
      </c>
      <c r="F7" s="14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35">
      <c r="A8" t="s">
        <v>8396</v>
      </c>
      <c r="B8">
        <f>COUNTIFS(Sheet1!D:D, "&lt;= 29999", Sheet1!D:D, "&gt;=25000", Sheet1!F:F, "successful")</f>
        <v>55</v>
      </c>
      <c r="C8">
        <f>COUNTIFS(Sheet1!D:D, "&lt;= 29999", Sheet1!D:D, "&gt;=25000", Sheet1!F:F, "failed")</f>
        <v>64</v>
      </c>
      <c r="D8">
        <f>COUNTIFS(Sheet1!D:D, "&lt;= 29999", Sheet1!D:D, "&gt;=25000", Sheet1!F:F, "canceled")</f>
        <v>18</v>
      </c>
      <c r="E8">
        <f t="shared" si="1"/>
        <v>137</v>
      </c>
      <c r="F8" s="14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35">
      <c r="A9" t="s">
        <v>8397</v>
      </c>
      <c r="B9">
        <f>COUNTIFS(Sheet1!D:D, "&lt;= 34999", Sheet1!D:D, "&gt;=30000", Sheet1!F:F, "successful")</f>
        <v>32</v>
      </c>
      <c r="C9">
        <f>COUNTIFS(Sheet1!D:D, "&lt;= 34999", Sheet1!D:D, "&gt;=30000", Sheet1!F:F, "failed")</f>
        <v>37</v>
      </c>
      <c r="D9">
        <f>COUNTIFS(Sheet1!D:D, "&lt;= 34999", Sheet1!D:D, "&gt;=30000", Sheet1!F:F, "canceled")</f>
        <v>13</v>
      </c>
      <c r="E9">
        <f t="shared" si="1"/>
        <v>82</v>
      </c>
      <c r="F9" s="14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35">
      <c r="A10" t="s">
        <v>8398</v>
      </c>
      <c r="B10">
        <f>COUNTIFS(Sheet1!D:D, "&lt;= 39999", Sheet1!D:D, "&gt;=35000", Sheet1!F:F, "successful")</f>
        <v>26</v>
      </c>
      <c r="C10">
        <f>COUNTIFS(Sheet1!D:D, "&lt;= 39999", Sheet1!D:D, "&gt;=35000", Sheet1!F:F, "failed")</f>
        <v>22</v>
      </c>
      <c r="D10">
        <f>COUNTIFS(Sheet1!D:D, "&lt;= 39999", Sheet1!D:D, "&gt;=35000", Sheet1!F:F, "canceled")</f>
        <v>7</v>
      </c>
      <c r="E10">
        <f t="shared" si="1"/>
        <v>55</v>
      </c>
      <c r="F10" s="14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35">
      <c r="A11" t="s">
        <v>8399</v>
      </c>
      <c r="B11">
        <f>COUNTIFS(Sheet1!D:D, "&lt;= 44999", Sheet1!D:D, "&gt;=40000", Sheet1!F:F, "successful")</f>
        <v>21</v>
      </c>
      <c r="C11">
        <f>COUNTIFS(Sheet1!D:D, "&lt;= 44999", Sheet1!D:D, "&gt;=40000", Sheet1!F:F, "failed")</f>
        <v>16</v>
      </c>
      <c r="D11">
        <f>COUNTIFS(Sheet1!D:D, "&lt;= 44999", Sheet1!D:D, "&gt;=40000", Sheet1!F:F, "canceled")</f>
        <v>6</v>
      </c>
      <c r="E11">
        <f t="shared" si="1"/>
        <v>43</v>
      </c>
      <c r="F11" s="14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35">
      <c r="A12" t="s">
        <v>8400</v>
      </c>
      <c r="B12">
        <f>COUNTIFS(Sheet1!D:D, "&lt;= 49999", Sheet1!D:D, "&gt;=45000", Sheet1!F:F, "successful")</f>
        <v>6</v>
      </c>
      <c r="C12">
        <f>COUNTIFS(Sheet1!D:D, "&lt;= 49999", Sheet1!D:D, "&gt;=45000", Sheet1!F:F, "failed")</f>
        <v>11</v>
      </c>
      <c r="D12">
        <f>COUNTIFS(Sheet1!D:D, "&lt;= 49999", Sheet1!D:D, "&gt;=45000", Sheet1!F:F, "canceled")</f>
        <v>4</v>
      </c>
      <c r="E12">
        <f t="shared" si="1"/>
        <v>21</v>
      </c>
      <c r="F12" s="14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35">
      <c r="A13" t="s">
        <v>8401</v>
      </c>
      <c r="B13">
        <f>COUNTIFS(Sheet1!D:D, "&gt;= 50000",Sheet1!F:F, "successful")</f>
        <v>86</v>
      </c>
      <c r="C13">
        <f>COUNTIFS(Sheet1!D:D, "&gt;= 50000",Sheet1!F:F, "failed")</f>
        <v>258</v>
      </c>
      <c r="D13">
        <f>COUNTIFS(Sheet1!D:D, "&gt;= 50000",Sheet1!F:F, "canceled")</f>
        <v>100</v>
      </c>
      <c r="E13">
        <f t="shared" si="1"/>
        <v>444</v>
      </c>
      <c r="F13" s="14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BB82F-F575-432E-B5E0-44C09C3C1A0D}">
  <dimension ref="A1:K2186"/>
  <sheetViews>
    <sheetView workbookViewId="0">
      <selection activeCell="V11" sqref="V11"/>
    </sheetView>
  </sheetViews>
  <sheetFormatPr defaultRowHeight="14.5" x14ac:dyDescent="0.35"/>
  <cols>
    <col min="1" max="2" width="15.36328125" customWidth="1"/>
    <col min="4" max="5" width="15.36328125" customWidth="1"/>
    <col min="9" max="9" width="19" customWidth="1"/>
    <col min="10" max="11" width="13" customWidth="1"/>
  </cols>
  <sheetData>
    <row r="1" spans="1:11" x14ac:dyDescent="0.35">
      <c r="A1" t="s">
        <v>8402</v>
      </c>
      <c r="B1" t="s">
        <v>8262</v>
      </c>
      <c r="D1" t="s">
        <v>8402</v>
      </c>
      <c r="E1" t="s">
        <v>8262</v>
      </c>
      <c r="J1" t="s">
        <v>8409</v>
      </c>
      <c r="K1" t="s">
        <v>8410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I2" t="s">
        <v>8403</v>
      </c>
      <c r="J2" s="5">
        <f>AVERAGE(B2:B2186)</f>
        <v>194.42517162471395</v>
      </c>
      <c r="K2" s="5">
        <f>AVERAGE(E2:E1880)</f>
        <v>19.492283129324107</v>
      </c>
    </row>
    <row r="3" spans="1:11" x14ac:dyDescent="0.35">
      <c r="A3" t="s">
        <v>8219</v>
      </c>
      <c r="B3">
        <v>79</v>
      </c>
      <c r="D3" t="s">
        <v>8221</v>
      </c>
      <c r="E3">
        <v>1</v>
      </c>
      <c r="I3" t="s">
        <v>8404</v>
      </c>
      <c r="J3">
        <f>MEDIAN(B2:B2186)</f>
        <v>62</v>
      </c>
      <c r="K3" s="5">
        <f>MEDIAN(E2:E1880)</f>
        <v>3</v>
      </c>
    </row>
    <row r="4" spans="1:11" x14ac:dyDescent="0.35">
      <c r="A4" t="s">
        <v>8219</v>
      </c>
      <c r="B4">
        <v>35</v>
      </c>
      <c r="D4" t="s">
        <v>8221</v>
      </c>
      <c r="E4">
        <v>10</v>
      </c>
      <c r="I4" t="s">
        <v>8405</v>
      </c>
      <c r="J4">
        <f>MIN(B2:B2186)</f>
        <v>1</v>
      </c>
      <c r="K4" s="5">
        <f>MIN(E2:E1880)</f>
        <v>0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I5" t="s">
        <v>8406</v>
      </c>
      <c r="J5">
        <f>MAX(B2:B2186)</f>
        <v>26457</v>
      </c>
      <c r="K5" s="5">
        <f>MAX(E2:E1880)</f>
        <v>1501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I6" t="s">
        <v>8407</v>
      </c>
      <c r="J6" s="5">
        <f>_xlfn.VAR.P(B2:B2186)</f>
        <v>712840.9867348104</v>
      </c>
      <c r="K6" s="5">
        <f>_xlfn.VAR.P(E2:E1880)</f>
        <v>5243.674102238092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I7" t="s">
        <v>8408</v>
      </c>
      <c r="J7" s="5">
        <f>_xlfn.STDEV.P(B2:B2186)</f>
        <v>844.29910975602149</v>
      </c>
      <c r="K7" s="5">
        <f>_xlfn.STDEV.P(E2:E1880)</f>
        <v>72.413217731558461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</row>
    <row r="11" spans="1:11" x14ac:dyDescent="0.35">
      <c r="A11" t="s">
        <v>8219</v>
      </c>
      <c r="B11">
        <v>20</v>
      </c>
      <c r="D11" t="s">
        <v>8221</v>
      </c>
      <c r="E11">
        <v>10</v>
      </c>
    </row>
    <row r="12" spans="1:11" x14ac:dyDescent="0.35">
      <c r="A12" t="s">
        <v>8219</v>
      </c>
      <c r="B12">
        <v>19</v>
      </c>
      <c r="D12" t="s">
        <v>8221</v>
      </c>
      <c r="E12">
        <v>10</v>
      </c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</row>
    <row r="16" spans="1:11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  <c r="D1532" t="s">
        <v>8220</v>
      </c>
      <c r="E1532">
        <v>1</v>
      </c>
    </row>
    <row r="1533" spans="1:5" x14ac:dyDescent="0.35">
      <c r="A1533" t="s">
        <v>8219</v>
      </c>
      <c r="B1533">
        <v>25</v>
      </c>
      <c r="D1533" t="s">
        <v>8220</v>
      </c>
      <c r="E1533">
        <v>1</v>
      </c>
    </row>
    <row r="1534" spans="1:5" x14ac:dyDescent="0.35">
      <c r="A1534" t="s">
        <v>8219</v>
      </c>
      <c r="B1534">
        <v>55</v>
      </c>
      <c r="D1534" t="s">
        <v>8220</v>
      </c>
      <c r="E1534">
        <v>0</v>
      </c>
    </row>
    <row r="1535" spans="1:5" x14ac:dyDescent="0.35">
      <c r="A1535" t="s">
        <v>8219</v>
      </c>
      <c r="B1535">
        <v>107</v>
      </c>
      <c r="D1535" t="s">
        <v>8220</v>
      </c>
      <c r="E1535">
        <v>6</v>
      </c>
    </row>
    <row r="1536" spans="1:5" x14ac:dyDescent="0.35">
      <c r="A1536" t="s">
        <v>8219</v>
      </c>
      <c r="B1536">
        <v>557</v>
      </c>
      <c r="D1536" t="s">
        <v>8220</v>
      </c>
      <c r="E1536">
        <v>0</v>
      </c>
    </row>
    <row r="1537" spans="1:5" x14ac:dyDescent="0.35">
      <c r="A1537" t="s">
        <v>8219</v>
      </c>
      <c r="B1537">
        <v>40</v>
      </c>
      <c r="D1537" t="s">
        <v>8220</v>
      </c>
      <c r="E1537">
        <v>6</v>
      </c>
    </row>
    <row r="1538" spans="1:5" x14ac:dyDescent="0.35">
      <c r="A1538" t="s">
        <v>8219</v>
      </c>
      <c r="B1538">
        <v>36</v>
      </c>
      <c r="D1538" t="s">
        <v>8220</v>
      </c>
      <c r="E1538">
        <v>13</v>
      </c>
    </row>
    <row r="1539" spans="1:5" x14ac:dyDescent="0.35">
      <c r="A1539" t="s">
        <v>8219</v>
      </c>
      <c r="B1539">
        <v>159</v>
      </c>
      <c r="D1539" t="s">
        <v>8220</v>
      </c>
      <c r="E1539">
        <v>4</v>
      </c>
    </row>
    <row r="1540" spans="1:5" x14ac:dyDescent="0.35">
      <c r="A1540" t="s">
        <v>8219</v>
      </c>
      <c r="B1540">
        <v>41</v>
      </c>
      <c r="D1540" t="s">
        <v>8220</v>
      </c>
      <c r="E1540">
        <v>6</v>
      </c>
    </row>
    <row r="1541" spans="1:5" x14ac:dyDescent="0.35">
      <c r="A1541" t="s">
        <v>8219</v>
      </c>
      <c r="B1541">
        <v>226</v>
      </c>
      <c r="D1541" t="s">
        <v>8220</v>
      </c>
      <c r="E1541">
        <v>0</v>
      </c>
    </row>
    <row r="1542" spans="1:5" x14ac:dyDescent="0.35">
      <c r="A1542" t="s">
        <v>8219</v>
      </c>
      <c r="B1542">
        <v>30</v>
      </c>
      <c r="D1542" t="s">
        <v>8220</v>
      </c>
      <c r="E1542">
        <v>0</v>
      </c>
    </row>
    <row r="1543" spans="1:5" x14ac:dyDescent="0.35">
      <c r="A1543" t="s">
        <v>8219</v>
      </c>
      <c r="B1543">
        <v>103</v>
      </c>
      <c r="D1543" t="s">
        <v>8220</v>
      </c>
      <c r="E1543">
        <v>0</v>
      </c>
    </row>
    <row r="1544" spans="1:5" x14ac:dyDescent="0.35">
      <c r="A1544" t="s">
        <v>8219</v>
      </c>
      <c r="B1544">
        <v>62</v>
      </c>
      <c r="D1544" t="s">
        <v>8220</v>
      </c>
      <c r="E1544">
        <v>81</v>
      </c>
    </row>
    <row r="1545" spans="1:5" x14ac:dyDescent="0.35">
      <c r="A1545" t="s">
        <v>8219</v>
      </c>
      <c r="B1545">
        <v>6</v>
      </c>
      <c r="D1545" t="s">
        <v>8220</v>
      </c>
      <c r="E1545">
        <v>0</v>
      </c>
    </row>
    <row r="1546" spans="1:5" x14ac:dyDescent="0.35">
      <c r="A1546" t="s">
        <v>8219</v>
      </c>
      <c r="B1546">
        <v>182</v>
      </c>
      <c r="D1546" t="s">
        <v>8220</v>
      </c>
      <c r="E1546">
        <v>0</v>
      </c>
    </row>
    <row r="1547" spans="1:5" x14ac:dyDescent="0.35">
      <c r="A1547" t="s">
        <v>8219</v>
      </c>
      <c r="B1547">
        <v>145</v>
      </c>
      <c r="D1547" t="s">
        <v>8220</v>
      </c>
      <c r="E1547">
        <v>5</v>
      </c>
    </row>
    <row r="1548" spans="1:5" x14ac:dyDescent="0.35">
      <c r="A1548" t="s">
        <v>8219</v>
      </c>
      <c r="B1548">
        <v>25</v>
      </c>
      <c r="D1548" t="s">
        <v>8220</v>
      </c>
      <c r="E1548">
        <v>0</v>
      </c>
    </row>
    <row r="1549" spans="1:5" x14ac:dyDescent="0.35">
      <c r="A1549" t="s">
        <v>8219</v>
      </c>
      <c r="B1549">
        <v>320</v>
      </c>
      <c r="D1549" t="s">
        <v>8220</v>
      </c>
      <c r="E1549">
        <v>0</v>
      </c>
    </row>
    <row r="1550" spans="1:5" x14ac:dyDescent="0.35">
      <c r="A1550" t="s">
        <v>8219</v>
      </c>
      <c r="B1550">
        <v>99</v>
      </c>
      <c r="D1550" t="s">
        <v>8220</v>
      </c>
      <c r="E1550">
        <v>58</v>
      </c>
    </row>
    <row r="1551" spans="1:5" x14ac:dyDescent="0.35">
      <c r="A1551" t="s">
        <v>8219</v>
      </c>
      <c r="B1551">
        <v>348</v>
      </c>
      <c r="D1551" t="s">
        <v>8220</v>
      </c>
      <c r="E1551">
        <v>1</v>
      </c>
    </row>
    <row r="1552" spans="1:5" x14ac:dyDescent="0.35">
      <c r="A1552" t="s">
        <v>8219</v>
      </c>
      <c r="B1552">
        <v>41</v>
      </c>
      <c r="D1552" t="s">
        <v>8220</v>
      </c>
      <c r="E1552">
        <v>0</v>
      </c>
    </row>
    <row r="1553" spans="1:5" x14ac:dyDescent="0.35">
      <c r="A1553" t="s">
        <v>8219</v>
      </c>
      <c r="B1553">
        <v>29</v>
      </c>
      <c r="D1553" t="s">
        <v>8220</v>
      </c>
      <c r="E1553">
        <v>28</v>
      </c>
    </row>
    <row r="1554" spans="1:5" x14ac:dyDescent="0.35">
      <c r="A1554" t="s">
        <v>8219</v>
      </c>
      <c r="B1554">
        <v>25</v>
      </c>
      <c r="D1554" t="s">
        <v>8220</v>
      </c>
      <c r="E1554">
        <v>1</v>
      </c>
    </row>
    <row r="1555" spans="1:5" x14ac:dyDescent="0.35">
      <c r="A1555" t="s">
        <v>8219</v>
      </c>
      <c r="B1555">
        <v>23</v>
      </c>
      <c r="D1555" t="s">
        <v>8220</v>
      </c>
      <c r="E1555">
        <v>0</v>
      </c>
    </row>
    <row r="1556" spans="1:5" x14ac:dyDescent="0.35">
      <c r="A1556" t="s">
        <v>8219</v>
      </c>
      <c r="B1556">
        <v>1260</v>
      </c>
      <c r="D1556" t="s">
        <v>8220</v>
      </c>
      <c r="E1556">
        <v>37</v>
      </c>
    </row>
    <row r="1557" spans="1:5" x14ac:dyDescent="0.35">
      <c r="A1557" t="s">
        <v>8219</v>
      </c>
      <c r="B1557">
        <v>307</v>
      </c>
      <c r="D1557" t="s">
        <v>8220</v>
      </c>
      <c r="E1557">
        <v>9</v>
      </c>
    </row>
    <row r="1558" spans="1:5" x14ac:dyDescent="0.35">
      <c r="A1558" t="s">
        <v>8219</v>
      </c>
      <c r="B1558">
        <v>329</v>
      </c>
      <c r="D1558" t="s">
        <v>8220</v>
      </c>
      <c r="E1558">
        <v>3</v>
      </c>
    </row>
    <row r="1559" spans="1:5" x14ac:dyDescent="0.35">
      <c r="A1559" t="s">
        <v>8219</v>
      </c>
      <c r="B1559">
        <v>32</v>
      </c>
      <c r="D1559" t="s">
        <v>8220</v>
      </c>
      <c r="E1559">
        <v>0</v>
      </c>
    </row>
    <row r="1560" spans="1:5" x14ac:dyDescent="0.35">
      <c r="A1560" t="s">
        <v>8219</v>
      </c>
      <c r="B1560">
        <v>27</v>
      </c>
      <c r="D1560" t="s">
        <v>8220</v>
      </c>
      <c r="E1560">
        <v>2</v>
      </c>
    </row>
    <row r="1561" spans="1:5" x14ac:dyDescent="0.35">
      <c r="A1561" t="s">
        <v>8219</v>
      </c>
      <c r="B1561">
        <v>236</v>
      </c>
      <c r="D1561" t="s">
        <v>8220</v>
      </c>
      <c r="E1561">
        <v>6</v>
      </c>
    </row>
    <row r="1562" spans="1:5" x14ac:dyDescent="0.35">
      <c r="A1562" t="s">
        <v>8219</v>
      </c>
      <c r="B1562">
        <v>42</v>
      </c>
      <c r="D1562" t="s">
        <v>8220</v>
      </c>
      <c r="E1562">
        <v>67</v>
      </c>
    </row>
    <row r="1563" spans="1:5" x14ac:dyDescent="0.35">
      <c r="A1563" t="s">
        <v>8219</v>
      </c>
      <c r="B1563">
        <v>95</v>
      </c>
      <c r="D1563" t="s">
        <v>8220</v>
      </c>
      <c r="E1563">
        <v>5</v>
      </c>
    </row>
    <row r="1564" spans="1:5" x14ac:dyDescent="0.35">
      <c r="A1564" t="s">
        <v>8219</v>
      </c>
      <c r="B1564">
        <v>37</v>
      </c>
      <c r="D1564" t="s">
        <v>8220</v>
      </c>
      <c r="E1564">
        <v>2</v>
      </c>
    </row>
    <row r="1565" spans="1:5" x14ac:dyDescent="0.35">
      <c r="A1565" t="s">
        <v>8219</v>
      </c>
      <c r="B1565">
        <v>128</v>
      </c>
      <c r="D1565" t="s">
        <v>8220</v>
      </c>
      <c r="E1565">
        <v>10</v>
      </c>
    </row>
    <row r="1566" spans="1:5" x14ac:dyDescent="0.35">
      <c r="A1566" t="s">
        <v>8219</v>
      </c>
      <c r="B1566">
        <v>156</v>
      </c>
      <c r="D1566" t="s">
        <v>8220</v>
      </c>
      <c r="E1566">
        <v>3</v>
      </c>
    </row>
    <row r="1567" spans="1:5" x14ac:dyDescent="0.35">
      <c r="A1567" t="s">
        <v>8219</v>
      </c>
      <c r="B1567">
        <v>64</v>
      </c>
      <c r="D1567" t="s">
        <v>8220</v>
      </c>
      <c r="E1567">
        <v>4</v>
      </c>
    </row>
    <row r="1568" spans="1:5" x14ac:dyDescent="0.35">
      <c r="A1568" t="s">
        <v>8219</v>
      </c>
      <c r="B1568">
        <v>58</v>
      </c>
      <c r="D1568" t="s">
        <v>8220</v>
      </c>
      <c r="E1568">
        <v>15</v>
      </c>
    </row>
    <row r="1569" spans="1:5" x14ac:dyDescent="0.35">
      <c r="A1569" t="s">
        <v>8219</v>
      </c>
      <c r="B1569">
        <v>20</v>
      </c>
      <c r="D1569" t="s">
        <v>8220</v>
      </c>
      <c r="E1569">
        <v>2</v>
      </c>
    </row>
    <row r="1570" spans="1:5" x14ac:dyDescent="0.35">
      <c r="A1570" t="s">
        <v>8219</v>
      </c>
      <c r="B1570">
        <v>47</v>
      </c>
      <c r="D1570" t="s">
        <v>8220</v>
      </c>
      <c r="E1570">
        <v>0</v>
      </c>
    </row>
    <row r="1571" spans="1:5" x14ac:dyDescent="0.35">
      <c r="A1571" t="s">
        <v>8219</v>
      </c>
      <c r="B1571">
        <v>54</v>
      </c>
      <c r="D1571" t="s">
        <v>8220</v>
      </c>
      <c r="E1571">
        <v>1</v>
      </c>
    </row>
    <row r="1572" spans="1:5" x14ac:dyDescent="0.35">
      <c r="A1572" t="s">
        <v>8219</v>
      </c>
      <c r="B1572">
        <v>9</v>
      </c>
      <c r="D1572" t="s">
        <v>8220</v>
      </c>
      <c r="E1572">
        <v>1</v>
      </c>
    </row>
    <row r="1573" spans="1:5" x14ac:dyDescent="0.35">
      <c r="A1573" t="s">
        <v>8219</v>
      </c>
      <c r="B1573">
        <v>213</v>
      </c>
      <c r="D1573" t="s">
        <v>8220</v>
      </c>
      <c r="E1573">
        <v>6</v>
      </c>
    </row>
    <row r="1574" spans="1:5" x14ac:dyDescent="0.35">
      <c r="A1574" t="s">
        <v>8219</v>
      </c>
      <c r="B1574">
        <v>57</v>
      </c>
      <c r="D1574" t="s">
        <v>8220</v>
      </c>
      <c r="E1574">
        <v>0</v>
      </c>
    </row>
    <row r="1575" spans="1:5" x14ac:dyDescent="0.35">
      <c r="A1575" t="s">
        <v>8219</v>
      </c>
      <c r="B1575">
        <v>25</v>
      </c>
      <c r="D1575" t="s">
        <v>8220</v>
      </c>
      <c r="E1575">
        <v>13</v>
      </c>
    </row>
    <row r="1576" spans="1:5" x14ac:dyDescent="0.35">
      <c r="A1576" t="s">
        <v>8219</v>
      </c>
      <c r="B1576">
        <v>104</v>
      </c>
      <c r="D1576" t="s">
        <v>8220</v>
      </c>
      <c r="E1576">
        <v>0</v>
      </c>
    </row>
    <row r="1577" spans="1:5" x14ac:dyDescent="0.35">
      <c r="A1577" t="s">
        <v>8219</v>
      </c>
      <c r="B1577">
        <v>34</v>
      </c>
      <c r="D1577" t="s">
        <v>8220</v>
      </c>
      <c r="E1577">
        <v>8</v>
      </c>
    </row>
    <row r="1578" spans="1:5" x14ac:dyDescent="0.35">
      <c r="A1578" t="s">
        <v>8219</v>
      </c>
      <c r="B1578">
        <v>67</v>
      </c>
      <c r="D1578" t="s">
        <v>8220</v>
      </c>
      <c r="E1578">
        <v>1</v>
      </c>
    </row>
    <row r="1579" spans="1:5" x14ac:dyDescent="0.35">
      <c r="A1579" t="s">
        <v>8219</v>
      </c>
      <c r="B1579">
        <v>241</v>
      </c>
      <c r="D1579" t="s">
        <v>8220</v>
      </c>
      <c r="E1579">
        <v>0</v>
      </c>
    </row>
    <row r="1580" spans="1:5" x14ac:dyDescent="0.35">
      <c r="A1580" t="s">
        <v>8219</v>
      </c>
      <c r="B1580">
        <v>123</v>
      </c>
      <c r="D1580" t="s">
        <v>8220</v>
      </c>
      <c r="E1580">
        <v>5</v>
      </c>
    </row>
    <row r="1581" spans="1:5" x14ac:dyDescent="0.35">
      <c r="A1581" t="s">
        <v>8219</v>
      </c>
      <c r="B1581">
        <v>302</v>
      </c>
      <c r="D1581" t="s">
        <v>8220</v>
      </c>
      <c r="E1581">
        <v>1</v>
      </c>
    </row>
    <row r="1582" spans="1:5" x14ac:dyDescent="0.35">
      <c r="A1582" t="s">
        <v>8219</v>
      </c>
      <c r="B1582">
        <v>89</v>
      </c>
      <c r="D1582" t="s">
        <v>8220</v>
      </c>
      <c r="E1582">
        <v>0</v>
      </c>
    </row>
    <row r="1583" spans="1:5" x14ac:dyDescent="0.35">
      <c r="A1583" t="s">
        <v>8219</v>
      </c>
      <c r="B1583">
        <v>41</v>
      </c>
      <c r="D1583" t="s">
        <v>8220</v>
      </c>
      <c r="E1583">
        <v>0</v>
      </c>
    </row>
    <row r="1584" spans="1:5" x14ac:dyDescent="0.35">
      <c r="A1584" t="s">
        <v>8219</v>
      </c>
      <c r="B1584">
        <v>69</v>
      </c>
      <c r="D1584" t="s">
        <v>8220</v>
      </c>
      <c r="E1584">
        <v>0</v>
      </c>
    </row>
    <row r="1585" spans="1:5" x14ac:dyDescent="0.35">
      <c r="A1585" t="s">
        <v>8219</v>
      </c>
      <c r="B1585">
        <v>52</v>
      </c>
      <c r="D1585" t="s">
        <v>8220</v>
      </c>
      <c r="E1585">
        <v>121</v>
      </c>
    </row>
    <row r="1586" spans="1:5" x14ac:dyDescent="0.35">
      <c r="A1586" t="s">
        <v>8219</v>
      </c>
      <c r="B1586">
        <v>57</v>
      </c>
      <c r="D1586" t="s">
        <v>8220</v>
      </c>
      <c r="E1586">
        <v>0</v>
      </c>
    </row>
    <row r="1587" spans="1:5" x14ac:dyDescent="0.35">
      <c r="A1587" t="s">
        <v>8219</v>
      </c>
      <c r="B1587">
        <v>74</v>
      </c>
      <c r="D1587" t="s">
        <v>8220</v>
      </c>
      <c r="E1587">
        <v>0</v>
      </c>
    </row>
    <row r="1588" spans="1:5" x14ac:dyDescent="0.35">
      <c r="A1588" t="s">
        <v>8219</v>
      </c>
      <c r="B1588">
        <v>63</v>
      </c>
      <c r="D1588" t="s">
        <v>8220</v>
      </c>
      <c r="E1588">
        <v>0</v>
      </c>
    </row>
    <row r="1589" spans="1:5" x14ac:dyDescent="0.35">
      <c r="A1589" t="s">
        <v>8219</v>
      </c>
      <c r="B1589">
        <v>72</v>
      </c>
      <c r="D1589" t="s">
        <v>8220</v>
      </c>
      <c r="E1589">
        <v>3</v>
      </c>
    </row>
    <row r="1590" spans="1:5" x14ac:dyDescent="0.35">
      <c r="A1590" t="s">
        <v>8219</v>
      </c>
      <c r="B1590">
        <v>71</v>
      </c>
      <c r="D1590" t="s">
        <v>8220</v>
      </c>
      <c r="E1590">
        <v>0</v>
      </c>
    </row>
    <row r="1591" spans="1:5" x14ac:dyDescent="0.35">
      <c r="A1591" t="s">
        <v>8219</v>
      </c>
      <c r="B1591">
        <v>21</v>
      </c>
      <c r="D1591" t="s">
        <v>8220</v>
      </c>
      <c r="E1591">
        <v>1</v>
      </c>
    </row>
    <row r="1592" spans="1:5" x14ac:dyDescent="0.35">
      <c r="A1592" t="s">
        <v>8219</v>
      </c>
      <c r="B1592">
        <v>930</v>
      </c>
      <c r="D1592" t="s">
        <v>8220</v>
      </c>
      <c r="E1592">
        <v>1</v>
      </c>
    </row>
    <row r="1593" spans="1:5" x14ac:dyDescent="0.35">
      <c r="A1593" t="s">
        <v>8219</v>
      </c>
      <c r="B1593">
        <v>55</v>
      </c>
      <c r="D1593" t="s">
        <v>8220</v>
      </c>
      <c r="E1593">
        <v>3</v>
      </c>
    </row>
    <row r="1594" spans="1:5" x14ac:dyDescent="0.35">
      <c r="A1594" t="s">
        <v>8219</v>
      </c>
      <c r="B1594">
        <v>61</v>
      </c>
      <c r="D1594" t="s">
        <v>8220</v>
      </c>
      <c r="E1594">
        <v>9</v>
      </c>
    </row>
    <row r="1595" spans="1:5" x14ac:dyDescent="0.35">
      <c r="A1595" t="s">
        <v>8219</v>
      </c>
      <c r="B1595">
        <v>82</v>
      </c>
      <c r="D1595" t="s">
        <v>8220</v>
      </c>
      <c r="E1595">
        <v>0</v>
      </c>
    </row>
    <row r="1596" spans="1:5" x14ac:dyDescent="0.35">
      <c r="A1596" t="s">
        <v>8219</v>
      </c>
      <c r="B1596">
        <v>71</v>
      </c>
      <c r="D1596" t="s">
        <v>8220</v>
      </c>
      <c r="E1596">
        <v>0</v>
      </c>
    </row>
    <row r="1597" spans="1:5" x14ac:dyDescent="0.35">
      <c r="A1597" t="s">
        <v>8219</v>
      </c>
      <c r="B1597">
        <v>117</v>
      </c>
      <c r="D1597" t="s">
        <v>8220</v>
      </c>
      <c r="E1597">
        <v>0</v>
      </c>
    </row>
    <row r="1598" spans="1:5" x14ac:dyDescent="0.35">
      <c r="A1598" t="s">
        <v>8219</v>
      </c>
      <c r="B1598">
        <v>29</v>
      </c>
      <c r="D1598" t="s">
        <v>8220</v>
      </c>
      <c r="E1598">
        <v>39</v>
      </c>
    </row>
    <row r="1599" spans="1:5" x14ac:dyDescent="0.35">
      <c r="A1599" t="s">
        <v>8219</v>
      </c>
      <c r="B1599">
        <v>74</v>
      </c>
      <c r="D1599" t="s">
        <v>8220</v>
      </c>
      <c r="E1599">
        <v>1</v>
      </c>
    </row>
    <row r="1600" spans="1:5" x14ac:dyDescent="0.35">
      <c r="A1600" t="s">
        <v>8219</v>
      </c>
      <c r="B1600">
        <v>23</v>
      </c>
      <c r="D1600" t="s">
        <v>8220</v>
      </c>
      <c r="E1600">
        <v>0</v>
      </c>
    </row>
    <row r="1601" spans="1:5" x14ac:dyDescent="0.35">
      <c r="A1601" t="s">
        <v>8219</v>
      </c>
      <c r="B1601">
        <v>60</v>
      </c>
      <c r="D1601" t="s">
        <v>8220</v>
      </c>
      <c r="E1601">
        <v>3</v>
      </c>
    </row>
    <row r="1602" spans="1:5" x14ac:dyDescent="0.35">
      <c r="A1602" t="s">
        <v>8219</v>
      </c>
      <c r="B1602">
        <v>55</v>
      </c>
      <c r="D1602" t="s">
        <v>8220</v>
      </c>
      <c r="E1602">
        <v>1</v>
      </c>
    </row>
    <row r="1603" spans="1:5" x14ac:dyDescent="0.35">
      <c r="A1603" t="s">
        <v>8219</v>
      </c>
      <c r="B1603">
        <v>51</v>
      </c>
      <c r="D1603" t="s">
        <v>8220</v>
      </c>
      <c r="E1603">
        <v>9</v>
      </c>
    </row>
    <row r="1604" spans="1:5" x14ac:dyDescent="0.35">
      <c r="A1604" t="s">
        <v>8219</v>
      </c>
      <c r="B1604">
        <v>78</v>
      </c>
      <c r="D1604" t="s">
        <v>8220</v>
      </c>
      <c r="E1604">
        <v>0</v>
      </c>
    </row>
    <row r="1605" spans="1:5" x14ac:dyDescent="0.35">
      <c r="A1605" t="s">
        <v>8219</v>
      </c>
      <c r="B1605">
        <v>62</v>
      </c>
      <c r="D1605" t="s">
        <v>8220</v>
      </c>
      <c r="E1605">
        <v>25</v>
      </c>
    </row>
    <row r="1606" spans="1:5" x14ac:dyDescent="0.35">
      <c r="A1606" t="s">
        <v>8219</v>
      </c>
      <c r="B1606">
        <v>45</v>
      </c>
      <c r="D1606" t="s">
        <v>8220</v>
      </c>
      <c r="E1606">
        <v>1</v>
      </c>
    </row>
    <row r="1607" spans="1:5" x14ac:dyDescent="0.35">
      <c r="A1607" t="s">
        <v>8219</v>
      </c>
      <c r="B1607">
        <v>15</v>
      </c>
      <c r="D1607" t="s">
        <v>8220</v>
      </c>
      <c r="E1607">
        <v>1</v>
      </c>
    </row>
    <row r="1608" spans="1:5" x14ac:dyDescent="0.35">
      <c r="A1608" t="s">
        <v>8219</v>
      </c>
      <c r="B1608">
        <v>151</v>
      </c>
      <c r="D1608" t="s">
        <v>8220</v>
      </c>
      <c r="E1608">
        <v>1</v>
      </c>
    </row>
    <row r="1609" spans="1:5" x14ac:dyDescent="0.35">
      <c r="A1609" t="s">
        <v>8219</v>
      </c>
      <c r="B1609">
        <v>68</v>
      </c>
      <c r="D1609" t="s">
        <v>8220</v>
      </c>
      <c r="E1609">
        <v>0</v>
      </c>
    </row>
    <row r="1610" spans="1:5" x14ac:dyDescent="0.35">
      <c r="A1610" t="s">
        <v>8219</v>
      </c>
      <c r="B1610">
        <v>46</v>
      </c>
      <c r="D1610" t="s">
        <v>8220</v>
      </c>
      <c r="E1610">
        <v>6</v>
      </c>
    </row>
    <row r="1611" spans="1:5" x14ac:dyDescent="0.35">
      <c r="A1611" t="s">
        <v>8219</v>
      </c>
      <c r="B1611">
        <v>24</v>
      </c>
      <c r="D1611" t="s">
        <v>8220</v>
      </c>
      <c r="E1611">
        <v>1</v>
      </c>
    </row>
    <row r="1612" spans="1:5" x14ac:dyDescent="0.35">
      <c r="A1612" t="s">
        <v>8219</v>
      </c>
      <c r="B1612">
        <v>70</v>
      </c>
      <c r="D1612" t="s">
        <v>8220</v>
      </c>
      <c r="E1612">
        <v>6</v>
      </c>
    </row>
    <row r="1613" spans="1:5" x14ac:dyDescent="0.35">
      <c r="A1613" t="s">
        <v>8219</v>
      </c>
      <c r="B1613">
        <v>244</v>
      </c>
      <c r="D1613" t="s">
        <v>8220</v>
      </c>
      <c r="E1613">
        <v>4</v>
      </c>
    </row>
    <row r="1614" spans="1:5" x14ac:dyDescent="0.35">
      <c r="A1614" t="s">
        <v>8219</v>
      </c>
      <c r="B1614">
        <v>82</v>
      </c>
      <c r="D1614" t="s">
        <v>8220</v>
      </c>
      <c r="E1614">
        <v>22</v>
      </c>
    </row>
    <row r="1615" spans="1:5" x14ac:dyDescent="0.35">
      <c r="A1615" t="s">
        <v>8219</v>
      </c>
      <c r="B1615">
        <v>226</v>
      </c>
      <c r="D1615" t="s">
        <v>8220</v>
      </c>
      <c r="E1615">
        <v>15</v>
      </c>
    </row>
    <row r="1616" spans="1:5" x14ac:dyDescent="0.35">
      <c r="A1616" t="s">
        <v>8219</v>
      </c>
      <c r="B1616">
        <v>60</v>
      </c>
      <c r="D1616" t="s">
        <v>8220</v>
      </c>
      <c r="E1616">
        <v>95</v>
      </c>
    </row>
    <row r="1617" spans="1:5" x14ac:dyDescent="0.35">
      <c r="A1617" t="s">
        <v>8219</v>
      </c>
      <c r="B1617">
        <v>322</v>
      </c>
      <c r="D1617" t="s">
        <v>8220</v>
      </c>
      <c r="E1617">
        <v>161</v>
      </c>
    </row>
    <row r="1618" spans="1:5" x14ac:dyDescent="0.35">
      <c r="A1618" t="s">
        <v>8219</v>
      </c>
      <c r="B1618">
        <v>94</v>
      </c>
      <c r="D1618" t="s">
        <v>8220</v>
      </c>
      <c r="E1618">
        <v>8</v>
      </c>
    </row>
    <row r="1619" spans="1:5" x14ac:dyDescent="0.35">
      <c r="A1619" t="s">
        <v>8219</v>
      </c>
      <c r="B1619">
        <v>47</v>
      </c>
      <c r="D1619" t="s">
        <v>8220</v>
      </c>
      <c r="E1619">
        <v>76</v>
      </c>
    </row>
    <row r="1620" spans="1:5" x14ac:dyDescent="0.35">
      <c r="A1620" t="s">
        <v>8219</v>
      </c>
      <c r="B1620">
        <v>115</v>
      </c>
      <c r="D1620" t="s">
        <v>8220</v>
      </c>
      <c r="E1620">
        <v>1</v>
      </c>
    </row>
    <row r="1621" spans="1:5" x14ac:dyDescent="0.35">
      <c r="A1621" t="s">
        <v>8219</v>
      </c>
      <c r="B1621">
        <v>134</v>
      </c>
      <c r="D1621" t="s">
        <v>8220</v>
      </c>
      <c r="E1621">
        <v>101</v>
      </c>
    </row>
    <row r="1622" spans="1:5" x14ac:dyDescent="0.35">
      <c r="A1622" t="s">
        <v>8219</v>
      </c>
      <c r="B1622">
        <v>35</v>
      </c>
      <c r="D1622" t="s">
        <v>8220</v>
      </c>
      <c r="E1622">
        <v>4</v>
      </c>
    </row>
    <row r="1623" spans="1:5" x14ac:dyDescent="0.35">
      <c r="A1623" t="s">
        <v>8219</v>
      </c>
      <c r="B1623">
        <v>104</v>
      </c>
      <c r="D1623" t="s">
        <v>8220</v>
      </c>
      <c r="E1623">
        <v>1</v>
      </c>
    </row>
    <row r="1624" spans="1:5" x14ac:dyDescent="0.35">
      <c r="A1624" t="s">
        <v>8219</v>
      </c>
      <c r="B1624">
        <v>184</v>
      </c>
      <c r="D1624" t="s">
        <v>8220</v>
      </c>
      <c r="E1624">
        <v>775</v>
      </c>
    </row>
    <row r="1625" spans="1:5" x14ac:dyDescent="0.35">
      <c r="A1625" t="s">
        <v>8219</v>
      </c>
      <c r="B1625">
        <v>119</v>
      </c>
      <c r="D1625" t="s">
        <v>8220</v>
      </c>
      <c r="E1625">
        <v>90</v>
      </c>
    </row>
    <row r="1626" spans="1:5" x14ac:dyDescent="0.35">
      <c r="A1626" t="s">
        <v>8219</v>
      </c>
      <c r="B1626">
        <v>59</v>
      </c>
      <c r="D1626" t="s">
        <v>8220</v>
      </c>
      <c r="E1626">
        <v>16</v>
      </c>
    </row>
    <row r="1627" spans="1:5" x14ac:dyDescent="0.35">
      <c r="A1627" t="s">
        <v>8219</v>
      </c>
      <c r="B1627">
        <v>113</v>
      </c>
      <c r="D1627" t="s">
        <v>8220</v>
      </c>
      <c r="E1627">
        <v>6</v>
      </c>
    </row>
    <row r="1628" spans="1:5" x14ac:dyDescent="0.35">
      <c r="A1628" t="s">
        <v>8219</v>
      </c>
      <c r="B1628">
        <v>84</v>
      </c>
      <c r="D1628" t="s">
        <v>8220</v>
      </c>
      <c r="E1628">
        <v>38</v>
      </c>
    </row>
    <row r="1629" spans="1:5" x14ac:dyDescent="0.35">
      <c r="A1629" t="s">
        <v>8219</v>
      </c>
      <c r="B1629">
        <v>74</v>
      </c>
      <c r="D1629" t="s">
        <v>8220</v>
      </c>
      <c r="E1629">
        <v>355</v>
      </c>
    </row>
    <row r="1630" spans="1:5" x14ac:dyDescent="0.35">
      <c r="A1630" t="s">
        <v>8219</v>
      </c>
      <c r="B1630">
        <v>216</v>
      </c>
      <c r="D1630" t="s">
        <v>8220</v>
      </c>
      <c r="E1630">
        <v>7</v>
      </c>
    </row>
    <row r="1631" spans="1:5" x14ac:dyDescent="0.35">
      <c r="A1631" t="s">
        <v>8219</v>
      </c>
      <c r="B1631">
        <v>39</v>
      </c>
      <c r="D1631" t="s">
        <v>8220</v>
      </c>
      <c r="E1631">
        <v>400</v>
      </c>
    </row>
    <row r="1632" spans="1:5" x14ac:dyDescent="0.35">
      <c r="A1632" t="s">
        <v>8219</v>
      </c>
      <c r="B1632">
        <v>21</v>
      </c>
      <c r="D1632" t="s">
        <v>8220</v>
      </c>
      <c r="E1632">
        <v>1</v>
      </c>
    </row>
    <row r="1633" spans="1:5" x14ac:dyDescent="0.35">
      <c r="A1633" t="s">
        <v>8219</v>
      </c>
      <c r="B1633">
        <v>30</v>
      </c>
      <c r="D1633" t="s">
        <v>8220</v>
      </c>
      <c r="E1633">
        <v>0</v>
      </c>
    </row>
    <row r="1634" spans="1:5" x14ac:dyDescent="0.35">
      <c r="A1634" t="s">
        <v>8219</v>
      </c>
      <c r="B1634">
        <v>37</v>
      </c>
      <c r="D1634" t="s">
        <v>8220</v>
      </c>
      <c r="E1634">
        <v>1</v>
      </c>
    </row>
    <row r="1635" spans="1:5" x14ac:dyDescent="0.35">
      <c r="A1635" t="s">
        <v>8219</v>
      </c>
      <c r="B1635">
        <v>202</v>
      </c>
      <c r="D1635" t="s">
        <v>8220</v>
      </c>
      <c r="E1635">
        <v>292</v>
      </c>
    </row>
    <row r="1636" spans="1:5" x14ac:dyDescent="0.35">
      <c r="A1636" t="s">
        <v>8219</v>
      </c>
      <c r="B1636">
        <v>37</v>
      </c>
      <c r="D1636" t="s">
        <v>8220</v>
      </c>
      <c r="E1636">
        <v>2</v>
      </c>
    </row>
    <row r="1637" spans="1:5" x14ac:dyDescent="0.35">
      <c r="A1637" t="s">
        <v>8219</v>
      </c>
      <c r="B1637">
        <v>28</v>
      </c>
      <c r="D1637" t="s">
        <v>8220</v>
      </c>
      <c r="E1637">
        <v>8</v>
      </c>
    </row>
    <row r="1638" spans="1:5" x14ac:dyDescent="0.35">
      <c r="A1638" t="s">
        <v>8219</v>
      </c>
      <c r="B1638">
        <v>26</v>
      </c>
      <c r="D1638" t="s">
        <v>8220</v>
      </c>
      <c r="E1638">
        <v>0</v>
      </c>
    </row>
    <row r="1639" spans="1:5" x14ac:dyDescent="0.35">
      <c r="A1639" t="s">
        <v>8219</v>
      </c>
      <c r="B1639">
        <v>61</v>
      </c>
      <c r="D1639" t="s">
        <v>8220</v>
      </c>
      <c r="E1639">
        <v>1</v>
      </c>
    </row>
    <row r="1640" spans="1:5" x14ac:dyDescent="0.35">
      <c r="A1640" t="s">
        <v>8219</v>
      </c>
      <c r="B1640">
        <v>115</v>
      </c>
      <c r="D1640" t="s">
        <v>8220</v>
      </c>
      <c r="E1640">
        <v>4</v>
      </c>
    </row>
    <row r="1641" spans="1:5" x14ac:dyDescent="0.35">
      <c r="A1641" t="s">
        <v>8219</v>
      </c>
      <c r="B1641">
        <v>181</v>
      </c>
      <c r="D1641" t="s">
        <v>8220</v>
      </c>
      <c r="E1641">
        <v>0</v>
      </c>
    </row>
    <row r="1642" spans="1:5" x14ac:dyDescent="0.35">
      <c r="A1642" t="s">
        <v>8219</v>
      </c>
      <c r="B1642">
        <v>110</v>
      </c>
      <c r="D1642" t="s">
        <v>8220</v>
      </c>
      <c r="E1642">
        <v>0</v>
      </c>
    </row>
    <row r="1643" spans="1:5" x14ac:dyDescent="0.35">
      <c r="A1643" t="s">
        <v>8219</v>
      </c>
      <c r="B1643">
        <v>269</v>
      </c>
      <c r="D1643" t="s">
        <v>8220</v>
      </c>
      <c r="E1643">
        <v>0</v>
      </c>
    </row>
    <row r="1644" spans="1:5" x14ac:dyDescent="0.35">
      <c r="A1644" t="s">
        <v>8219</v>
      </c>
      <c r="B1644">
        <v>79</v>
      </c>
      <c r="D1644" t="s">
        <v>8220</v>
      </c>
      <c r="E1644">
        <v>0</v>
      </c>
    </row>
    <row r="1645" spans="1:5" x14ac:dyDescent="0.35">
      <c r="A1645" t="s">
        <v>8219</v>
      </c>
      <c r="B1645">
        <v>104</v>
      </c>
      <c r="D1645" t="s">
        <v>8220</v>
      </c>
      <c r="E1645">
        <v>1</v>
      </c>
    </row>
    <row r="1646" spans="1:5" x14ac:dyDescent="0.35">
      <c r="A1646" t="s">
        <v>8219</v>
      </c>
      <c r="B1646">
        <v>34</v>
      </c>
      <c r="D1646" t="s">
        <v>8220</v>
      </c>
      <c r="E1646">
        <v>0</v>
      </c>
    </row>
    <row r="1647" spans="1:5" x14ac:dyDescent="0.35">
      <c r="A1647" t="s">
        <v>8219</v>
      </c>
      <c r="B1647">
        <v>167</v>
      </c>
      <c r="D1647" t="s">
        <v>8220</v>
      </c>
      <c r="E1647">
        <v>0</v>
      </c>
    </row>
    <row r="1648" spans="1:5" x14ac:dyDescent="0.35">
      <c r="A1648" t="s">
        <v>8219</v>
      </c>
      <c r="B1648">
        <v>183</v>
      </c>
      <c r="D1648" t="s">
        <v>8220</v>
      </c>
      <c r="E1648">
        <v>0</v>
      </c>
    </row>
    <row r="1649" spans="1:5" x14ac:dyDescent="0.35">
      <c r="A1649" t="s">
        <v>8219</v>
      </c>
      <c r="B1649">
        <v>71</v>
      </c>
      <c r="D1649" t="s">
        <v>8220</v>
      </c>
      <c r="E1649">
        <v>0</v>
      </c>
    </row>
    <row r="1650" spans="1:5" x14ac:dyDescent="0.35">
      <c r="A1650" t="s">
        <v>8219</v>
      </c>
      <c r="B1650">
        <v>69</v>
      </c>
      <c r="D1650" t="s">
        <v>8220</v>
      </c>
      <c r="E1650">
        <v>0</v>
      </c>
    </row>
    <row r="1651" spans="1:5" x14ac:dyDescent="0.35">
      <c r="A1651" t="s">
        <v>8219</v>
      </c>
      <c r="B1651">
        <v>270</v>
      </c>
      <c r="D1651" t="s">
        <v>8220</v>
      </c>
      <c r="E1651">
        <v>0</v>
      </c>
    </row>
    <row r="1652" spans="1:5" x14ac:dyDescent="0.35">
      <c r="A1652" t="s">
        <v>8219</v>
      </c>
      <c r="B1652">
        <v>193</v>
      </c>
      <c r="D1652" t="s">
        <v>8220</v>
      </c>
      <c r="E1652">
        <v>1</v>
      </c>
    </row>
    <row r="1653" spans="1:5" x14ac:dyDescent="0.35">
      <c r="A1653" t="s">
        <v>8219</v>
      </c>
      <c r="B1653">
        <v>57</v>
      </c>
      <c r="D1653" t="s">
        <v>8220</v>
      </c>
      <c r="E1653">
        <v>0</v>
      </c>
    </row>
    <row r="1654" spans="1:5" x14ac:dyDescent="0.35">
      <c r="A1654" t="s">
        <v>8219</v>
      </c>
      <c r="B1654">
        <v>200</v>
      </c>
      <c r="D1654" t="s">
        <v>8220</v>
      </c>
      <c r="E1654">
        <v>4</v>
      </c>
    </row>
    <row r="1655" spans="1:5" x14ac:dyDescent="0.35">
      <c r="A1655" t="s">
        <v>8219</v>
      </c>
      <c r="B1655">
        <v>88</v>
      </c>
      <c r="D1655" t="s">
        <v>8220</v>
      </c>
      <c r="E1655">
        <v>0</v>
      </c>
    </row>
    <row r="1656" spans="1:5" x14ac:dyDescent="0.35">
      <c r="A1656" t="s">
        <v>8219</v>
      </c>
      <c r="B1656">
        <v>213</v>
      </c>
      <c r="D1656" t="s">
        <v>8220</v>
      </c>
      <c r="E1656">
        <v>18</v>
      </c>
    </row>
    <row r="1657" spans="1:5" x14ac:dyDescent="0.35">
      <c r="A1657" t="s">
        <v>8219</v>
      </c>
      <c r="B1657">
        <v>20</v>
      </c>
      <c r="D1657" t="s">
        <v>8220</v>
      </c>
      <c r="E1657">
        <v>3</v>
      </c>
    </row>
    <row r="1658" spans="1:5" x14ac:dyDescent="0.35">
      <c r="A1658" t="s">
        <v>8219</v>
      </c>
      <c r="B1658">
        <v>50</v>
      </c>
      <c r="D1658" t="s">
        <v>8220</v>
      </c>
      <c r="E1658">
        <v>40</v>
      </c>
    </row>
    <row r="1659" spans="1:5" x14ac:dyDescent="0.35">
      <c r="A1659" t="s">
        <v>8219</v>
      </c>
      <c r="B1659">
        <v>115</v>
      </c>
      <c r="D1659" t="s">
        <v>8220</v>
      </c>
      <c r="E1659">
        <v>0</v>
      </c>
    </row>
    <row r="1660" spans="1:5" x14ac:dyDescent="0.35">
      <c r="A1660" t="s">
        <v>8219</v>
      </c>
      <c r="B1660">
        <v>186</v>
      </c>
      <c r="D1660" t="s">
        <v>8220</v>
      </c>
      <c r="E1660">
        <v>24</v>
      </c>
    </row>
    <row r="1661" spans="1:5" x14ac:dyDescent="0.35">
      <c r="A1661" t="s">
        <v>8219</v>
      </c>
      <c r="B1661">
        <v>18</v>
      </c>
      <c r="D1661" t="s">
        <v>8220</v>
      </c>
      <c r="E1661">
        <v>1</v>
      </c>
    </row>
    <row r="1662" spans="1:5" x14ac:dyDescent="0.35">
      <c r="A1662" t="s">
        <v>8219</v>
      </c>
      <c r="B1662">
        <v>176</v>
      </c>
      <c r="D1662" t="s">
        <v>8220</v>
      </c>
      <c r="E1662">
        <v>0</v>
      </c>
    </row>
    <row r="1663" spans="1:5" x14ac:dyDescent="0.35">
      <c r="A1663" t="s">
        <v>8219</v>
      </c>
      <c r="B1663">
        <v>41</v>
      </c>
      <c r="D1663" t="s">
        <v>8220</v>
      </c>
      <c r="E1663">
        <v>0</v>
      </c>
    </row>
    <row r="1664" spans="1:5" x14ac:dyDescent="0.35">
      <c r="A1664" t="s">
        <v>8219</v>
      </c>
      <c r="B1664">
        <v>75</v>
      </c>
      <c r="D1664" t="s">
        <v>8220</v>
      </c>
      <c r="E1664">
        <v>1</v>
      </c>
    </row>
    <row r="1665" spans="1:5" x14ac:dyDescent="0.35">
      <c r="A1665" t="s">
        <v>8219</v>
      </c>
      <c r="B1665">
        <v>97</v>
      </c>
      <c r="D1665" t="s">
        <v>8220</v>
      </c>
      <c r="E1665">
        <v>6</v>
      </c>
    </row>
    <row r="1666" spans="1:5" x14ac:dyDescent="0.35">
      <c r="A1666" t="s">
        <v>8219</v>
      </c>
      <c r="B1666">
        <v>73</v>
      </c>
      <c r="D1666" t="s">
        <v>8220</v>
      </c>
      <c r="E1666">
        <v>0</v>
      </c>
    </row>
    <row r="1667" spans="1:5" x14ac:dyDescent="0.35">
      <c r="A1667" t="s">
        <v>8219</v>
      </c>
      <c r="B1667">
        <v>49</v>
      </c>
      <c r="D1667" t="s">
        <v>8220</v>
      </c>
      <c r="E1667">
        <v>6</v>
      </c>
    </row>
    <row r="1668" spans="1:5" x14ac:dyDescent="0.35">
      <c r="A1668" t="s">
        <v>8219</v>
      </c>
      <c r="B1668">
        <v>134</v>
      </c>
      <c r="D1668" t="s">
        <v>8220</v>
      </c>
      <c r="E1668">
        <v>0</v>
      </c>
    </row>
    <row r="1669" spans="1:5" x14ac:dyDescent="0.35">
      <c r="A1669" t="s">
        <v>8219</v>
      </c>
      <c r="B1669">
        <v>68</v>
      </c>
      <c r="D1669" t="s">
        <v>8220</v>
      </c>
      <c r="E1669">
        <v>0</v>
      </c>
    </row>
    <row r="1670" spans="1:5" x14ac:dyDescent="0.35">
      <c r="A1670" t="s">
        <v>8219</v>
      </c>
      <c r="B1670">
        <v>49</v>
      </c>
      <c r="D1670" t="s">
        <v>8220</v>
      </c>
      <c r="E1670">
        <v>3</v>
      </c>
    </row>
    <row r="1671" spans="1:5" x14ac:dyDescent="0.35">
      <c r="A1671" t="s">
        <v>8219</v>
      </c>
      <c r="B1671">
        <v>63</v>
      </c>
      <c r="D1671" t="s">
        <v>8220</v>
      </c>
      <c r="E1671">
        <v>0</v>
      </c>
    </row>
    <row r="1672" spans="1:5" x14ac:dyDescent="0.35">
      <c r="A1672" t="s">
        <v>8219</v>
      </c>
      <c r="B1672">
        <v>163</v>
      </c>
      <c r="D1672" t="s">
        <v>8220</v>
      </c>
      <c r="E1672">
        <v>8</v>
      </c>
    </row>
    <row r="1673" spans="1:5" x14ac:dyDescent="0.35">
      <c r="A1673" t="s">
        <v>8219</v>
      </c>
      <c r="B1673">
        <v>288</v>
      </c>
      <c r="D1673" t="s">
        <v>8220</v>
      </c>
      <c r="E1673">
        <v>34</v>
      </c>
    </row>
    <row r="1674" spans="1:5" x14ac:dyDescent="0.35">
      <c r="A1674" t="s">
        <v>8219</v>
      </c>
      <c r="B1674">
        <v>42</v>
      </c>
      <c r="D1674" t="s">
        <v>8220</v>
      </c>
      <c r="E1674">
        <v>1</v>
      </c>
    </row>
    <row r="1675" spans="1:5" x14ac:dyDescent="0.35">
      <c r="A1675" t="s">
        <v>8219</v>
      </c>
      <c r="B1675">
        <v>70</v>
      </c>
      <c r="D1675" t="s">
        <v>8220</v>
      </c>
      <c r="E1675">
        <v>38</v>
      </c>
    </row>
    <row r="1676" spans="1:5" x14ac:dyDescent="0.35">
      <c r="A1676" t="s">
        <v>8219</v>
      </c>
      <c r="B1676">
        <v>30</v>
      </c>
      <c r="D1676" t="s">
        <v>8220</v>
      </c>
      <c r="E1676">
        <v>104</v>
      </c>
    </row>
    <row r="1677" spans="1:5" x14ac:dyDescent="0.35">
      <c r="A1677" t="s">
        <v>8219</v>
      </c>
      <c r="B1677">
        <v>51</v>
      </c>
      <c r="D1677" t="s">
        <v>8220</v>
      </c>
      <c r="E1677">
        <v>86</v>
      </c>
    </row>
    <row r="1678" spans="1:5" x14ac:dyDescent="0.35">
      <c r="A1678" t="s">
        <v>8219</v>
      </c>
      <c r="B1678">
        <v>145</v>
      </c>
      <c r="D1678" t="s">
        <v>8220</v>
      </c>
      <c r="E1678">
        <v>356</v>
      </c>
    </row>
    <row r="1679" spans="1:5" x14ac:dyDescent="0.35">
      <c r="A1679" t="s">
        <v>8219</v>
      </c>
      <c r="B1679">
        <v>21</v>
      </c>
      <c r="D1679" t="s">
        <v>8220</v>
      </c>
      <c r="E1679">
        <v>45</v>
      </c>
    </row>
    <row r="1680" spans="1:5" x14ac:dyDescent="0.35">
      <c r="A1680" t="s">
        <v>8219</v>
      </c>
      <c r="B1680">
        <v>286</v>
      </c>
      <c r="D1680" t="s">
        <v>8220</v>
      </c>
      <c r="E1680">
        <v>38</v>
      </c>
    </row>
    <row r="1681" spans="1:5" x14ac:dyDescent="0.35">
      <c r="A1681" t="s">
        <v>8219</v>
      </c>
      <c r="B1681">
        <v>12</v>
      </c>
      <c r="D1681" t="s">
        <v>8220</v>
      </c>
      <c r="E1681">
        <v>35</v>
      </c>
    </row>
    <row r="1682" spans="1:5" x14ac:dyDescent="0.35">
      <c r="A1682" t="s">
        <v>8219</v>
      </c>
      <c r="B1682">
        <v>100</v>
      </c>
      <c r="D1682" t="s">
        <v>8220</v>
      </c>
      <c r="E1682">
        <v>24</v>
      </c>
    </row>
    <row r="1683" spans="1:5" x14ac:dyDescent="0.35">
      <c r="A1683" t="s">
        <v>8219</v>
      </c>
      <c r="B1683">
        <v>100</v>
      </c>
      <c r="D1683" t="s">
        <v>8220</v>
      </c>
      <c r="E1683">
        <v>100</v>
      </c>
    </row>
    <row r="1684" spans="1:5" x14ac:dyDescent="0.35">
      <c r="A1684" t="s">
        <v>8219</v>
      </c>
      <c r="B1684">
        <v>34</v>
      </c>
      <c r="D1684" t="s">
        <v>8220</v>
      </c>
      <c r="E1684">
        <v>1</v>
      </c>
    </row>
    <row r="1685" spans="1:5" x14ac:dyDescent="0.35">
      <c r="A1685" t="s">
        <v>8219</v>
      </c>
      <c r="B1685">
        <v>63</v>
      </c>
      <c r="D1685" t="s">
        <v>8220</v>
      </c>
      <c r="E1685">
        <v>122</v>
      </c>
    </row>
    <row r="1686" spans="1:5" x14ac:dyDescent="0.35">
      <c r="A1686" t="s">
        <v>8219</v>
      </c>
      <c r="B1686">
        <v>30</v>
      </c>
      <c r="D1686" t="s">
        <v>8220</v>
      </c>
      <c r="E1686">
        <v>11</v>
      </c>
    </row>
    <row r="1687" spans="1:5" x14ac:dyDescent="0.35">
      <c r="A1687" t="s">
        <v>8219</v>
      </c>
      <c r="B1687">
        <v>47</v>
      </c>
      <c r="D1687" t="s">
        <v>8220</v>
      </c>
      <c r="E1687">
        <v>248</v>
      </c>
    </row>
    <row r="1688" spans="1:5" x14ac:dyDescent="0.35">
      <c r="A1688" t="s">
        <v>8219</v>
      </c>
      <c r="B1688">
        <v>237</v>
      </c>
      <c r="D1688" t="s">
        <v>8220</v>
      </c>
      <c r="E1688">
        <v>1</v>
      </c>
    </row>
    <row r="1689" spans="1:5" x14ac:dyDescent="0.35">
      <c r="A1689" t="s">
        <v>8219</v>
      </c>
      <c r="B1689">
        <v>47</v>
      </c>
      <c r="D1689" t="s">
        <v>8220</v>
      </c>
      <c r="E1689">
        <v>19</v>
      </c>
    </row>
    <row r="1690" spans="1:5" x14ac:dyDescent="0.35">
      <c r="A1690" t="s">
        <v>8219</v>
      </c>
      <c r="B1690">
        <v>15</v>
      </c>
      <c r="D1690" t="s">
        <v>8220</v>
      </c>
      <c r="E1690">
        <v>135</v>
      </c>
    </row>
    <row r="1691" spans="1:5" x14ac:dyDescent="0.35">
      <c r="A1691" t="s">
        <v>8219</v>
      </c>
      <c r="B1691">
        <v>81</v>
      </c>
      <c r="D1691" t="s">
        <v>8220</v>
      </c>
      <c r="E1691">
        <v>9</v>
      </c>
    </row>
    <row r="1692" spans="1:5" x14ac:dyDescent="0.35">
      <c r="A1692" t="s">
        <v>8219</v>
      </c>
      <c r="B1692">
        <v>122</v>
      </c>
      <c r="D1692" t="s">
        <v>8220</v>
      </c>
      <c r="E1692">
        <v>3</v>
      </c>
    </row>
    <row r="1693" spans="1:5" x14ac:dyDescent="0.35">
      <c r="A1693" t="s">
        <v>8219</v>
      </c>
      <c r="B1693">
        <v>34</v>
      </c>
      <c r="D1693" t="s">
        <v>8220</v>
      </c>
      <c r="E1693">
        <v>7</v>
      </c>
    </row>
    <row r="1694" spans="1:5" x14ac:dyDescent="0.35">
      <c r="A1694" t="s">
        <v>8219</v>
      </c>
      <c r="B1694">
        <v>207</v>
      </c>
      <c r="D1694" t="s">
        <v>8220</v>
      </c>
      <c r="E1694">
        <v>4</v>
      </c>
    </row>
    <row r="1695" spans="1:5" x14ac:dyDescent="0.35">
      <c r="A1695" t="s">
        <v>8219</v>
      </c>
      <c r="B1695">
        <v>25</v>
      </c>
      <c r="D1695" t="s">
        <v>8220</v>
      </c>
      <c r="E1695">
        <v>44</v>
      </c>
    </row>
    <row r="1696" spans="1:5" x14ac:dyDescent="0.35">
      <c r="A1696" t="s">
        <v>8219</v>
      </c>
      <c r="B1696">
        <v>72</v>
      </c>
      <c r="D1696" t="s">
        <v>8220</v>
      </c>
      <c r="E1696">
        <v>90</v>
      </c>
    </row>
    <row r="1697" spans="1:5" x14ac:dyDescent="0.35">
      <c r="A1697" t="s">
        <v>8219</v>
      </c>
      <c r="B1697">
        <v>14</v>
      </c>
      <c r="D1697" t="s">
        <v>8220</v>
      </c>
      <c r="E1697">
        <v>8</v>
      </c>
    </row>
    <row r="1698" spans="1:5" x14ac:dyDescent="0.35">
      <c r="A1698" t="s">
        <v>8219</v>
      </c>
      <c r="B1698">
        <v>15</v>
      </c>
      <c r="D1698" t="s">
        <v>8220</v>
      </c>
      <c r="E1698">
        <v>11</v>
      </c>
    </row>
    <row r="1699" spans="1:5" x14ac:dyDescent="0.35">
      <c r="A1699" t="s">
        <v>8219</v>
      </c>
      <c r="B1699">
        <v>91</v>
      </c>
      <c r="D1699" t="s">
        <v>8220</v>
      </c>
      <c r="E1699">
        <v>41</v>
      </c>
    </row>
    <row r="1700" spans="1:5" x14ac:dyDescent="0.35">
      <c r="A1700" t="s">
        <v>8219</v>
      </c>
      <c r="B1700">
        <v>24</v>
      </c>
      <c r="D1700" t="s">
        <v>8220</v>
      </c>
      <c r="E1700">
        <v>15</v>
      </c>
    </row>
    <row r="1701" spans="1:5" x14ac:dyDescent="0.35">
      <c r="A1701" t="s">
        <v>8219</v>
      </c>
      <c r="B1701">
        <v>27</v>
      </c>
      <c r="D1701" t="s">
        <v>8220</v>
      </c>
      <c r="E1701">
        <v>9</v>
      </c>
    </row>
    <row r="1702" spans="1:5" x14ac:dyDescent="0.35">
      <c r="A1702" t="s">
        <v>8219</v>
      </c>
      <c r="B1702">
        <v>47</v>
      </c>
      <c r="D1702" t="s">
        <v>8220</v>
      </c>
      <c r="E1702">
        <v>50</v>
      </c>
    </row>
    <row r="1703" spans="1:5" x14ac:dyDescent="0.35">
      <c r="A1703" t="s">
        <v>8219</v>
      </c>
      <c r="B1703">
        <v>44</v>
      </c>
      <c r="D1703" t="s">
        <v>8220</v>
      </c>
      <c r="E1703">
        <v>34</v>
      </c>
    </row>
    <row r="1704" spans="1:5" x14ac:dyDescent="0.35">
      <c r="A1704" t="s">
        <v>8219</v>
      </c>
      <c r="B1704">
        <v>72</v>
      </c>
      <c r="D1704" t="s">
        <v>8220</v>
      </c>
      <c r="E1704">
        <v>0</v>
      </c>
    </row>
    <row r="1705" spans="1:5" x14ac:dyDescent="0.35">
      <c r="A1705" t="s">
        <v>8219</v>
      </c>
      <c r="B1705">
        <v>63</v>
      </c>
      <c r="D1705" t="s">
        <v>8220</v>
      </c>
      <c r="E1705">
        <v>0</v>
      </c>
    </row>
    <row r="1706" spans="1:5" x14ac:dyDescent="0.35">
      <c r="A1706" t="s">
        <v>8219</v>
      </c>
      <c r="B1706">
        <v>88</v>
      </c>
      <c r="D1706" t="s">
        <v>8220</v>
      </c>
      <c r="E1706">
        <v>276</v>
      </c>
    </row>
    <row r="1707" spans="1:5" x14ac:dyDescent="0.35">
      <c r="A1707" t="s">
        <v>8219</v>
      </c>
      <c r="B1707">
        <v>70</v>
      </c>
      <c r="D1707" t="s">
        <v>8220</v>
      </c>
      <c r="E1707">
        <v>16</v>
      </c>
    </row>
    <row r="1708" spans="1:5" x14ac:dyDescent="0.35">
      <c r="A1708" t="s">
        <v>8219</v>
      </c>
      <c r="B1708">
        <v>50</v>
      </c>
      <c r="D1708" t="s">
        <v>8220</v>
      </c>
      <c r="E1708">
        <v>224</v>
      </c>
    </row>
    <row r="1709" spans="1:5" x14ac:dyDescent="0.35">
      <c r="A1709" t="s">
        <v>8219</v>
      </c>
      <c r="B1709">
        <v>35</v>
      </c>
      <c r="D1709" t="s">
        <v>8220</v>
      </c>
      <c r="E1709">
        <v>140</v>
      </c>
    </row>
    <row r="1710" spans="1:5" x14ac:dyDescent="0.35">
      <c r="A1710" t="s">
        <v>8219</v>
      </c>
      <c r="B1710">
        <v>175</v>
      </c>
      <c r="D1710" t="s">
        <v>8220</v>
      </c>
      <c r="E1710">
        <v>15</v>
      </c>
    </row>
    <row r="1711" spans="1:5" x14ac:dyDescent="0.35">
      <c r="A1711" t="s">
        <v>8219</v>
      </c>
      <c r="B1711">
        <v>20</v>
      </c>
      <c r="D1711" t="s">
        <v>8220</v>
      </c>
      <c r="E1711">
        <v>37</v>
      </c>
    </row>
    <row r="1712" spans="1:5" x14ac:dyDescent="0.35">
      <c r="A1712" t="s">
        <v>8219</v>
      </c>
      <c r="B1712">
        <v>54</v>
      </c>
      <c r="D1712" t="s">
        <v>8220</v>
      </c>
      <c r="E1712">
        <v>0</v>
      </c>
    </row>
    <row r="1713" spans="1:5" x14ac:dyDescent="0.35">
      <c r="A1713" t="s">
        <v>8219</v>
      </c>
      <c r="B1713">
        <v>20</v>
      </c>
      <c r="D1713" t="s">
        <v>8220</v>
      </c>
      <c r="E1713">
        <v>46</v>
      </c>
    </row>
    <row r="1714" spans="1:5" x14ac:dyDescent="0.35">
      <c r="A1714" t="s">
        <v>8219</v>
      </c>
      <c r="B1714">
        <v>57</v>
      </c>
      <c r="D1714" t="s">
        <v>8220</v>
      </c>
      <c r="E1714">
        <v>1</v>
      </c>
    </row>
    <row r="1715" spans="1:5" x14ac:dyDescent="0.35">
      <c r="A1715" t="s">
        <v>8219</v>
      </c>
      <c r="B1715">
        <v>31</v>
      </c>
      <c r="D1715" t="s">
        <v>8220</v>
      </c>
      <c r="E1715">
        <v>323</v>
      </c>
    </row>
    <row r="1716" spans="1:5" x14ac:dyDescent="0.35">
      <c r="A1716" t="s">
        <v>8219</v>
      </c>
      <c r="B1716">
        <v>31</v>
      </c>
      <c r="D1716" t="s">
        <v>8220</v>
      </c>
      <c r="E1716">
        <v>2</v>
      </c>
    </row>
    <row r="1717" spans="1:5" x14ac:dyDescent="0.35">
      <c r="A1717" t="s">
        <v>8219</v>
      </c>
      <c r="B1717">
        <v>45</v>
      </c>
      <c r="D1717" t="s">
        <v>8220</v>
      </c>
      <c r="E1717">
        <v>0</v>
      </c>
    </row>
    <row r="1718" spans="1:5" x14ac:dyDescent="0.35">
      <c r="A1718" t="s">
        <v>8219</v>
      </c>
      <c r="B1718">
        <v>41</v>
      </c>
      <c r="D1718" t="s">
        <v>8220</v>
      </c>
      <c r="E1718">
        <v>0</v>
      </c>
    </row>
    <row r="1719" spans="1:5" x14ac:dyDescent="0.35">
      <c r="A1719" t="s">
        <v>8219</v>
      </c>
      <c r="B1719">
        <v>29</v>
      </c>
      <c r="D1719" t="s">
        <v>8220</v>
      </c>
      <c r="E1719">
        <v>1</v>
      </c>
    </row>
    <row r="1720" spans="1:5" x14ac:dyDescent="0.35">
      <c r="A1720" t="s">
        <v>8219</v>
      </c>
      <c r="B1720">
        <v>58</v>
      </c>
      <c r="D1720" t="s">
        <v>8220</v>
      </c>
      <c r="E1720">
        <v>7</v>
      </c>
    </row>
    <row r="1721" spans="1:5" x14ac:dyDescent="0.35">
      <c r="A1721" t="s">
        <v>8219</v>
      </c>
      <c r="B1721">
        <v>89</v>
      </c>
      <c r="D1721" t="s">
        <v>8220</v>
      </c>
      <c r="E1721">
        <v>3</v>
      </c>
    </row>
    <row r="1722" spans="1:5" x14ac:dyDescent="0.35">
      <c r="A1722" t="s">
        <v>8219</v>
      </c>
      <c r="B1722">
        <v>125</v>
      </c>
      <c r="D1722" t="s">
        <v>8220</v>
      </c>
      <c r="E1722">
        <v>0</v>
      </c>
    </row>
    <row r="1723" spans="1:5" x14ac:dyDescent="0.35">
      <c r="A1723" t="s">
        <v>8219</v>
      </c>
      <c r="B1723">
        <v>18</v>
      </c>
      <c r="D1723" t="s">
        <v>8220</v>
      </c>
      <c r="E1723">
        <v>0</v>
      </c>
    </row>
    <row r="1724" spans="1:5" x14ac:dyDescent="0.35">
      <c r="A1724" t="s">
        <v>8219</v>
      </c>
      <c r="B1724">
        <v>32</v>
      </c>
      <c r="D1724" t="s">
        <v>8220</v>
      </c>
      <c r="E1724">
        <v>0</v>
      </c>
    </row>
    <row r="1725" spans="1:5" x14ac:dyDescent="0.35">
      <c r="A1725" t="s">
        <v>8219</v>
      </c>
      <c r="B1725">
        <v>16</v>
      </c>
      <c r="D1725" t="s">
        <v>8220</v>
      </c>
      <c r="E1725">
        <v>0</v>
      </c>
    </row>
    <row r="1726" spans="1:5" x14ac:dyDescent="0.35">
      <c r="A1726" t="s">
        <v>8219</v>
      </c>
      <c r="B1726">
        <v>38</v>
      </c>
      <c r="D1726" t="s">
        <v>8220</v>
      </c>
      <c r="E1726">
        <v>1</v>
      </c>
    </row>
    <row r="1727" spans="1:5" x14ac:dyDescent="0.35">
      <c r="A1727" t="s">
        <v>8219</v>
      </c>
      <c r="B1727">
        <v>15</v>
      </c>
      <c r="D1727" t="s">
        <v>8220</v>
      </c>
      <c r="E1727">
        <v>0</v>
      </c>
    </row>
    <row r="1728" spans="1:5" x14ac:dyDescent="0.35">
      <c r="A1728" t="s">
        <v>8219</v>
      </c>
      <c r="B1728">
        <v>23</v>
      </c>
      <c r="D1728" t="s">
        <v>8220</v>
      </c>
      <c r="E1728">
        <v>2</v>
      </c>
    </row>
    <row r="1729" spans="1:5" x14ac:dyDescent="0.35">
      <c r="A1729" t="s">
        <v>8219</v>
      </c>
      <c r="B1729">
        <v>49</v>
      </c>
      <c r="D1729" t="s">
        <v>8220</v>
      </c>
      <c r="E1729">
        <v>1</v>
      </c>
    </row>
    <row r="1730" spans="1:5" x14ac:dyDescent="0.35">
      <c r="A1730" t="s">
        <v>8219</v>
      </c>
      <c r="B1730">
        <v>10</v>
      </c>
      <c r="D1730" t="s">
        <v>8220</v>
      </c>
      <c r="E1730">
        <v>1</v>
      </c>
    </row>
    <row r="1731" spans="1:5" x14ac:dyDescent="0.35">
      <c r="A1731" t="s">
        <v>8219</v>
      </c>
      <c r="B1731">
        <v>15</v>
      </c>
      <c r="D1731" t="s">
        <v>8220</v>
      </c>
      <c r="E1731">
        <v>59</v>
      </c>
    </row>
    <row r="1732" spans="1:5" x14ac:dyDescent="0.35">
      <c r="A1732" t="s">
        <v>8219</v>
      </c>
      <c r="B1732">
        <v>57</v>
      </c>
      <c r="D1732" t="s">
        <v>8220</v>
      </c>
      <c r="E1732">
        <v>13</v>
      </c>
    </row>
    <row r="1733" spans="1:5" x14ac:dyDescent="0.35">
      <c r="A1733" t="s">
        <v>8219</v>
      </c>
      <c r="B1733">
        <v>33</v>
      </c>
      <c r="D1733" t="s">
        <v>8220</v>
      </c>
      <c r="E1733">
        <v>22</v>
      </c>
    </row>
    <row r="1734" spans="1:5" x14ac:dyDescent="0.35">
      <c r="A1734" t="s">
        <v>8219</v>
      </c>
      <c r="B1734">
        <v>9</v>
      </c>
      <c r="D1734" t="s">
        <v>8220</v>
      </c>
      <c r="E1734">
        <v>0</v>
      </c>
    </row>
    <row r="1735" spans="1:5" x14ac:dyDescent="0.35">
      <c r="A1735" t="s">
        <v>8219</v>
      </c>
      <c r="B1735">
        <v>26</v>
      </c>
      <c r="D1735" t="s">
        <v>8220</v>
      </c>
      <c r="E1735">
        <v>52</v>
      </c>
    </row>
    <row r="1736" spans="1:5" x14ac:dyDescent="0.35">
      <c r="A1736" t="s">
        <v>8219</v>
      </c>
      <c r="B1736">
        <v>69</v>
      </c>
      <c r="D1736" t="s">
        <v>8220</v>
      </c>
      <c r="E1736">
        <v>4</v>
      </c>
    </row>
    <row r="1737" spans="1:5" x14ac:dyDescent="0.35">
      <c r="A1737" t="s">
        <v>8219</v>
      </c>
      <c r="B1737">
        <v>65</v>
      </c>
      <c r="D1737" t="s">
        <v>8220</v>
      </c>
      <c r="E1737">
        <v>3</v>
      </c>
    </row>
    <row r="1738" spans="1:5" x14ac:dyDescent="0.35">
      <c r="A1738" t="s">
        <v>8219</v>
      </c>
      <c r="B1738">
        <v>83</v>
      </c>
      <c r="D1738" t="s">
        <v>8220</v>
      </c>
      <c r="E1738">
        <v>3</v>
      </c>
    </row>
    <row r="1739" spans="1:5" x14ac:dyDescent="0.35">
      <c r="A1739" t="s">
        <v>8219</v>
      </c>
      <c r="B1739">
        <v>111</v>
      </c>
      <c r="D1739" t="s">
        <v>8220</v>
      </c>
      <c r="E1739">
        <v>6</v>
      </c>
    </row>
    <row r="1740" spans="1:5" x14ac:dyDescent="0.35">
      <c r="A1740" t="s">
        <v>8219</v>
      </c>
      <c r="B1740">
        <v>46</v>
      </c>
      <c r="D1740" t="s">
        <v>8220</v>
      </c>
      <c r="E1740">
        <v>35</v>
      </c>
    </row>
    <row r="1741" spans="1:5" x14ac:dyDescent="0.35">
      <c r="A1741" t="s">
        <v>8219</v>
      </c>
      <c r="B1741">
        <v>63</v>
      </c>
      <c r="D1741" t="s">
        <v>8220</v>
      </c>
      <c r="E1741">
        <v>10</v>
      </c>
    </row>
    <row r="1742" spans="1:5" x14ac:dyDescent="0.35">
      <c r="A1742" t="s">
        <v>8219</v>
      </c>
      <c r="B1742">
        <v>9</v>
      </c>
      <c r="D1742" t="s">
        <v>8220</v>
      </c>
      <c r="E1742">
        <v>2</v>
      </c>
    </row>
    <row r="1743" spans="1:5" x14ac:dyDescent="0.35">
      <c r="A1743" t="s">
        <v>8219</v>
      </c>
      <c r="B1743">
        <v>34</v>
      </c>
      <c r="D1743" t="s">
        <v>8220</v>
      </c>
      <c r="E1743">
        <v>4</v>
      </c>
    </row>
    <row r="1744" spans="1:5" x14ac:dyDescent="0.35">
      <c r="A1744" t="s">
        <v>8219</v>
      </c>
      <c r="B1744">
        <v>112</v>
      </c>
      <c r="D1744" t="s">
        <v>8220</v>
      </c>
      <c r="E1744">
        <v>2</v>
      </c>
    </row>
    <row r="1745" spans="1:5" x14ac:dyDescent="0.35">
      <c r="A1745" t="s">
        <v>8219</v>
      </c>
      <c r="B1745">
        <v>47</v>
      </c>
      <c r="D1745" t="s">
        <v>8220</v>
      </c>
      <c r="E1745">
        <v>0</v>
      </c>
    </row>
    <row r="1746" spans="1:5" x14ac:dyDescent="0.35">
      <c r="A1746" t="s">
        <v>8219</v>
      </c>
      <c r="B1746">
        <v>38</v>
      </c>
      <c r="D1746" t="s">
        <v>8220</v>
      </c>
      <c r="E1746">
        <v>0</v>
      </c>
    </row>
    <row r="1747" spans="1:5" x14ac:dyDescent="0.35">
      <c r="A1747" t="s">
        <v>8219</v>
      </c>
      <c r="B1747">
        <v>28</v>
      </c>
      <c r="D1747" t="s">
        <v>8220</v>
      </c>
      <c r="E1747">
        <v>0</v>
      </c>
    </row>
    <row r="1748" spans="1:5" x14ac:dyDescent="0.35">
      <c r="A1748" t="s">
        <v>8219</v>
      </c>
      <c r="B1748">
        <v>78</v>
      </c>
      <c r="D1748" t="s">
        <v>8220</v>
      </c>
      <c r="E1748">
        <v>1</v>
      </c>
    </row>
    <row r="1749" spans="1:5" x14ac:dyDescent="0.35">
      <c r="A1749" t="s">
        <v>8219</v>
      </c>
      <c r="B1749">
        <v>23</v>
      </c>
      <c r="D1749" t="s">
        <v>8220</v>
      </c>
      <c r="E1749">
        <v>1</v>
      </c>
    </row>
    <row r="1750" spans="1:5" x14ac:dyDescent="0.35">
      <c r="A1750" t="s">
        <v>8219</v>
      </c>
      <c r="B1750">
        <v>40</v>
      </c>
      <c r="D1750" t="s">
        <v>8220</v>
      </c>
      <c r="E1750">
        <v>0</v>
      </c>
    </row>
    <row r="1751" spans="1:5" x14ac:dyDescent="0.35">
      <c r="A1751" t="s">
        <v>8219</v>
      </c>
      <c r="B1751">
        <v>13</v>
      </c>
      <c r="D1751" t="s">
        <v>8220</v>
      </c>
      <c r="E1751">
        <v>3</v>
      </c>
    </row>
    <row r="1752" spans="1:5" x14ac:dyDescent="0.35">
      <c r="A1752" t="s">
        <v>8219</v>
      </c>
      <c r="B1752">
        <v>18</v>
      </c>
      <c r="D1752" t="s">
        <v>8220</v>
      </c>
      <c r="E1752">
        <v>1</v>
      </c>
    </row>
    <row r="1753" spans="1:5" x14ac:dyDescent="0.35">
      <c r="A1753" t="s">
        <v>8219</v>
      </c>
      <c r="B1753">
        <v>22</v>
      </c>
      <c r="D1753" t="s">
        <v>8220</v>
      </c>
      <c r="E1753">
        <v>5</v>
      </c>
    </row>
    <row r="1754" spans="1:5" x14ac:dyDescent="0.35">
      <c r="A1754" t="s">
        <v>8219</v>
      </c>
      <c r="B1754">
        <v>79</v>
      </c>
      <c r="D1754" t="s">
        <v>8220</v>
      </c>
      <c r="E1754">
        <v>0</v>
      </c>
    </row>
    <row r="1755" spans="1:5" x14ac:dyDescent="0.35">
      <c r="A1755" t="s">
        <v>8219</v>
      </c>
      <c r="B1755">
        <v>14</v>
      </c>
      <c r="D1755" t="s">
        <v>8220</v>
      </c>
      <c r="E1755">
        <v>0</v>
      </c>
    </row>
    <row r="1756" spans="1:5" x14ac:dyDescent="0.35">
      <c r="A1756" t="s">
        <v>8219</v>
      </c>
      <c r="B1756">
        <v>51</v>
      </c>
      <c r="D1756" t="s">
        <v>8220</v>
      </c>
      <c r="E1756">
        <v>7</v>
      </c>
    </row>
    <row r="1757" spans="1:5" x14ac:dyDescent="0.35">
      <c r="A1757" t="s">
        <v>8219</v>
      </c>
      <c r="B1757">
        <v>54</v>
      </c>
      <c r="D1757" t="s">
        <v>8220</v>
      </c>
      <c r="E1757">
        <v>0</v>
      </c>
    </row>
    <row r="1758" spans="1:5" x14ac:dyDescent="0.35">
      <c r="A1758" t="s">
        <v>8219</v>
      </c>
      <c r="B1758">
        <v>70</v>
      </c>
      <c r="D1758" t="s">
        <v>8220</v>
      </c>
      <c r="E1758">
        <v>0</v>
      </c>
    </row>
    <row r="1759" spans="1:5" x14ac:dyDescent="0.35">
      <c r="A1759" t="s">
        <v>8219</v>
      </c>
      <c r="B1759">
        <v>44</v>
      </c>
      <c r="D1759" t="s">
        <v>8220</v>
      </c>
      <c r="E1759">
        <v>1</v>
      </c>
    </row>
    <row r="1760" spans="1:5" x14ac:dyDescent="0.35">
      <c r="A1760" t="s">
        <v>8219</v>
      </c>
      <c r="B1760">
        <v>55</v>
      </c>
      <c r="D1760" t="s">
        <v>8220</v>
      </c>
      <c r="E1760">
        <v>2</v>
      </c>
    </row>
    <row r="1761" spans="1:5" x14ac:dyDescent="0.35">
      <c r="A1761" t="s">
        <v>8219</v>
      </c>
      <c r="B1761">
        <v>15</v>
      </c>
      <c r="D1761" t="s">
        <v>8220</v>
      </c>
      <c r="E1761">
        <v>0</v>
      </c>
    </row>
    <row r="1762" spans="1:5" x14ac:dyDescent="0.35">
      <c r="A1762" t="s">
        <v>8219</v>
      </c>
      <c r="B1762">
        <v>27</v>
      </c>
      <c r="D1762" t="s">
        <v>8220</v>
      </c>
      <c r="E1762">
        <v>0</v>
      </c>
    </row>
    <row r="1763" spans="1:5" x14ac:dyDescent="0.35">
      <c r="A1763" t="s">
        <v>8219</v>
      </c>
      <c r="B1763">
        <v>21</v>
      </c>
      <c r="D1763" t="s">
        <v>8220</v>
      </c>
      <c r="E1763">
        <v>0</v>
      </c>
    </row>
    <row r="1764" spans="1:5" x14ac:dyDescent="0.35">
      <c r="A1764" t="s">
        <v>8219</v>
      </c>
      <c r="B1764">
        <v>162</v>
      </c>
      <c r="D1764" t="s">
        <v>8220</v>
      </c>
      <c r="E1764">
        <v>3</v>
      </c>
    </row>
    <row r="1765" spans="1:5" x14ac:dyDescent="0.35">
      <c r="A1765" t="s">
        <v>8219</v>
      </c>
      <c r="B1765">
        <v>23</v>
      </c>
      <c r="D1765" t="s">
        <v>8220</v>
      </c>
      <c r="E1765">
        <v>1</v>
      </c>
    </row>
    <row r="1766" spans="1:5" x14ac:dyDescent="0.35">
      <c r="A1766" t="s">
        <v>8219</v>
      </c>
      <c r="B1766">
        <v>72</v>
      </c>
      <c r="D1766" t="s">
        <v>8220</v>
      </c>
      <c r="E1766">
        <v>0</v>
      </c>
    </row>
    <row r="1767" spans="1:5" x14ac:dyDescent="0.35">
      <c r="A1767" t="s">
        <v>8219</v>
      </c>
      <c r="B1767">
        <v>68</v>
      </c>
      <c r="D1767" t="s">
        <v>8220</v>
      </c>
      <c r="E1767">
        <v>2</v>
      </c>
    </row>
    <row r="1768" spans="1:5" x14ac:dyDescent="0.35">
      <c r="A1768" t="s">
        <v>8219</v>
      </c>
      <c r="B1768">
        <v>20</v>
      </c>
      <c r="D1768" t="s">
        <v>8220</v>
      </c>
      <c r="E1768">
        <v>0</v>
      </c>
    </row>
    <row r="1769" spans="1:5" x14ac:dyDescent="0.35">
      <c r="A1769" t="s">
        <v>8219</v>
      </c>
      <c r="B1769">
        <v>26</v>
      </c>
      <c r="D1769" t="s">
        <v>8220</v>
      </c>
      <c r="E1769">
        <v>0</v>
      </c>
    </row>
    <row r="1770" spans="1:5" x14ac:dyDescent="0.35">
      <c r="A1770" t="s">
        <v>8219</v>
      </c>
      <c r="B1770">
        <v>72</v>
      </c>
      <c r="D1770" t="s">
        <v>8220</v>
      </c>
      <c r="E1770">
        <v>0</v>
      </c>
    </row>
    <row r="1771" spans="1:5" x14ac:dyDescent="0.35">
      <c r="A1771" t="s">
        <v>8219</v>
      </c>
      <c r="B1771">
        <v>3</v>
      </c>
      <c r="D1771" t="s">
        <v>8220</v>
      </c>
      <c r="E1771">
        <v>27</v>
      </c>
    </row>
    <row r="1772" spans="1:5" x14ac:dyDescent="0.35">
      <c r="A1772" t="s">
        <v>8219</v>
      </c>
      <c r="B1772">
        <v>18</v>
      </c>
      <c r="D1772" t="s">
        <v>8220</v>
      </c>
      <c r="E1772">
        <v>14</v>
      </c>
    </row>
    <row r="1773" spans="1:5" x14ac:dyDescent="0.35">
      <c r="A1773" t="s">
        <v>8219</v>
      </c>
      <c r="B1773">
        <v>30</v>
      </c>
      <c r="D1773" t="s">
        <v>8220</v>
      </c>
      <c r="E1773">
        <v>2</v>
      </c>
    </row>
    <row r="1774" spans="1:5" x14ac:dyDescent="0.35">
      <c r="A1774" t="s">
        <v>8219</v>
      </c>
      <c r="B1774">
        <v>23</v>
      </c>
      <c r="D1774" t="s">
        <v>8220</v>
      </c>
      <c r="E1774">
        <v>0</v>
      </c>
    </row>
    <row r="1775" spans="1:5" x14ac:dyDescent="0.35">
      <c r="A1775" t="s">
        <v>8219</v>
      </c>
      <c r="B1775">
        <v>54</v>
      </c>
      <c r="D1775" t="s">
        <v>8220</v>
      </c>
      <c r="E1775">
        <v>4</v>
      </c>
    </row>
    <row r="1776" spans="1:5" x14ac:dyDescent="0.35">
      <c r="A1776" t="s">
        <v>8219</v>
      </c>
      <c r="B1776">
        <v>26</v>
      </c>
      <c r="D1776" t="s">
        <v>8220</v>
      </c>
      <c r="E1776">
        <v>0</v>
      </c>
    </row>
    <row r="1777" spans="1:5" x14ac:dyDescent="0.35">
      <c r="A1777" t="s">
        <v>8219</v>
      </c>
      <c r="B1777">
        <v>9</v>
      </c>
      <c r="D1777" t="s">
        <v>8220</v>
      </c>
      <c r="E1777">
        <v>6</v>
      </c>
    </row>
    <row r="1778" spans="1:5" x14ac:dyDescent="0.35">
      <c r="A1778" t="s">
        <v>8219</v>
      </c>
      <c r="B1778">
        <v>27</v>
      </c>
      <c r="D1778" t="s">
        <v>8220</v>
      </c>
      <c r="E1778">
        <v>1</v>
      </c>
    </row>
    <row r="1779" spans="1:5" x14ac:dyDescent="0.35">
      <c r="A1779" t="s">
        <v>8219</v>
      </c>
      <c r="B1779">
        <v>30</v>
      </c>
      <c r="D1779" t="s">
        <v>8220</v>
      </c>
      <c r="E1779">
        <v>1</v>
      </c>
    </row>
    <row r="1780" spans="1:5" x14ac:dyDescent="0.35">
      <c r="A1780" t="s">
        <v>8219</v>
      </c>
      <c r="B1780">
        <v>52</v>
      </c>
      <c r="D1780" t="s">
        <v>8220</v>
      </c>
      <c r="E1780">
        <v>0</v>
      </c>
    </row>
    <row r="1781" spans="1:5" x14ac:dyDescent="0.35">
      <c r="A1781" t="s">
        <v>8219</v>
      </c>
      <c r="B1781">
        <v>17</v>
      </c>
      <c r="D1781" t="s">
        <v>8220</v>
      </c>
      <c r="E1781">
        <v>4</v>
      </c>
    </row>
    <row r="1782" spans="1:5" x14ac:dyDescent="0.35">
      <c r="A1782" t="s">
        <v>8219</v>
      </c>
      <c r="B1782">
        <v>19</v>
      </c>
      <c r="D1782" t="s">
        <v>8220</v>
      </c>
      <c r="E1782">
        <v>0</v>
      </c>
    </row>
    <row r="1783" spans="1:5" x14ac:dyDescent="0.35">
      <c r="A1783" t="s">
        <v>8219</v>
      </c>
      <c r="B1783">
        <v>77</v>
      </c>
      <c r="D1783" t="s">
        <v>8220</v>
      </c>
      <c r="E1783">
        <v>0</v>
      </c>
    </row>
    <row r="1784" spans="1:5" x14ac:dyDescent="0.35">
      <c r="A1784" t="s">
        <v>8219</v>
      </c>
      <c r="B1784">
        <v>21</v>
      </c>
      <c r="D1784" t="s">
        <v>8220</v>
      </c>
      <c r="E1784">
        <v>0</v>
      </c>
    </row>
    <row r="1785" spans="1:5" x14ac:dyDescent="0.35">
      <c r="A1785" t="s">
        <v>8219</v>
      </c>
      <c r="B1785">
        <v>38</v>
      </c>
      <c r="D1785" t="s">
        <v>8220</v>
      </c>
      <c r="E1785">
        <v>3</v>
      </c>
    </row>
    <row r="1786" spans="1:5" x14ac:dyDescent="0.35">
      <c r="A1786" t="s">
        <v>8219</v>
      </c>
      <c r="B1786">
        <v>28</v>
      </c>
      <c r="D1786" t="s">
        <v>8220</v>
      </c>
      <c r="E1786">
        <v>7</v>
      </c>
    </row>
    <row r="1787" spans="1:5" x14ac:dyDescent="0.35">
      <c r="A1787" t="s">
        <v>8219</v>
      </c>
      <c r="B1787">
        <v>48</v>
      </c>
      <c r="D1787" t="s">
        <v>8220</v>
      </c>
      <c r="E1787">
        <v>2</v>
      </c>
    </row>
    <row r="1788" spans="1:5" x14ac:dyDescent="0.35">
      <c r="A1788" t="s">
        <v>8219</v>
      </c>
      <c r="B1788">
        <v>46</v>
      </c>
      <c r="D1788" t="s">
        <v>8220</v>
      </c>
      <c r="E1788">
        <v>3</v>
      </c>
    </row>
    <row r="1789" spans="1:5" x14ac:dyDescent="0.35">
      <c r="A1789" t="s">
        <v>8219</v>
      </c>
      <c r="B1789">
        <v>30</v>
      </c>
      <c r="D1789" t="s">
        <v>8220</v>
      </c>
      <c r="E1789">
        <v>8</v>
      </c>
    </row>
    <row r="1790" spans="1:5" x14ac:dyDescent="0.35">
      <c r="A1790" t="s">
        <v>8219</v>
      </c>
      <c r="B1790">
        <v>64</v>
      </c>
      <c r="D1790" t="s">
        <v>8220</v>
      </c>
      <c r="E1790">
        <v>7</v>
      </c>
    </row>
    <row r="1791" spans="1:5" x14ac:dyDescent="0.35">
      <c r="A1791" t="s">
        <v>8219</v>
      </c>
      <c r="B1791">
        <v>15</v>
      </c>
      <c r="D1791" t="s">
        <v>8220</v>
      </c>
      <c r="E1791">
        <v>0</v>
      </c>
    </row>
    <row r="1792" spans="1:5" x14ac:dyDescent="0.35">
      <c r="A1792" t="s">
        <v>8219</v>
      </c>
      <c r="B1792">
        <v>41</v>
      </c>
      <c r="D1792" t="s">
        <v>8220</v>
      </c>
      <c r="E1792">
        <v>3</v>
      </c>
    </row>
    <row r="1793" spans="1:5" x14ac:dyDescent="0.35">
      <c r="A1793" t="s">
        <v>8219</v>
      </c>
      <c r="B1793">
        <v>35</v>
      </c>
      <c r="D1793" t="s">
        <v>8220</v>
      </c>
      <c r="E1793">
        <v>8</v>
      </c>
    </row>
    <row r="1794" spans="1:5" x14ac:dyDescent="0.35">
      <c r="A1794" t="s">
        <v>8219</v>
      </c>
      <c r="B1794">
        <v>45</v>
      </c>
      <c r="D1794" t="s">
        <v>8220</v>
      </c>
      <c r="E1794">
        <v>1</v>
      </c>
    </row>
    <row r="1795" spans="1:5" x14ac:dyDescent="0.35">
      <c r="A1795" t="s">
        <v>8219</v>
      </c>
      <c r="B1795">
        <v>62</v>
      </c>
      <c r="D1795" t="s">
        <v>8220</v>
      </c>
      <c r="E1795">
        <v>0</v>
      </c>
    </row>
    <row r="1796" spans="1:5" x14ac:dyDescent="0.35">
      <c r="A1796" t="s">
        <v>8219</v>
      </c>
      <c r="B1796">
        <v>22</v>
      </c>
      <c r="D1796" t="s">
        <v>8220</v>
      </c>
      <c r="E1796">
        <v>1</v>
      </c>
    </row>
    <row r="1797" spans="1:5" x14ac:dyDescent="0.35">
      <c r="A1797" t="s">
        <v>8219</v>
      </c>
      <c r="B1797">
        <v>18</v>
      </c>
      <c r="D1797" t="s">
        <v>8220</v>
      </c>
      <c r="E1797">
        <v>0</v>
      </c>
    </row>
    <row r="1798" spans="1:5" x14ac:dyDescent="0.35">
      <c r="A1798" t="s">
        <v>8219</v>
      </c>
      <c r="B1798">
        <v>12</v>
      </c>
      <c r="D1798" t="s">
        <v>8220</v>
      </c>
      <c r="E1798">
        <v>1</v>
      </c>
    </row>
    <row r="1799" spans="1:5" x14ac:dyDescent="0.35">
      <c r="A1799" t="s">
        <v>8219</v>
      </c>
      <c r="B1799">
        <v>44</v>
      </c>
      <c r="D1799" t="s">
        <v>8220</v>
      </c>
      <c r="E1799">
        <v>2</v>
      </c>
    </row>
    <row r="1800" spans="1:5" x14ac:dyDescent="0.35">
      <c r="A1800" t="s">
        <v>8219</v>
      </c>
      <c r="B1800">
        <v>27</v>
      </c>
      <c r="D1800" t="s">
        <v>8220</v>
      </c>
      <c r="E1800">
        <v>0</v>
      </c>
    </row>
    <row r="1801" spans="1:5" x14ac:dyDescent="0.35">
      <c r="A1801" t="s">
        <v>8219</v>
      </c>
      <c r="B1801">
        <v>38</v>
      </c>
      <c r="D1801" t="s">
        <v>8220</v>
      </c>
      <c r="E1801">
        <v>1</v>
      </c>
    </row>
    <row r="1802" spans="1:5" x14ac:dyDescent="0.35">
      <c r="A1802" t="s">
        <v>8219</v>
      </c>
      <c r="B1802">
        <v>28</v>
      </c>
      <c r="D1802" t="s">
        <v>8220</v>
      </c>
      <c r="E1802">
        <v>0</v>
      </c>
    </row>
    <row r="1803" spans="1:5" x14ac:dyDescent="0.35">
      <c r="A1803" t="s">
        <v>8219</v>
      </c>
      <c r="B1803">
        <v>24</v>
      </c>
      <c r="D1803" t="s">
        <v>8220</v>
      </c>
      <c r="E1803">
        <v>0</v>
      </c>
    </row>
    <row r="1804" spans="1:5" x14ac:dyDescent="0.35">
      <c r="A1804" t="s">
        <v>8219</v>
      </c>
      <c r="B1804">
        <v>65</v>
      </c>
      <c r="D1804" t="s">
        <v>8220</v>
      </c>
      <c r="E1804">
        <v>0</v>
      </c>
    </row>
    <row r="1805" spans="1:5" x14ac:dyDescent="0.35">
      <c r="A1805" t="s">
        <v>8219</v>
      </c>
      <c r="B1805">
        <v>46</v>
      </c>
      <c r="D1805" t="s">
        <v>8220</v>
      </c>
      <c r="E1805">
        <v>0</v>
      </c>
    </row>
    <row r="1806" spans="1:5" x14ac:dyDescent="0.35">
      <c r="A1806" t="s">
        <v>8219</v>
      </c>
      <c r="B1806">
        <v>85</v>
      </c>
      <c r="D1806" t="s">
        <v>8220</v>
      </c>
      <c r="E1806">
        <v>0</v>
      </c>
    </row>
    <row r="1807" spans="1:5" x14ac:dyDescent="0.35">
      <c r="A1807" t="s">
        <v>8219</v>
      </c>
      <c r="B1807">
        <v>66</v>
      </c>
      <c r="D1807" t="s">
        <v>8220</v>
      </c>
      <c r="E1807">
        <v>3</v>
      </c>
    </row>
    <row r="1808" spans="1:5" x14ac:dyDescent="0.35">
      <c r="A1808" t="s">
        <v>8219</v>
      </c>
      <c r="B1808">
        <v>165</v>
      </c>
      <c r="D1808" t="s">
        <v>8220</v>
      </c>
      <c r="E1808">
        <v>0</v>
      </c>
    </row>
    <row r="1809" spans="1:5" x14ac:dyDescent="0.35">
      <c r="A1809" t="s">
        <v>8219</v>
      </c>
      <c r="B1809">
        <v>17</v>
      </c>
      <c r="D1809" t="s">
        <v>8220</v>
      </c>
      <c r="E1809">
        <v>0</v>
      </c>
    </row>
    <row r="1810" spans="1:5" x14ac:dyDescent="0.35">
      <c r="A1810" t="s">
        <v>8219</v>
      </c>
      <c r="B1810">
        <v>3</v>
      </c>
      <c r="D1810" t="s">
        <v>8220</v>
      </c>
      <c r="E1810">
        <v>1</v>
      </c>
    </row>
    <row r="1811" spans="1:5" x14ac:dyDescent="0.35">
      <c r="A1811" t="s">
        <v>8219</v>
      </c>
      <c r="B1811">
        <v>17</v>
      </c>
      <c r="D1811" t="s">
        <v>8220</v>
      </c>
      <c r="E1811">
        <v>0</v>
      </c>
    </row>
    <row r="1812" spans="1:5" x14ac:dyDescent="0.35">
      <c r="A1812" t="s">
        <v>8219</v>
      </c>
      <c r="B1812">
        <v>91</v>
      </c>
      <c r="D1812" t="s">
        <v>8220</v>
      </c>
      <c r="E1812">
        <v>2</v>
      </c>
    </row>
    <row r="1813" spans="1:5" x14ac:dyDescent="0.35">
      <c r="A1813" t="s">
        <v>8219</v>
      </c>
      <c r="B1813">
        <v>67</v>
      </c>
      <c r="D1813" t="s">
        <v>8220</v>
      </c>
      <c r="E1813">
        <v>1</v>
      </c>
    </row>
    <row r="1814" spans="1:5" x14ac:dyDescent="0.35">
      <c r="A1814" t="s">
        <v>8219</v>
      </c>
      <c r="B1814">
        <v>18</v>
      </c>
      <c r="D1814" t="s">
        <v>8220</v>
      </c>
      <c r="E1814">
        <v>2</v>
      </c>
    </row>
    <row r="1815" spans="1:5" x14ac:dyDescent="0.35">
      <c r="A1815" t="s">
        <v>8219</v>
      </c>
      <c r="B1815">
        <v>21</v>
      </c>
      <c r="D1815" t="s">
        <v>8220</v>
      </c>
      <c r="E1815">
        <v>2</v>
      </c>
    </row>
    <row r="1816" spans="1:5" x14ac:dyDescent="0.35">
      <c r="A1816" t="s">
        <v>8219</v>
      </c>
      <c r="B1816">
        <v>40</v>
      </c>
      <c r="D1816" t="s">
        <v>8220</v>
      </c>
      <c r="E1816">
        <v>4</v>
      </c>
    </row>
    <row r="1817" spans="1:5" x14ac:dyDescent="0.35">
      <c r="A1817" t="s">
        <v>8219</v>
      </c>
      <c r="B1817">
        <v>78</v>
      </c>
      <c r="D1817" t="s">
        <v>8220</v>
      </c>
      <c r="E1817">
        <v>0</v>
      </c>
    </row>
    <row r="1818" spans="1:5" x14ac:dyDescent="0.35">
      <c r="A1818" t="s">
        <v>8219</v>
      </c>
      <c r="B1818">
        <v>26</v>
      </c>
      <c r="D1818" t="s">
        <v>8220</v>
      </c>
      <c r="E1818">
        <v>0</v>
      </c>
    </row>
    <row r="1819" spans="1:5" x14ac:dyDescent="0.35">
      <c r="A1819" t="s">
        <v>8219</v>
      </c>
      <c r="B1819">
        <v>14</v>
      </c>
      <c r="D1819" t="s">
        <v>8220</v>
      </c>
      <c r="E1819">
        <v>0</v>
      </c>
    </row>
    <row r="1820" spans="1:5" x14ac:dyDescent="0.35">
      <c r="A1820" t="s">
        <v>8219</v>
      </c>
      <c r="B1820">
        <v>44</v>
      </c>
      <c r="D1820" t="s">
        <v>8220</v>
      </c>
      <c r="E1820">
        <v>0</v>
      </c>
    </row>
    <row r="1821" spans="1:5" x14ac:dyDescent="0.35">
      <c r="A1821" t="s">
        <v>8219</v>
      </c>
      <c r="B1821">
        <v>9</v>
      </c>
      <c r="D1821" t="s">
        <v>8220</v>
      </c>
      <c r="E1821">
        <v>0</v>
      </c>
    </row>
    <row r="1822" spans="1:5" x14ac:dyDescent="0.35">
      <c r="A1822" t="s">
        <v>8219</v>
      </c>
      <c r="B1822">
        <v>30</v>
      </c>
      <c r="D1822" t="s">
        <v>8220</v>
      </c>
      <c r="E1822">
        <v>0</v>
      </c>
    </row>
    <row r="1823" spans="1:5" x14ac:dyDescent="0.35">
      <c r="A1823" t="s">
        <v>8219</v>
      </c>
      <c r="B1823">
        <v>45</v>
      </c>
      <c r="D1823" t="s">
        <v>8220</v>
      </c>
      <c r="E1823">
        <v>0</v>
      </c>
    </row>
    <row r="1824" spans="1:5" x14ac:dyDescent="0.35">
      <c r="A1824" t="s">
        <v>8219</v>
      </c>
      <c r="B1824">
        <v>56</v>
      </c>
      <c r="D1824" t="s">
        <v>8220</v>
      </c>
      <c r="E1824">
        <v>12</v>
      </c>
    </row>
    <row r="1825" spans="1:5" x14ac:dyDescent="0.35">
      <c r="A1825" t="s">
        <v>8219</v>
      </c>
      <c r="B1825">
        <v>46</v>
      </c>
      <c r="D1825" t="s">
        <v>8220</v>
      </c>
      <c r="E1825">
        <v>2</v>
      </c>
    </row>
    <row r="1826" spans="1:5" x14ac:dyDescent="0.35">
      <c r="A1826" t="s">
        <v>8219</v>
      </c>
      <c r="B1826">
        <v>34</v>
      </c>
      <c r="D1826" t="s">
        <v>8220</v>
      </c>
      <c r="E1826">
        <v>1501</v>
      </c>
    </row>
    <row r="1827" spans="1:5" x14ac:dyDescent="0.35">
      <c r="A1827" t="s">
        <v>8219</v>
      </c>
      <c r="B1827">
        <v>98</v>
      </c>
      <c r="D1827" t="s">
        <v>8220</v>
      </c>
      <c r="E1827">
        <v>52</v>
      </c>
    </row>
    <row r="1828" spans="1:5" x14ac:dyDescent="0.35">
      <c r="A1828" t="s">
        <v>8219</v>
      </c>
      <c r="B1828">
        <v>46</v>
      </c>
      <c r="D1828" t="s">
        <v>8220</v>
      </c>
      <c r="E1828">
        <v>23</v>
      </c>
    </row>
    <row r="1829" spans="1:5" x14ac:dyDescent="0.35">
      <c r="A1829" t="s">
        <v>8219</v>
      </c>
      <c r="B1829">
        <v>10</v>
      </c>
      <c r="D1829" t="s">
        <v>8220</v>
      </c>
      <c r="E1829">
        <v>535</v>
      </c>
    </row>
    <row r="1830" spans="1:5" x14ac:dyDescent="0.35">
      <c r="A1830" t="s">
        <v>8219</v>
      </c>
      <c r="B1830">
        <v>76</v>
      </c>
      <c r="D1830" t="s">
        <v>8220</v>
      </c>
      <c r="E1830">
        <v>3</v>
      </c>
    </row>
    <row r="1831" spans="1:5" x14ac:dyDescent="0.35">
      <c r="A1831" t="s">
        <v>8219</v>
      </c>
      <c r="B1831">
        <v>104</v>
      </c>
      <c r="D1831" t="s">
        <v>8220</v>
      </c>
      <c r="E1831">
        <v>6</v>
      </c>
    </row>
    <row r="1832" spans="1:5" x14ac:dyDescent="0.35">
      <c r="A1832" t="s">
        <v>8219</v>
      </c>
      <c r="B1832">
        <v>87</v>
      </c>
      <c r="D1832" t="s">
        <v>8220</v>
      </c>
      <c r="E1832">
        <v>3</v>
      </c>
    </row>
    <row r="1833" spans="1:5" x14ac:dyDescent="0.35">
      <c r="A1833" t="s">
        <v>8219</v>
      </c>
      <c r="B1833">
        <v>29</v>
      </c>
      <c r="D1833" t="s">
        <v>8220</v>
      </c>
      <c r="E1833">
        <v>5</v>
      </c>
    </row>
    <row r="1834" spans="1:5" x14ac:dyDescent="0.35">
      <c r="A1834" t="s">
        <v>8219</v>
      </c>
      <c r="B1834">
        <v>51</v>
      </c>
      <c r="D1834" t="s">
        <v>8220</v>
      </c>
      <c r="E1834">
        <v>17</v>
      </c>
    </row>
    <row r="1835" spans="1:5" x14ac:dyDescent="0.35">
      <c r="A1835" t="s">
        <v>8219</v>
      </c>
      <c r="B1835">
        <v>12</v>
      </c>
      <c r="D1835" t="s">
        <v>8220</v>
      </c>
      <c r="E1835">
        <v>11</v>
      </c>
    </row>
    <row r="1836" spans="1:5" x14ac:dyDescent="0.35">
      <c r="A1836" t="s">
        <v>8219</v>
      </c>
      <c r="B1836">
        <v>72</v>
      </c>
      <c r="D1836" t="s">
        <v>8220</v>
      </c>
      <c r="E1836">
        <v>70</v>
      </c>
    </row>
    <row r="1837" spans="1:5" x14ac:dyDescent="0.35">
      <c r="A1837" t="s">
        <v>8219</v>
      </c>
      <c r="B1837">
        <v>21</v>
      </c>
      <c r="D1837" t="s">
        <v>8220</v>
      </c>
      <c r="E1837">
        <v>6</v>
      </c>
    </row>
    <row r="1838" spans="1:5" x14ac:dyDescent="0.35">
      <c r="A1838" t="s">
        <v>8219</v>
      </c>
      <c r="B1838">
        <v>42</v>
      </c>
      <c r="D1838" t="s">
        <v>8220</v>
      </c>
      <c r="E1838">
        <v>43</v>
      </c>
    </row>
    <row r="1839" spans="1:5" x14ac:dyDescent="0.35">
      <c r="A1839" t="s">
        <v>8219</v>
      </c>
      <c r="B1839">
        <v>71</v>
      </c>
      <c r="D1839" t="s">
        <v>8220</v>
      </c>
      <c r="E1839">
        <v>152</v>
      </c>
    </row>
    <row r="1840" spans="1:5" x14ac:dyDescent="0.35">
      <c r="A1840" t="s">
        <v>8219</v>
      </c>
      <c r="B1840">
        <v>168</v>
      </c>
      <c r="D1840" t="s">
        <v>8220</v>
      </c>
      <c r="E1840">
        <v>59</v>
      </c>
    </row>
    <row r="1841" spans="1:5" x14ac:dyDescent="0.35">
      <c r="A1841" t="s">
        <v>8219</v>
      </c>
      <c r="B1841">
        <v>19</v>
      </c>
      <c r="D1841" t="s">
        <v>8220</v>
      </c>
      <c r="E1841">
        <v>4</v>
      </c>
    </row>
    <row r="1842" spans="1:5" x14ac:dyDescent="0.35">
      <c r="A1842" t="s">
        <v>8219</v>
      </c>
      <c r="B1842">
        <v>37</v>
      </c>
      <c r="D1842" t="s">
        <v>8220</v>
      </c>
      <c r="E1842">
        <v>10</v>
      </c>
    </row>
    <row r="1843" spans="1:5" x14ac:dyDescent="0.35">
      <c r="A1843" t="s">
        <v>8219</v>
      </c>
      <c r="B1843">
        <v>36</v>
      </c>
      <c r="D1843" t="s">
        <v>8220</v>
      </c>
      <c r="E1843">
        <v>5</v>
      </c>
    </row>
    <row r="1844" spans="1:5" x14ac:dyDescent="0.35">
      <c r="A1844" t="s">
        <v>8219</v>
      </c>
      <c r="B1844">
        <v>14</v>
      </c>
      <c r="D1844" t="s">
        <v>8220</v>
      </c>
      <c r="E1844">
        <v>58</v>
      </c>
    </row>
    <row r="1845" spans="1:5" x14ac:dyDescent="0.35">
      <c r="A1845" t="s">
        <v>8219</v>
      </c>
      <c r="B1845">
        <v>18</v>
      </c>
      <c r="D1845" t="s">
        <v>8220</v>
      </c>
      <c r="E1845">
        <v>8</v>
      </c>
    </row>
    <row r="1846" spans="1:5" x14ac:dyDescent="0.35">
      <c r="A1846" t="s">
        <v>8219</v>
      </c>
      <c r="B1846">
        <v>82</v>
      </c>
      <c r="D1846" t="s">
        <v>8220</v>
      </c>
      <c r="E1846">
        <v>3</v>
      </c>
    </row>
    <row r="1847" spans="1:5" x14ac:dyDescent="0.35">
      <c r="A1847" t="s">
        <v>8219</v>
      </c>
      <c r="B1847">
        <v>43</v>
      </c>
      <c r="D1847" t="s">
        <v>8220</v>
      </c>
      <c r="E1847">
        <v>0</v>
      </c>
    </row>
    <row r="1848" spans="1:5" x14ac:dyDescent="0.35">
      <c r="A1848" t="s">
        <v>8219</v>
      </c>
      <c r="B1848">
        <v>8</v>
      </c>
      <c r="D1848" t="s">
        <v>8220</v>
      </c>
      <c r="E1848">
        <v>11</v>
      </c>
    </row>
    <row r="1849" spans="1:5" x14ac:dyDescent="0.35">
      <c r="A1849" t="s">
        <v>8219</v>
      </c>
      <c r="B1849">
        <v>45</v>
      </c>
      <c r="D1849" t="s">
        <v>8220</v>
      </c>
      <c r="E1849">
        <v>20</v>
      </c>
    </row>
    <row r="1850" spans="1:5" x14ac:dyDescent="0.35">
      <c r="A1850" t="s">
        <v>8219</v>
      </c>
      <c r="B1850">
        <v>20</v>
      </c>
      <c r="D1850" t="s">
        <v>8220</v>
      </c>
      <c r="E1850">
        <v>3</v>
      </c>
    </row>
    <row r="1851" spans="1:5" x14ac:dyDescent="0.35">
      <c r="A1851" t="s">
        <v>8219</v>
      </c>
      <c r="B1851">
        <v>31</v>
      </c>
      <c r="D1851" t="s">
        <v>8220</v>
      </c>
      <c r="E1851">
        <v>0</v>
      </c>
    </row>
    <row r="1852" spans="1:5" x14ac:dyDescent="0.35">
      <c r="A1852" t="s">
        <v>8219</v>
      </c>
      <c r="B1852">
        <v>25</v>
      </c>
      <c r="D1852" t="s">
        <v>8220</v>
      </c>
      <c r="E1852">
        <v>0</v>
      </c>
    </row>
    <row r="1853" spans="1:5" x14ac:dyDescent="0.35">
      <c r="A1853" t="s">
        <v>8219</v>
      </c>
      <c r="B1853">
        <v>14</v>
      </c>
      <c r="D1853" t="s">
        <v>8220</v>
      </c>
      <c r="E1853">
        <v>0</v>
      </c>
    </row>
    <row r="1854" spans="1:5" x14ac:dyDescent="0.35">
      <c r="A1854" t="s">
        <v>8219</v>
      </c>
      <c r="B1854">
        <v>45</v>
      </c>
      <c r="D1854" t="s">
        <v>8220</v>
      </c>
      <c r="E1854">
        <v>1</v>
      </c>
    </row>
    <row r="1855" spans="1:5" x14ac:dyDescent="0.35">
      <c r="A1855" t="s">
        <v>8219</v>
      </c>
      <c r="B1855">
        <v>20</v>
      </c>
      <c r="D1855" t="s">
        <v>8220</v>
      </c>
      <c r="E1855">
        <v>2</v>
      </c>
    </row>
    <row r="1856" spans="1:5" x14ac:dyDescent="0.35">
      <c r="A1856" t="s">
        <v>8219</v>
      </c>
      <c r="B1856">
        <v>39</v>
      </c>
      <c r="D1856" t="s">
        <v>8220</v>
      </c>
      <c r="E1856">
        <v>348</v>
      </c>
    </row>
    <row r="1857" spans="1:5" x14ac:dyDescent="0.35">
      <c r="A1857" t="s">
        <v>8219</v>
      </c>
      <c r="B1857">
        <v>16</v>
      </c>
      <c r="D1857" t="s">
        <v>8220</v>
      </c>
      <c r="E1857">
        <v>4</v>
      </c>
    </row>
    <row r="1858" spans="1:5" x14ac:dyDescent="0.35">
      <c r="A1858" t="s">
        <v>8219</v>
      </c>
      <c r="B1858">
        <v>37</v>
      </c>
      <c r="D1858" t="s">
        <v>8220</v>
      </c>
      <c r="E1858">
        <v>0</v>
      </c>
    </row>
    <row r="1859" spans="1:5" x14ac:dyDescent="0.35">
      <c r="A1859" t="s">
        <v>8219</v>
      </c>
      <c r="B1859">
        <v>14</v>
      </c>
      <c r="D1859" t="s">
        <v>8220</v>
      </c>
      <c r="E1859">
        <v>17</v>
      </c>
    </row>
    <row r="1860" spans="1:5" x14ac:dyDescent="0.35">
      <c r="A1860" t="s">
        <v>8219</v>
      </c>
      <c r="B1860">
        <v>21</v>
      </c>
      <c r="D1860" t="s">
        <v>8220</v>
      </c>
      <c r="E1860">
        <v>0</v>
      </c>
    </row>
    <row r="1861" spans="1:5" x14ac:dyDescent="0.35">
      <c r="A1861" t="s">
        <v>8219</v>
      </c>
      <c r="B1861">
        <v>69</v>
      </c>
      <c r="D1861" t="s">
        <v>8220</v>
      </c>
      <c r="E1861">
        <v>1</v>
      </c>
    </row>
    <row r="1862" spans="1:5" x14ac:dyDescent="0.35">
      <c r="A1862" t="s">
        <v>8219</v>
      </c>
      <c r="B1862">
        <v>16</v>
      </c>
      <c r="D1862" t="s">
        <v>8220</v>
      </c>
      <c r="E1862">
        <v>15</v>
      </c>
    </row>
    <row r="1863" spans="1:5" x14ac:dyDescent="0.35">
      <c r="A1863" t="s">
        <v>8219</v>
      </c>
      <c r="B1863">
        <v>55</v>
      </c>
      <c r="D1863" t="s">
        <v>8220</v>
      </c>
      <c r="E1863">
        <v>10</v>
      </c>
    </row>
    <row r="1864" spans="1:5" x14ac:dyDescent="0.35">
      <c r="A1864" t="s">
        <v>8219</v>
      </c>
      <c r="B1864">
        <v>27</v>
      </c>
      <c r="D1864" t="s">
        <v>8220</v>
      </c>
      <c r="E1864">
        <v>3</v>
      </c>
    </row>
    <row r="1865" spans="1:5" x14ac:dyDescent="0.35">
      <c r="A1865" t="s">
        <v>8219</v>
      </c>
      <c r="B1865">
        <v>36</v>
      </c>
      <c r="D1865" t="s">
        <v>8220</v>
      </c>
      <c r="E1865">
        <v>0</v>
      </c>
    </row>
    <row r="1866" spans="1:5" x14ac:dyDescent="0.35">
      <c r="A1866" t="s">
        <v>8219</v>
      </c>
      <c r="B1866">
        <v>19</v>
      </c>
      <c r="D1866" t="s">
        <v>8220</v>
      </c>
      <c r="E1866">
        <v>0</v>
      </c>
    </row>
    <row r="1867" spans="1:5" x14ac:dyDescent="0.35">
      <c r="A1867" t="s">
        <v>8219</v>
      </c>
      <c r="B1867">
        <v>12</v>
      </c>
      <c r="D1867" t="s">
        <v>8220</v>
      </c>
      <c r="E1867">
        <v>0</v>
      </c>
    </row>
    <row r="1868" spans="1:5" x14ac:dyDescent="0.35">
      <c r="A1868" t="s">
        <v>8219</v>
      </c>
      <c r="B1868">
        <v>17</v>
      </c>
      <c r="D1868" t="s">
        <v>8220</v>
      </c>
      <c r="E1868">
        <v>0</v>
      </c>
    </row>
    <row r="1869" spans="1:5" x14ac:dyDescent="0.35">
      <c r="A1869" t="s">
        <v>8219</v>
      </c>
      <c r="B1869">
        <v>114</v>
      </c>
      <c r="D1869" t="s">
        <v>8220</v>
      </c>
      <c r="E1869">
        <v>46</v>
      </c>
    </row>
    <row r="1870" spans="1:5" x14ac:dyDescent="0.35">
      <c r="A1870" t="s">
        <v>8219</v>
      </c>
      <c r="B1870">
        <v>93</v>
      </c>
      <c r="D1870" t="s">
        <v>8220</v>
      </c>
      <c r="E1870">
        <v>14</v>
      </c>
    </row>
    <row r="1871" spans="1:5" x14ac:dyDescent="0.35">
      <c r="A1871" t="s">
        <v>8219</v>
      </c>
      <c r="B1871">
        <v>36</v>
      </c>
      <c r="D1871" t="s">
        <v>8220</v>
      </c>
      <c r="E1871">
        <v>1</v>
      </c>
    </row>
    <row r="1872" spans="1:5" x14ac:dyDescent="0.35">
      <c r="A1872" t="s">
        <v>8219</v>
      </c>
      <c r="B1872">
        <v>61</v>
      </c>
      <c r="D1872" t="s">
        <v>8220</v>
      </c>
      <c r="E1872">
        <v>0</v>
      </c>
    </row>
    <row r="1873" spans="1:5" x14ac:dyDescent="0.35">
      <c r="A1873" t="s">
        <v>8219</v>
      </c>
      <c r="B1873">
        <v>47</v>
      </c>
      <c r="D1873" t="s">
        <v>8220</v>
      </c>
      <c r="E1873">
        <v>17</v>
      </c>
    </row>
    <row r="1874" spans="1:5" x14ac:dyDescent="0.35">
      <c r="A1874" t="s">
        <v>8219</v>
      </c>
      <c r="B1874">
        <v>17</v>
      </c>
      <c r="D1874" t="s">
        <v>8220</v>
      </c>
      <c r="E1874">
        <v>1</v>
      </c>
    </row>
    <row r="1875" spans="1:5" x14ac:dyDescent="0.35">
      <c r="A1875" t="s">
        <v>8219</v>
      </c>
      <c r="B1875">
        <v>63</v>
      </c>
      <c r="D1875" t="s">
        <v>8220</v>
      </c>
      <c r="E1875">
        <v>0</v>
      </c>
    </row>
    <row r="1876" spans="1:5" x14ac:dyDescent="0.35">
      <c r="A1876" t="s">
        <v>8219</v>
      </c>
      <c r="B1876">
        <v>9</v>
      </c>
      <c r="D1876" t="s">
        <v>8220</v>
      </c>
      <c r="E1876">
        <v>0</v>
      </c>
    </row>
    <row r="1877" spans="1:5" x14ac:dyDescent="0.35">
      <c r="A1877" t="s">
        <v>8219</v>
      </c>
      <c r="B1877">
        <v>30</v>
      </c>
      <c r="D1877" t="s">
        <v>8220</v>
      </c>
      <c r="E1877">
        <v>0</v>
      </c>
    </row>
    <row r="1878" spans="1:5" x14ac:dyDescent="0.35">
      <c r="A1878" t="s">
        <v>8219</v>
      </c>
      <c r="B1878">
        <v>23</v>
      </c>
      <c r="D1878" t="s">
        <v>8220</v>
      </c>
      <c r="E1878">
        <v>0</v>
      </c>
    </row>
    <row r="1879" spans="1:5" x14ac:dyDescent="0.35">
      <c r="A1879" t="s">
        <v>8219</v>
      </c>
      <c r="B1879">
        <v>33</v>
      </c>
      <c r="D1879" t="s">
        <v>8220</v>
      </c>
      <c r="E1879">
        <v>0</v>
      </c>
    </row>
    <row r="1880" spans="1:5" x14ac:dyDescent="0.35">
      <c r="A1880" t="s">
        <v>8219</v>
      </c>
      <c r="B1880">
        <v>39</v>
      </c>
      <c r="D1880" t="s">
        <v>8220</v>
      </c>
      <c r="E1880">
        <v>2</v>
      </c>
    </row>
    <row r="1881" spans="1:5" x14ac:dyDescent="0.35">
      <c r="A1881" t="s">
        <v>8219</v>
      </c>
      <c r="B1881">
        <v>17</v>
      </c>
    </row>
    <row r="1882" spans="1:5" x14ac:dyDescent="0.35">
      <c r="A1882" t="s">
        <v>8219</v>
      </c>
      <c r="B1882">
        <v>6</v>
      </c>
    </row>
    <row r="1883" spans="1:5" x14ac:dyDescent="0.35">
      <c r="A1883" t="s">
        <v>8219</v>
      </c>
      <c r="B1883">
        <v>39</v>
      </c>
    </row>
    <row r="1884" spans="1:5" x14ac:dyDescent="0.35">
      <c r="A1884" t="s">
        <v>8219</v>
      </c>
      <c r="B1884">
        <v>57</v>
      </c>
    </row>
    <row r="1885" spans="1:5" x14ac:dyDescent="0.35">
      <c r="A1885" t="s">
        <v>8219</v>
      </c>
      <c r="B1885">
        <v>56</v>
      </c>
    </row>
    <row r="1886" spans="1:5" x14ac:dyDescent="0.35">
      <c r="A1886" t="s">
        <v>8219</v>
      </c>
      <c r="B1886">
        <v>13</v>
      </c>
    </row>
    <row r="1887" spans="1:5" x14ac:dyDescent="0.35">
      <c r="A1887" t="s">
        <v>8219</v>
      </c>
      <c r="B1887">
        <v>95</v>
      </c>
    </row>
    <row r="1888" spans="1:5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Jocelyn Flores</cp:lastModifiedBy>
  <dcterms:created xsi:type="dcterms:W3CDTF">2017-04-20T15:17:24Z</dcterms:created>
  <dcterms:modified xsi:type="dcterms:W3CDTF">2020-08-09T01:06:39Z</dcterms:modified>
</cp:coreProperties>
</file>