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Ondine\theory\"/>
    </mc:Choice>
  </mc:AlternateContent>
  <xr:revisionPtr revIDLastSave="0" documentId="13_ncr:1_{AB807D89-F78A-488C-9FC0-724FC74C43C0}" xr6:coauthVersionLast="40" xr6:coauthVersionMax="40" xr10:uidLastSave="{00000000-0000-0000-0000-000000000000}"/>
  <bookViews>
    <workbookView xWindow="360" yWindow="240" windowWidth="18908" windowHeight="7808" xr2:uid="{00000000-000D-0000-FFFF-FFFF00000000}"/>
  </bookViews>
  <sheets>
    <sheet name="Kinematix" sheetId="1" r:id="rId1"/>
    <sheet name="sin computation" sheetId="3" r:id="rId2"/>
    <sheet name="Arctan" sheetId="5" r:id="rId3"/>
    <sheet name="Torque" sheetId="4" r:id="rId4"/>
  </sheets>
  <definedNames>
    <definedName name="_xlnm.Print_Area" localSheetId="0">Kinematix!$A$3:$Q$90</definedName>
  </definedNames>
  <calcPr calcId="181029"/>
</workbook>
</file>

<file path=xl/calcChain.xml><?xml version="1.0" encoding="utf-8"?>
<calcChain xmlns="http://schemas.openxmlformats.org/spreadsheetml/2006/main">
  <c r="B14" i="1" l="1"/>
  <c r="K67" i="1"/>
  <c r="B7" i="3" l="1"/>
  <c r="B8" i="3" l="1"/>
  <c r="C11" i="3" s="1"/>
  <c r="B11" i="3" l="1"/>
  <c r="O19" i="4"/>
  <c r="O18" i="4"/>
  <c r="O17" i="4"/>
  <c r="O16" i="4"/>
  <c r="O15" i="4"/>
  <c r="O14" i="4"/>
  <c r="O13" i="4"/>
  <c r="O12" i="4"/>
  <c r="O10" i="4"/>
  <c r="O9" i="4"/>
  <c r="O8" i="4"/>
  <c r="O7" i="4"/>
  <c r="O6" i="4"/>
  <c r="O5" i="4"/>
  <c r="O4" i="4"/>
  <c r="O3" i="4"/>
  <c r="O11" i="4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C4" i="4"/>
  <c r="C6" i="4"/>
  <c r="C8" i="4"/>
  <c r="C10" i="4"/>
  <c r="C12" i="4"/>
  <c r="C14" i="4"/>
  <c r="C16" i="4"/>
  <c r="C18" i="4"/>
  <c r="C19" i="4"/>
  <c r="C20" i="4"/>
  <c r="C21" i="4"/>
  <c r="C22" i="4"/>
  <c r="C23" i="4"/>
  <c r="C24" i="4"/>
  <c r="C25" i="4"/>
  <c r="C26" i="4"/>
  <c r="C27" i="4"/>
  <c r="C2" i="4"/>
  <c r="H6" i="4"/>
  <c r="H5" i="4"/>
  <c r="D16" i="4" s="1"/>
  <c r="H4" i="4"/>
  <c r="H3" i="4"/>
  <c r="H2" i="4"/>
  <c r="I2" i="4" s="1"/>
  <c r="B17" i="4"/>
  <c r="C17" i="4" s="1"/>
  <c r="H7" i="4"/>
  <c r="I4" i="4"/>
  <c r="D12" i="4"/>
  <c r="E12" i="4" s="1"/>
  <c r="B15" i="4"/>
  <c r="C15" i="4" s="1"/>
  <c r="B13" i="4"/>
  <c r="C13" i="4" s="1"/>
  <c r="B11" i="4"/>
  <c r="C11" i="4" s="1"/>
  <c r="B9" i="4"/>
  <c r="C9" i="4" s="1"/>
  <c r="B7" i="4"/>
  <c r="C7" i="4" s="1"/>
  <c r="B3" i="4"/>
  <c r="C3" i="4" s="1"/>
  <c r="B5" i="4"/>
  <c r="C5" i="4" s="1"/>
  <c r="L2" i="4"/>
  <c r="A13" i="4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D24" i="4" l="1"/>
  <c r="E16" i="4"/>
  <c r="E24" i="4"/>
  <c r="D19" i="4"/>
  <c r="E19" i="4" s="1"/>
  <c r="D20" i="4"/>
  <c r="E20" i="4" s="1"/>
  <c r="D25" i="4"/>
  <c r="E25" i="4" s="1"/>
  <c r="D23" i="4"/>
  <c r="E23" i="4" s="1"/>
  <c r="I3" i="4"/>
  <c r="L3" i="4"/>
  <c r="D27" i="4"/>
  <c r="E27" i="4" s="1"/>
  <c r="D8" i="4"/>
  <c r="E8" i="4" s="1"/>
  <c r="I6" i="4"/>
  <c r="D5" i="4"/>
  <c r="E5" i="4" s="1"/>
  <c r="D9" i="4"/>
  <c r="E9" i="4" s="1"/>
  <c r="D17" i="4"/>
  <c r="E17" i="4" s="1"/>
  <c r="D13" i="4"/>
  <c r="E13" i="4" s="1"/>
  <c r="D21" i="4"/>
  <c r="E21" i="4" s="1"/>
  <c r="D22" i="4"/>
  <c r="E22" i="4" s="1"/>
  <c r="I5" i="4"/>
  <c r="D14" i="4"/>
  <c r="E14" i="4" s="1"/>
  <c r="D18" i="4"/>
  <c r="E18" i="4" s="1"/>
  <c r="D15" i="4"/>
  <c r="E15" i="4" s="1"/>
  <c r="D2" i="4"/>
  <c r="E2" i="4" s="1"/>
  <c r="D6" i="4"/>
  <c r="E6" i="4" s="1"/>
  <c r="D10" i="4"/>
  <c r="E10" i="4" s="1"/>
  <c r="D3" i="4"/>
  <c r="E3" i="4" s="1"/>
  <c r="D7" i="4"/>
  <c r="E7" i="4" s="1"/>
  <c r="D11" i="4"/>
  <c r="E11" i="4" s="1"/>
  <c r="I7" i="4"/>
  <c r="D4" i="4"/>
  <c r="E4" i="4" s="1"/>
  <c r="D26" i="4"/>
  <c r="E26" i="4" s="1"/>
  <c r="X4" i="3" l="1"/>
  <c r="X3" i="3" s="1"/>
  <c r="B2" i="3"/>
  <c r="C2" i="3" s="1"/>
  <c r="D2" i="3" s="1"/>
  <c r="E2" i="3" l="1"/>
  <c r="D3" i="3"/>
  <c r="D4" i="3" s="1"/>
  <c r="C3" i="3"/>
  <c r="C4" i="3" s="1"/>
  <c r="F2" i="3" l="1"/>
  <c r="E3" i="3"/>
  <c r="E4" i="3" s="1"/>
  <c r="G2" i="3" l="1"/>
  <c r="F3" i="3"/>
  <c r="F4" i="3" s="1"/>
  <c r="H2" i="3" l="1"/>
  <c r="G3" i="3"/>
  <c r="G4" i="3" s="1"/>
  <c r="I2" i="3" l="1"/>
  <c r="H3" i="3"/>
  <c r="H4" i="3" s="1"/>
  <c r="B9" i="3" s="1"/>
  <c r="J2" i="3" l="1"/>
  <c r="I3" i="3"/>
  <c r="I4" i="3" s="1"/>
  <c r="B10" i="3" s="1"/>
  <c r="B12" i="3" s="1"/>
  <c r="K2" i="3" l="1"/>
  <c r="J3" i="3"/>
  <c r="J4" i="3" s="1"/>
  <c r="L2" i="3" l="1"/>
  <c r="K3" i="3"/>
  <c r="K4" i="3" s="1"/>
  <c r="M2" i="3" l="1"/>
  <c r="L3" i="3"/>
  <c r="L4" i="3" s="1"/>
  <c r="N2" i="3" l="1"/>
  <c r="M3" i="3"/>
  <c r="M4" i="3" s="1"/>
  <c r="O2" i="3" l="1"/>
  <c r="N3" i="3"/>
  <c r="N4" i="3" s="1"/>
  <c r="P2" i="3" l="1"/>
  <c r="O3" i="3"/>
  <c r="O4" i="3" s="1"/>
  <c r="Q2" i="3" l="1"/>
  <c r="P3" i="3"/>
  <c r="P4" i="3" s="1"/>
  <c r="R2" i="3" l="1"/>
  <c r="Q3" i="3"/>
  <c r="Q4" i="3" s="1"/>
  <c r="S2" i="3" l="1"/>
  <c r="R3" i="3"/>
  <c r="R4" i="3" s="1"/>
  <c r="T2" i="3" l="1"/>
  <c r="S3" i="3"/>
  <c r="S4" i="3" s="1"/>
  <c r="U2" i="3" l="1"/>
  <c r="T3" i="3"/>
  <c r="T4" i="3" s="1"/>
  <c r="V2" i="3" l="1"/>
  <c r="U3" i="3"/>
  <c r="U4" i="3" s="1"/>
  <c r="W2" i="3" l="1"/>
  <c r="V3" i="3"/>
  <c r="V4" i="3" s="1"/>
  <c r="B13" i="3"/>
  <c r="G43" i="1"/>
  <c r="X2" i="3" l="1"/>
  <c r="W3" i="3"/>
  <c r="W4" i="3" s="1"/>
  <c r="D27" i="3" l="1"/>
  <c r="D26" i="3"/>
  <c r="D28" i="3" s="1"/>
  <c r="G45" i="1"/>
  <c r="D32" i="3"/>
  <c r="D31" i="3"/>
  <c r="B34" i="3"/>
  <c r="D34" i="3" s="1"/>
  <c r="B29" i="3"/>
  <c r="D29" i="3" s="1"/>
  <c r="B18" i="3"/>
  <c r="B20" i="3" s="1"/>
  <c r="B22" i="3"/>
  <c r="B21" i="3" s="1"/>
  <c r="B14" i="3"/>
  <c r="A3" i="3"/>
  <c r="A4" i="3" s="1"/>
  <c r="B3" i="3"/>
  <c r="B4" i="3" s="1"/>
  <c r="D33" i="3" l="1"/>
  <c r="E29" i="3"/>
  <c r="B19" i="3"/>
  <c r="B24" i="1" l="1"/>
  <c r="B34" i="1"/>
  <c r="B35" i="1"/>
  <c r="C13" i="3" l="1"/>
  <c r="B90" i="1"/>
  <c r="D90" i="1"/>
  <c r="D87" i="1" s="1"/>
  <c r="H43" i="1"/>
  <c r="F44" i="1"/>
  <c r="F45" i="1"/>
  <c r="G44" i="1"/>
  <c r="H45" i="1"/>
  <c r="H44" i="1"/>
  <c r="F40" i="1"/>
  <c r="J54" i="1" s="1"/>
  <c r="F39" i="1"/>
  <c r="N43" i="1" l="1" a="1"/>
  <c r="P44" i="1" s="1"/>
  <c r="K76" i="1"/>
  <c r="D88" i="1"/>
  <c r="B26" i="1"/>
  <c r="K55" i="1"/>
  <c r="L56" i="1"/>
  <c r="M77" i="1" s="1"/>
  <c r="N43" i="1" l="1"/>
  <c r="O45" i="1"/>
  <c r="O44" i="1"/>
  <c r="O43" i="1"/>
  <c r="N44" i="1"/>
  <c r="P43" i="1"/>
  <c r="P45" i="1"/>
  <c r="N45" i="1"/>
  <c r="L75" i="1"/>
  <c r="D40" i="1"/>
  <c r="L54" i="1" s="1"/>
  <c r="D39" i="1"/>
  <c r="H50" i="1"/>
  <c r="N48" i="1" s="1" a="1"/>
  <c r="K81" i="1" l="1"/>
  <c r="M76" i="1"/>
  <c r="L81" i="1"/>
  <c r="L68" i="1"/>
  <c r="M81" i="1"/>
  <c r="L69" i="1"/>
  <c r="L67" i="1"/>
  <c r="K64" i="1"/>
  <c r="K63" i="1"/>
  <c r="K62" i="1"/>
  <c r="O48" i="1"/>
  <c r="O49" i="1"/>
  <c r="N50" i="1"/>
  <c r="N49" i="1"/>
  <c r="N48" i="1"/>
  <c r="P48" i="1"/>
  <c r="O50" i="1"/>
  <c r="P50" i="1"/>
  <c r="P49" i="1"/>
  <c r="J56" i="1"/>
  <c r="J55" i="1"/>
  <c r="K56" i="1"/>
  <c r="M67" i="1" s="1"/>
  <c r="L55" i="1"/>
  <c r="M80" i="1" l="1"/>
  <c r="L80" i="1"/>
  <c r="K69" i="1"/>
  <c r="K75" i="1"/>
  <c r="L82" i="1"/>
  <c r="M82" i="1"/>
  <c r="M68" i="1"/>
  <c r="K77" i="1"/>
  <c r="M75" i="1"/>
  <c r="K80" i="1"/>
  <c r="K82" i="1"/>
  <c r="L77" i="1"/>
  <c r="M69" i="1"/>
  <c r="K68" i="1"/>
  <c r="L64" i="1"/>
  <c r="L62" i="1"/>
  <c r="L76" i="1" s="1"/>
  <c r="L63" i="1"/>
  <c r="M64" i="1"/>
  <c r="M63" i="1"/>
  <c r="M62" i="1"/>
  <c r="G75" i="1" a="1"/>
  <c r="N54" i="1" a="1"/>
  <c r="I75" i="1" l="1"/>
  <c r="H76" i="1"/>
  <c r="G75" i="1"/>
  <c r="I76" i="1"/>
  <c r="H75" i="1"/>
  <c r="H77" i="1"/>
  <c r="G76" i="1"/>
  <c r="I77" i="1"/>
  <c r="G77" i="1"/>
  <c r="P54" i="1"/>
  <c r="O55" i="1"/>
  <c r="N55" i="1"/>
  <c r="N54" i="1"/>
  <c r="O56" i="1"/>
  <c r="N56" i="1"/>
  <c r="O54" i="1"/>
  <c r="P56" i="1"/>
  <c r="P55" i="1"/>
  <c r="G80" i="1" l="1" a="1"/>
  <c r="G62" i="1" a="1"/>
  <c r="G82" i="1" l="1"/>
  <c r="I82" i="1"/>
  <c r="G80" i="1"/>
  <c r="H81" i="1"/>
  <c r="G81" i="1"/>
  <c r="I81" i="1"/>
  <c r="H82" i="1"/>
  <c r="H80" i="1"/>
  <c r="I80" i="1"/>
  <c r="H62" i="1"/>
  <c r="H63" i="1"/>
  <c r="G64" i="1"/>
  <c r="G62" i="1"/>
  <c r="I62" i="1"/>
  <c r="H64" i="1"/>
  <c r="I64" i="1"/>
  <c r="G63" i="1"/>
  <c r="I63" i="1"/>
  <c r="G67" i="1" l="1" a="1"/>
  <c r="G67" i="1" l="1"/>
  <c r="I68" i="1"/>
  <c r="H69" i="1"/>
  <c r="G68" i="1"/>
  <c r="H68" i="1"/>
  <c r="I69" i="1"/>
  <c r="G69" i="1"/>
  <c r="H67" i="1"/>
  <c r="I67" i="1"/>
  <c r="H30" i="1" l="1"/>
  <c r="I30" i="1" s="1"/>
  <c r="H29" i="1"/>
  <c r="I29" i="1" s="1"/>
  <c r="H31" i="1"/>
  <c r="I31" i="1" s="1"/>
  <c r="O31" i="1" l="1"/>
  <c r="O29" i="1"/>
  <c r="O30" i="1"/>
</calcChain>
</file>

<file path=xl/sharedStrings.xml><?xml version="1.0" encoding="utf-8"?>
<sst xmlns="http://schemas.openxmlformats.org/spreadsheetml/2006/main" count="90" uniqueCount="70">
  <si>
    <t>q</t>
  </si>
  <si>
    <t>Angle between horzontal and one wheel</t>
  </si>
  <si>
    <t>=</t>
  </si>
  <si>
    <t>speed in x coord</t>
  </si>
  <si>
    <t>speed in y coord</t>
  </si>
  <si>
    <t>angular velocity around z</t>
  </si>
  <si>
    <t>radius of ball</t>
  </si>
  <si>
    <t>radius of wheel</t>
  </si>
  <si>
    <t>angular velocity of wheel 1</t>
  </si>
  <si>
    <t>angular velocity of wheel 2</t>
  </si>
  <si>
    <t>angular velocity of wheel 3</t>
  </si>
  <si>
    <t>Inverse Kinematics</t>
  </si>
  <si>
    <t>Tilt</t>
  </si>
  <si>
    <t>sin=</t>
  </si>
  <si>
    <t>cos=</t>
  </si>
  <si>
    <t>Kinematix</t>
  </si>
  <si>
    <t>absolute x-position on map</t>
  </si>
  <si>
    <t>absolute y-position on map</t>
  </si>
  <si>
    <t>dT</t>
  </si>
  <si>
    <t>time since last measurement</t>
  </si>
  <si>
    <t>absolute movement along x</t>
  </si>
  <si>
    <t>absolute movement along y</t>
  </si>
  <si>
    <t xml:space="preserve">absolute new x position </t>
  </si>
  <si>
    <t xml:space="preserve">absolute new y position </t>
  </si>
  <si>
    <t>new Map position</t>
  </si>
  <si>
    <t>Tilt Rotation Matrix</t>
  </si>
  <si>
    <t>current absolute Map position</t>
  </si>
  <si>
    <t>vector in IMU coord-system</t>
  </si>
  <si>
    <t>Kinematics</t>
  </si>
  <si>
    <t>Position in IMU coord-system</t>
  </si>
  <si>
    <t>d</t>
  </si>
  <si>
    <t>angle within last  dT</t>
  </si>
  <si>
    <t>corrected relative x movement</t>
  </si>
  <si>
    <t>Transformation of absolute map coordinate system into IMU's relative coord system</t>
  </si>
  <si>
    <t>a</t>
  </si>
  <si>
    <t xml:space="preserve">a </t>
  </si>
  <si>
    <t>l1</t>
  </si>
  <si>
    <t>l2</t>
  </si>
  <si>
    <t xml:space="preserve">result </t>
  </si>
  <si>
    <t>sqr</t>
  </si>
  <si>
    <t>sqr_fp4</t>
  </si>
  <si>
    <t>fp5</t>
  </si>
  <si>
    <t>b</t>
  </si>
  <si>
    <t>fp8</t>
  </si>
  <si>
    <t>c</t>
  </si>
  <si>
    <t>fp10</t>
  </si>
  <si>
    <t>fp2</t>
  </si>
  <si>
    <t>fp14</t>
  </si>
  <si>
    <t>Construction Matrix</t>
  </si>
  <si>
    <t>Kinematics Matrix</t>
  </si>
  <si>
    <t>Inverse Kinematics Matrix</t>
  </si>
  <si>
    <t>Perc</t>
  </si>
  <si>
    <t>torque</t>
  </si>
  <si>
    <t>Arctan 2</t>
  </si>
  <si>
    <t xml:space="preserve">int arctan2(int y, int x) {                         </t>
  </si>
  <si>
    <t xml:space="preserve">   int coeff_1 = 128;                                          // angle in Quids (1024 Quids=360°) &lt;&lt;&lt;&lt;&lt;&lt;&lt;&lt;&lt;&lt;&lt;&lt;&lt;&lt;</t>
  </si>
  <si>
    <t xml:space="preserve">   int coeff_2 = 3*coeff_1;</t>
  </si>
  <si>
    <t xml:space="preserve">   float abs_y = abs(y)+1e-10;</t>
  </si>
  <si>
    <t xml:space="preserve">   float r, angle;</t>
  </si>
  <si>
    <t xml:space="preserve">   if (x &gt;= 0) {</t>
  </si>
  <si>
    <t xml:space="preserve">     r = (x - abs_y) / (x + abs_y);</t>
  </si>
  <si>
    <t xml:space="preserve">     angle = coeff_1 - coeff_1 * r;</t>
  </si>
  <si>
    <t xml:space="preserve">   }  else {</t>
  </si>
  <si>
    <t xml:space="preserve">     r = (x + abs_y) / (abs_y - x);</t>
  </si>
  <si>
    <t xml:space="preserve">     angle = coeff_2 - coeff_1 * r;</t>
  </si>
  <si>
    <t xml:space="preserve">   }</t>
  </si>
  <si>
    <t xml:space="preserve">   if (y &lt; 0)      return int(-angle);</t>
  </si>
  <si>
    <t xml:space="preserve">   else            return int(angle);</t>
  </si>
  <si>
    <t>}</t>
  </si>
  <si>
    <t>x_FP9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</si>
</sst>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\ _€_-;\-* #,##0.00\ _€_-;_-* &quot;-&quot;??\ _€_-;_-@_-"/>
    <numFmt numFmtId="164" formatCode="0\ \°"/>
    <numFmt numFmtId="165" formatCode="0.000"/>
    <numFmt numFmtId="166" formatCode="0.0000"/>
    <numFmt numFmtId="167" formatCode="0.0\ &quot;°/s&quot;"/>
    <numFmt numFmtId="168" formatCode="0.00\ &quot;1/mm&quot;"/>
    <numFmt numFmtId="169" formatCode="_-* #,##0.0000\ _€_-;\-* #,##0.0000\ _€_-;_-* &quot;-&quot;??\ _€_-;_-@_-"/>
    <numFmt numFmtId="170" formatCode="0.00000\ &quot;°/s&quot;"/>
    <numFmt numFmtId="171" formatCode="0\ &quot;mm&quot;"/>
    <numFmt numFmtId="173" formatCode="0.000\ \°"/>
    <numFmt numFmtId="174" formatCode="0.00000"/>
    <numFmt numFmtId="175" formatCode="0.0000000"/>
    <numFmt numFmtId="176" formatCode="0.000\ &quot;mm&quot;"/>
    <numFmt numFmtId="177" formatCode="0.0%"/>
    <numFmt numFmtId="178" formatCode="0.000000000000"/>
    <numFmt numFmtId="179" formatCode="_-* #,##0\ _€_-;\-* #,##0\ _€_-;_-* &quot;-&quot;??\ _€_-;_-@_-"/>
    <numFmt numFmtId="180" formatCode="0.00000\ &quot;1/s&quot;"/>
    <numFmt numFmtId="181" formatCode="0.000\ &quot;rev/s&quot;"/>
    <numFmt numFmtId="182" formatCode="0.000\ &quot;m&quot;"/>
    <numFmt numFmtId="183" formatCode="0.000\ &quot;m/s&quot;"/>
    <numFmt numFmtId="185" formatCode="0.000\ &quot;s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0" fontId="6" fillId="0" borderId="0" xfId="0" applyFont="1" applyAlignment="1">
      <alignment horizontal="left" indent="1"/>
    </xf>
    <xf numFmtId="168" fontId="0" fillId="0" borderId="0" xfId="0" applyNumberFormat="1"/>
    <xf numFmtId="1" fontId="0" fillId="0" borderId="0" xfId="0" applyNumberFormat="1"/>
    <xf numFmtId="170" fontId="7" fillId="0" borderId="0" xfId="0" applyNumberFormat="1" applyFont="1"/>
    <xf numFmtId="0" fontId="0" fillId="0" borderId="0" xfId="0" quotePrefix="1"/>
    <xf numFmtId="0" fontId="6" fillId="0" borderId="0" xfId="0" quotePrefix="1" applyFont="1" applyAlignment="1">
      <alignment horizontal="right" indent="1"/>
    </xf>
    <xf numFmtId="169" fontId="0" fillId="0" borderId="0" xfId="1" applyNumberFormat="1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7" fontId="2" fillId="0" borderId="0" xfId="0" applyNumberFormat="1" applyFont="1" applyBorder="1"/>
    <xf numFmtId="0" fontId="6" fillId="0" borderId="0" xfId="0" applyFont="1" applyBorder="1" applyAlignment="1">
      <alignment horizontal="left" indent="1"/>
    </xf>
    <xf numFmtId="0" fontId="0" fillId="0" borderId="5" xfId="0" applyBorder="1"/>
    <xf numFmtId="0" fontId="0" fillId="0" borderId="6" xfId="0" applyBorder="1"/>
    <xf numFmtId="167" fontId="2" fillId="0" borderId="7" xfId="0" applyNumberFormat="1" applyFont="1" applyBorder="1"/>
    <xf numFmtId="0" fontId="6" fillId="0" borderId="7" xfId="0" applyFont="1" applyBorder="1" applyAlignment="1">
      <alignment horizontal="left" indent="1"/>
    </xf>
    <xf numFmtId="0" fontId="0" fillId="0" borderId="8" xfId="0" applyBorder="1"/>
    <xf numFmtId="164" fontId="0" fillId="0" borderId="2" xfId="0" applyNumberFormat="1" applyBorder="1"/>
    <xf numFmtId="0" fontId="5" fillId="0" borderId="2" xfId="0" applyFont="1" applyBorder="1"/>
    <xf numFmtId="0" fontId="3" fillId="0" borderId="4" xfId="0" applyFont="1" applyBorder="1"/>
    <xf numFmtId="0" fontId="3" fillId="0" borderId="6" xfId="0" applyFont="1" applyBorder="1"/>
    <xf numFmtId="167" fontId="0" fillId="0" borderId="7" xfId="0" applyNumberFormat="1" applyBorder="1"/>
    <xf numFmtId="167" fontId="0" fillId="0" borderId="8" xfId="0" applyNumberFormat="1" applyBorder="1"/>
    <xf numFmtId="0" fontId="0" fillId="0" borderId="1" xfId="0" applyFon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0" xfId="0" applyBorder="1"/>
    <xf numFmtId="0" fontId="3" fillId="0" borderId="0" xfId="0" applyFont="1" applyBorder="1"/>
    <xf numFmtId="171" fontId="0" fillId="0" borderId="0" xfId="0" applyNumberFormat="1" applyBorder="1"/>
    <xf numFmtId="167" fontId="0" fillId="0" borderId="0" xfId="0" applyNumberFormat="1" applyBorder="1"/>
    <xf numFmtId="0" fontId="0" fillId="0" borderId="0" xfId="0" applyFont="1"/>
    <xf numFmtId="167" fontId="0" fillId="0" borderId="2" xfId="0" applyNumberFormat="1" applyBorder="1"/>
    <xf numFmtId="0" fontId="6" fillId="0" borderId="2" xfId="0" applyFont="1" applyBorder="1" applyAlignment="1">
      <alignment horizontal="left" indent="1"/>
    </xf>
    <xf numFmtId="0" fontId="2" fillId="0" borderId="4" xfId="0" applyFont="1" applyBorder="1"/>
    <xf numFmtId="0" fontId="2" fillId="0" borderId="6" xfId="0" applyFont="1" applyBorder="1"/>
    <xf numFmtId="171" fontId="0" fillId="0" borderId="7" xfId="0" applyNumberFormat="1" applyBorder="1"/>
    <xf numFmtId="0" fontId="0" fillId="0" borderId="1" xfId="0" applyBorder="1"/>
    <xf numFmtId="0" fontId="6" fillId="0" borderId="0" xfId="0" applyFont="1" applyFill="1" applyBorder="1" applyAlignment="1">
      <alignment horizontal="left" indent="1"/>
    </xf>
    <xf numFmtId="0" fontId="6" fillId="0" borderId="7" xfId="0" applyFont="1" applyFill="1" applyBorder="1" applyAlignment="1">
      <alignment horizontal="left" indent="1"/>
    </xf>
    <xf numFmtId="171" fontId="0" fillId="0" borderId="2" xfId="0" applyNumberFormat="1" applyBorder="1"/>
    <xf numFmtId="0" fontId="3" fillId="0" borderId="4" xfId="0" applyFont="1" applyBorder="1" applyAlignment="1">
      <alignment horizontal="left" vertical="center" indent="1"/>
    </xf>
    <xf numFmtId="173" fontId="0" fillId="0" borderId="0" xfId="0" applyNumberFormat="1" applyBorder="1"/>
    <xf numFmtId="174" fontId="0" fillId="0" borderId="0" xfId="0" applyNumberFormat="1"/>
    <xf numFmtId="175" fontId="0" fillId="0" borderId="0" xfId="0" applyNumberFormat="1"/>
    <xf numFmtId="176" fontId="0" fillId="0" borderId="0" xfId="0" applyNumberFormat="1" applyBorder="1"/>
    <xf numFmtId="176" fontId="0" fillId="0" borderId="7" xfId="0" applyNumberFormat="1" applyBorder="1"/>
    <xf numFmtId="165" fontId="0" fillId="0" borderId="9" xfId="0" applyNumberFormat="1" applyBorder="1"/>
    <xf numFmtId="165" fontId="0" fillId="0" borderId="0" xfId="0" applyNumberFormat="1" applyBorder="1"/>
    <xf numFmtId="165" fontId="0" fillId="0" borderId="10" xfId="0" applyNumberFormat="1" applyBorder="1"/>
    <xf numFmtId="177" fontId="0" fillId="0" borderId="0" xfId="2" applyNumberFormat="1" applyFont="1"/>
    <xf numFmtId="10" fontId="0" fillId="0" borderId="0" xfId="2" applyNumberFormat="1" applyFont="1"/>
    <xf numFmtId="2" fontId="0" fillId="0" borderId="0" xfId="0" applyNumberFormat="1" applyAlignment="1">
      <alignment horizontal="left" indent="1"/>
    </xf>
    <xf numFmtId="178" fontId="0" fillId="0" borderId="0" xfId="0" applyNumberFormat="1"/>
    <xf numFmtId="1" fontId="0" fillId="0" borderId="9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179" fontId="0" fillId="0" borderId="0" xfId="1" applyNumberFormat="1" applyFont="1"/>
    <xf numFmtId="166" fontId="0" fillId="0" borderId="9" xfId="0" applyNumberFormat="1" applyBorder="1"/>
    <xf numFmtId="166" fontId="0" fillId="0" borderId="0" xfId="0" applyNumberFormat="1" applyBorder="1"/>
    <xf numFmtId="166" fontId="0" fillId="0" borderId="10" xfId="0" applyNumberFormat="1" applyBorder="1"/>
    <xf numFmtId="180" fontId="7" fillId="0" borderId="0" xfId="0" applyNumberFormat="1" applyFont="1"/>
    <xf numFmtId="9" fontId="0" fillId="0" borderId="0" xfId="2" applyFont="1"/>
    <xf numFmtId="181" fontId="0" fillId="0" borderId="0" xfId="0" applyNumberFormat="1" applyBorder="1"/>
    <xf numFmtId="181" fontId="0" fillId="0" borderId="7" xfId="0" applyNumberFormat="1" applyBorder="1"/>
    <xf numFmtId="182" fontId="0" fillId="0" borderId="0" xfId="0" applyNumberFormat="1"/>
    <xf numFmtId="183" fontId="0" fillId="0" borderId="0" xfId="0" applyNumberFormat="1" applyBorder="1"/>
    <xf numFmtId="183" fontId="0" fillId="0" borderId="5" xfId="0" applyNumberFormat="1" applyBorder="1"/>
    <xf numFmtId="185" fontId="0" fillId="0" borderId="0" xfId="0" applyNumberForma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1062992125985"/>
          <c:y val="5.1400554097404488E-2"/>
          <c:w val="0.62923447069116356"/>
          <c:h val="0.8326195683872849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Torque!$A$2:$A$27</c:f>
              <c:numCache>
                <c:formatCode>General</c:formatCode>
                <c:ptCount val="26"/>
                <c:pt idx="0">
                  <c:v>255</c:v>
                </c:pt>
                <c:pt idx="1">
                  <c:v>245</c:v>
                </c:pt>
                <c:pt idx="2">
                  <c:v>235</c:v>
                </c:pt>
                <c:pt idx="3">
                  <c:v>225</c:v>
                </c:pt>
                <c:pt idx="4">
                  <c:v>215</c:v>
                </c:pt>
                <c:pt idx="5">
                  <c:v>205</c:v>
                </c:pt>
                <c:pt idx="6">
                  <c:v>195</c:v>
                </c:pt>
                <c:pt idx="7">
                  <c:v>185</c:v>
                </c:pt>
                <c:pt idx="8">
                  <c:v>175</c:v>
                </c:pt>
                <c:pt idx="9">
                  <c:v>165</c:v>
                </c:pt>
                <c:pt idx="10">
                  <c:v>155</c:v>
                </c:pt>
                <c:pt idx="11">
                  <c:v>145</c:v>
                </c:pt>
                <c:pt idx="12">
                  <c:v>135</c:v>
                </c:pt>
                <c:pt idx="13">
                  <c:v>125</c:v>
                </c:pt>
                <c:pt idx="14">
                  <c:v>115</c:v>
                </c:pt>
                <c:pt idx="15">
                  <c:v>105</c:v>
                </c:pt>
                <c:pt idx="16">
                  <c:v>95</c:v>
                </c:pt>
                <c:pt idx="17">
                  <c:v>85</c:v>
                </c:pt>
                <c:pt idx="18">
                  <c:v>75</c:v>
                </c:pt>
                <c:pt idx="19">
                  <c:v>65</c:v>
                </c:pt>
                <c:pt idx="20">
                  <c:v>55</c:v>
                </c:pt>
                <c:pt idx="21">
                  <c:v>45</c:v>
                </c:pt>
                <c:pt idx="22">
                  <c:v>35</c:v>
                </c:pt>
                <c:pt idx="23">
                  <c:v>25</c:v>
                </c:pt>
                <c:pt idx="24">
                  <c:v>15</c:v>
                </c:pt>
                <c:pt idx="25">
                  <c:v>10</c:v>
                </c:pt>
              </c:numCache>
            </c:numRef>
          </c:xVal>
          <c:yVal>
            <c:numRef>
              <c:f>Torque!$B$2:$B$27</c:f>
              <c:numCache>
                <c:formatCode>General</c:formatCode>
                <c:ptCount val="26"/>
                <c:pt idx="0">
                  <c:v>1850</c:v>
                </c:pt>
                <c:pt idx="1">
                  <c:v>1843</c:v>
                </c:pt>
                <c:pt idx="2">
                  <c:v>1836</c:v>
                </c:pt>
                <c:pt idx="3">
                  <c:v>1828.5</c:v>
                </c:pt>
                <c:pt idx="4">
                  <c:v>1821</c:v>
                </c:pt>
                <c:pt idx="5">
                  <c:v>1778.5</c:v>
                </c:pt>
                <c:pt idx="6">
                  <c:v>1736</c:v>
                </c:pt>
                <c:pt idx="7">
                  <c:v>1721.5</c:v>
                </c:pt>
                <c:pt idx="8">
                  <c:v>1707</c:v>
                </c:pt>
                <c:pt idx="9">
                  <c:v>1688</c:v>
                </c:pt>
                <c:pt idx="10">
                  <c:v>1669</c:v>
                </c:pt>
                <c:pt idx="11">
                  <c:v>1645</c:v>
                </c:pt>
                <c:pt idx="12">
                  <c:v>1621</c:v>
                </c:pt>
                <c:pt idx="13">
                  <c:v>1589</c:v>
                </c:pt>
                <c:pt idx="14">
                  <c:v>1557</c:v>
                </c:pt>
                <c:pt idx="15">
                  <c:v>1516</c:v>
                </c:pt>
                <c:pt idx="16">
                  <c:v>1475</c:v>
                </c:pt>
                <c:pt idx="17">
                  <c:v>1423</c:v>
                </c:pt>
                <c:pt idx="18">
                  <c:v>1366</c:v>
                </c:pt>
                <c:pt idx="19">
                  <c:v>1293</c:v>
                </c:pt>
                <c:pt idx="20">
                  <c:v>1186</c:v>
                </c:pt>
                <c:pt idx="21">
                  <c:v>1071</c:v>
                </c:pt>
                <c:pt idx="22">
                  <c:v>912</c:v>
                </c:pt>
                <c:pt idx="23">
                  <c:v>684</c:v>
                </c:pt>
                <c:pt idx="24">
                  <c:v>277</c:v>
                </c:pt>
                <c:pt idx="25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7-4353-B1E6-B86E7790F3BA}"/>
            </c:ext>
          </c:extLst>
        </c:ser>
        <c:ser>
          <c:idx val="1"/>
          <c:order val="1"/>
          <c:tx>
            <c:v>Formel</c:v>
          </c:tx>
          <c:marker>
            <c:symbol val="none"/>
          </c:marker>
          <c:xVal>
            <c:numRef>
              <c:f>Torque!$D$2:$D$27</c:f>
              <c:numCache>
                <c:formatCode>0.00</c:formatCode>
                <c:ptCount val="26"/>
                <c:pt idx="0">
                  <c:v>255</c:v>
                </c:pt>
                <c:pt idx="1">
                  <c:v>251.13259668508289</c:v>
                </c:pt>
                <c:pt idx="2">
                  <c:v>247.26519337016575</c:v>
                </c:pt>
                <c:pt idx="3">
                  <c:v>243.12154696132598</c:v>
                </c:pt>
                <c:pt idx="4">
                  <c:v>238.97790055248618</c:v>
                </c:pt>
                <c:pt idx="5">
                  <c:v>215.49723756906076</c:v>
                </c:pt>
                <c:pt idx="6">
                  <c:v>192.01657458563537</c:v>
                </c:pt>
                <c:pt idx="7">
                  <c:v>184.00552486187846</c:v>
                </c:pt>
                <c:pt idx="8">
                  <c:v>175.99447513812154</c:v>
                </c:pt>
                <c:pt idx="9">
                  <c:v>165.49723756906079</c:v>
                </c:pt>
                <c:pt idx="10">
                  <c:v>155</c:v>
                </c:pt>
                <c:pt idx="11">
                  <c:v>147.57731958762886</c:v>
                </c:pt>
                <c:pt idx="12">
                  <c:v>140.15463917525773</c:v>
                </c:pt>
                <c:pt idx="13">
                  <c:v>130.25773195876289</c:v>
                </c:pt>
                <c:pt idx="14">
                  <c:v>120.36082474226804</c:v>
                </c:pt>
                <c:pt idx="15">
                  <c:v>107.68041237113403</c:v>
                </c:pt>
                <c:pt idx="16">
                  <c:v>95</c:v>
                </c:pt>
                <c:pt idx="17">
                  <c:v>87.802768166089976</c:v>
                </c:pt>
                <c:pt idx="18">
                  <c:v>79.913494809688586</c:v>
                </c:pt>
                <c:pt idx="19">
                  <c:v>69.809688581314873</c:v>
                </c:pt>
                <c:pt idx="20">
                  <c:v>55</c:v>
                </c:pt>
                <c:pt idx="21">
                  <c:v>48.127490039840637</c:v>
                </c:pt>
                <c:pt idx="22">
                  <c:v>38.625498007968126</c:v>
                </c:pt>
                <c:pt idx="23">
                  <c:v>25</c:v>
                </c:pt>
                <c:pt idx="24">
                  <c:v>14.098214285714285</c:v>
                </c:pt>
                <c:pt idx="25">
                  <c:v>10</c:v>
                </c:pt>
              </c:numCache>
            </c:numRef>
          </c:xVal>
          <c:yVal>
            <c:numRef>
              <c:f>Torque!$B$2:$B$27</c:f>
              <c:numCache>
                <c:formatCode>General</c:formatCode>
                <c:ptCount val="26"/>
                <c:pt idx="0">
                  <c:v>1850</c:v>
                </c:pt>
                <c:pt idx="1">
                  <c:v>1843</c:v>
                </c:pt>
                <c:pt idx="2">
                  <c:v>1836</c:v>
                </c:pt>
                <c:pt idx="3">
                  <c:v>1828.5</c:v>
                </c:pt>
                <c:pt idx="4">
                  <c:v>1821</c:v>
                </c:pt>
                <c:pt idx="5">
                  <c:v>1778.5</c:v>
                </c:pt>
                <c:pt idx="6">
                  <c:v>1736</c:v>
                </c:pt>
                <c:pt idx="7">
                  <c:v>1721.5</c:v>
                </c:pt>
                <c:pt idx="8">
                  <c:v>1707</c:v>
                </c:pt>
                <c:pt idx="9">
                  <c:v>1688</c:v>
                </c:pt>
                <c:pt idx="10">
                  <c:v>1669</c:v>
                </c:pt>
                <c:pt idx="11">
                  <c:v>1645</c:v>
                </c:pt>
                <c:pt idx="12">
                  <c:v>1621</c:v>
                </c:pt>
                <c:pt idx="13">
                  <c:v>1589</c:v>
                </c:pt>
                <c:pt idx="14">
                  <c:v>1557</c:v>
                </c:pt>
                <c:pt idx="15">
                  <c:v>1516</c:v>
                </c:pt>
                <c:pt idx="16">
                  <c:v>1475</c:v>
                </c:pt>
                <c:pt idx="17">
                  <c:v>1423</c:v>
                </c:pt>
                <c:pt idx="18">
                  <c:v>1366</c:v>
                </c:pt>
                <c:pt idx="19">
                  <c:v>1293</c:v>
                </c:pt>
                <c:pt idx="20">
                  <c:v>1186</c:v>
                </c:pt>
                <c:pt idx="21">
                  <c:v>1071</c:v>
                </c:pt>
                <c:pt idx="22">
                  <c:v>912</c:v>
                </c:pt>
                <c:pt idx="23">
                  <c:v>684</c:v>
                </c:pt>
                <c:pt idx="24">
                  <c:v>277</c:v>
                </c:pt>
                <c:pt idx="25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57-4353-B1E6-B86E7790F3BA}"/>
            </c:ext>
          </c:extLst>
        </c:ser>
        <c:ser>
          <c:idx val="2"/>
          <c:order val="2"/>
          <c:tx>
            <c:v>invers</c:v>
          </c:tx>
          <c:marker>
            <c:symbol val="none"/>
          </c:marker>
          <c:xVal>
            <c:numRef>
              <c:f>Torque!$M$3:$M$19</c:f>
              <c:numCache>
                <c:formatCode>General</c:formatCode>
                <c:ptCount val="17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</c:numCache>
            </c:numRef>
          </c:xVal>
          <c:yVal>
            <c:numRef>
              <c:f>Torque!$O$3:$O$19</c:f>
              <c:numCache>
                <c:formatCode>General</c:formatCode>
                <c:ptCount val="17"/>
                <c:pt idx="0">
                  <c:v>0</c:v>
                </c:pt>
                <c:pt idx="1">
                  <c:v>333.72549019607845</c:v>
                </c:pt>
                <c:pt idx="2">
                  <c:v>834.31372549019613</c:v>
                </c:pt>
                <c:pt idx="3">
                  <c:v>1102.7450980392157</c:v>
                </c:pt>
                <c:pt idx="4">
                  <c:v>1284.1176470588234</c:v>
                </c:pt>
                <c:pt idx="5">
                  <c:v>1385.686274509804</c:v>
                </c:pt>
                <c:pt idx="6">
                  <c:v>1465.4901960784314</c:v>
                </c:pt>
                <c:pt idx="7">
                  <c:v>1538.0392156862745</c:v>
                </c:pt>
                <c:pt idx="8">
                  <c:v>1596.0784313725489</c:v>
                </c:pt>
                <c:pt idx="9">
                  <c:v>1632.3529411764705</c:v>
                </c:pt>
                <c:pt idx="10">
                  <c:v>1675.8823529411766</c:v>
                </c:pt>
                <c:pt idx="11">
                  <c:v>1712.1568627450981</c:v>
                </c:pt>
                <c:pt idx="12">
                  <c:v>1733.9215686274511</c:v>
                </c:pt>
                <c:pt idx="13">
                  <c:v>1777.4509803921569</c:v>
                </c:pt>
                <c:pt idx="14">
                  <c:v>1799.2156862745098</c:v>
                </c:pt>
                <c:pt idx="15">
                  <c:v>1828.2352941176471</c:v>
                </c:pt>
                <c:pt idx="16">
                  <c:v>1850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57-4353-B1E6-B86E7790F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84336"/>
        <c:axId val="151482768"/>
      </c:scatterChart>
      <c:valAx>
        <c:axId val="15148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482768"/>
        <c:crosses val="autoZero"/>
        <c:crossBetween val="midCat"/>
      </c:valAx>
      <c:valAx>
        <c:axId val="15148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484336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9524</xdr:colOff>
      <xdr:row>28</xdr:row>
      <xdr:rowOff>9525</xdr:rowOff>
    </xdr:from>
    <xdr:ext cx="752475" cy="200025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771524" y="136207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latin typeface="Symbol" pitchFamily="18" charset="2"/>
            </a:rPr>
            <a:t>w</a:t>
          </a:r>
          <a:r>
            <a:rPr lang="de-DE" sz="1100" baseline="-25000"/>
            <a:t>1</a:t>
          </a:r>
        </a:p>
      </xdr:txBody>
    </xdr:sp>
    <xdr:clientData/>
  </xdr:oneCellAnchor>
  <xdr:oneCellAnchor>
    <xdr:from>
      <xdr:col>6</xdr:col>
      <xdr:colOff>0</xdr:colOff>
      <xdr:row>29</xdr:row>
      <xdr:rowOff>28575</xdr:rowOff>
    </xdr:from>
    <xdr:ext cx="752475" cy="200025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762000" y="15716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aseline="-25000"/>
            <a:t>2</a:t>
          </a:r>
        </a:p>
      </xdr:txBody>
    </xdr:sp>
    <xdr:clientData/>
  </xdr:oneCellAnchor>
  <xdr:oneCellAnchor>
    <xdr:from>
      <xdr:col>6</xdr:col>
      <xdr:colOff>0</xdr:colOff>
      <xdr:row>30</xdr:row>
      <xdr:rowOff>19050</xdr:rowOff>
    </xdr:from>
    <xdr:ext cx="752475" cy="200025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762000" y="17526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aseline="-25000">
              <a:latin typeface="+mn-lt"/>
            </a:rPr>
            <a:t>3</a:t>
          </a:r>
          <a:endParaRPr lang="de-DE" sz="1100" baseline="-25000"/>
        </a:p>
      </xdr:txBody>
    </xdr:sp>
    <xdr:clientData/>
  </xdr:oneCellAnchor>
  <xdr:oneCellAnchor>
    <xdr:from>
      <xdr:col>0</xdr:col>
      <xdr:colOff>28575</xdr:colOff>
      <xdr:row>28</xdr:row>
      <xdr:rowOff>9525</xdr:rowOff>
    </xdr:from>
    <xdr:ext cx="752475" cy="200025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8575" y="13430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19050</xdr:colOff>
      <xdr:row>29</xdr:row>
      <xdr:rowOff>9525</xdr:rowOff>
    </xdr:from>
    <xdr:ext cx="752475" cy="200025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9050" y="15335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19050</xdr:colOff>
      <xdr:row>30</xdr:row>
      <xdr:rowOff>1258</xdr:rowOff>
    </xdr:from>
    <xdr:ext cx="752475" cy="200025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9050" y="719892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28575</xdr:colOff>
      <xdr:row>11</xdr:row>
      <xdr:rowOff>9525</xdr:rowOff>
    </xdr:from>
    <xdr:ext cx="752475" cy="200025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8575" y="13430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r</a:t>
          </a:r>
          <a:r>
            <a:rPr lang="de-DE" sz="1100" baseline="-25000">
              <a:latin typeface="+mn-lt"/>
            </a:rPr>
            <a:t>b</a:t>
          </a:r>
        </a:p>
        <a:p>
          <a:endParaRPr lang="de-DE" sz="1100" baseline="-25000">
            <a:latin typeface="+mn-lt"/>
          </a:endParaRPr>
        </a:p>
      </xdr:txBody>
    </xdr:sp>
    <xdr:clientData/>
  </xdr:oneCellAnchor>
  <xdr:oneCellAnchor>
    <xdr:from>
      <xdr:col>0</xdr:col>
      <xdr:colOff>19050</xdr:colOff>
      <xdr:row>12</xdr:row>
      <xdr:rowOff>0</xdr:rowOff>
    </xdr:from>
    <xdr:ext cx="752475" cy="200025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9050" y="1524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r</a:t>
          </a:r>
          <a:r>
            <a:rPr lang="de-DE" sz="1100" baseline="-25000">
              <a:latin typeface="+mn-lt"/>
            </a:rPr>
            <a:t>w</a:t>
          </a:r>
        </a:p>
      </xdr:txBody>
    </xdr:sp>
    <xdr:clientData/>
  </xdr:oneCellAnchor>
  <xdr:oneCellAnchor>
    <xdr:from>
      <xdr:col>0</xdr:col>
      <xdr:colOff>85725</xdr:colOff>
      <xdr:row>47</xdr:row>
      <xdr:rowOff>27463</xdr:rowOff>
    </xdr:from>
    <xdr:ext cx="1682782" cy="5675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85725" y="5190013"/>
              <a:ext cx="1682782" cy="567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30" name="Textfeld 29"/>
            <xdr:cNvSpPr txBox="1"/>
          </xdr:nvSpPr>
          <xdr:spPr>
            <a:xfrm>
              <a:off x="85725" y="5190013"/>
              <a:ext cx="1682782" cy="567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(■8(0&amp;−1&amp;0@1&amp;0&amp;0@0&amp;0&amp;−𝑟_𝑏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4</xdr:col>
      <xdr:colOff>428625</xdr:colOff>
      <xdr:row>46</xdr:row>
      <xdr:rowOff>0</xdr:rowOff>
    </xdr:from>
    <xdr:ext cx="361950" cy="937629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952625" y="4972050"/>
          <a:ext cx="361950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5400"/>
        </a:p>
      </xdr:txBody>
    </xdr:sp>
    <xdr:clientData/>
  </xdr:oneCellAnchor>
  <xdr:oneCellAnchor>
    <xdr:from>
      <xdr:col>0</xdr:col>
      <xdr:colOff>0</xdr:colOff>
      <xdr:row>59</xdr:row>
      <xdr:rowOff>189388</xdr:rowOff>
    </xdr:from>
    <xdr:ext cx="3676650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0" y="4780438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r>
                    <a:rPr lang="de-DE" sz="1100" b="0" i="0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33" name="Textfeld 32"/>
            <xdr:cNvSpPr txBox="1"/>
          </xdr:nvSpPr>
          <xdr:spPr>
            <a:xfrm>
              <a:off x="0" y="4780438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√3/2  cos⁡𝜃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−cos⁡𝜃/2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𝑅^𝑇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13</xdr:col>
      <xdr:colOff>9525</xdr:colOff>
      <xdr:row>28</xdr:row>
      <xdr:rowOff>0</xdr:rowOff>
    </xdr:from>
    <xdr:ext cx="752475" cy="200025"/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8391525" y="20955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13</xdr:col>
      <xdr:colOff>0</xdr:colOff>
      <xdr:row>29</xdr:row>
      <xdr:rowOff>0</xdr:rowOff>
    </xdr:from>
    <xdr:ext cx="752475" cy="200025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8382000" y="2286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13</xdr:col>
      <xdr:colOff>0</xdr:colOff>
      <xdr:row>29</xdr:row>
      <xdr:rowOff>171450</xdr:rowOff>
    </xdr:from>
    <xdr:ext cx="752475" cy="200025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382000" y="245745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0</xdr:colOff>
      <xdr:row>39</xdr:row>
      <xdr:rowOff>8986</xdr:rowOff>
    </xdr:from>
    <xdr:ext cx="752475" cy="200025"/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0" y="9336297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q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37</xdr:row>
      <xdr:rowOff>179717</xdr:rowOff>
    </xdr:from>
    <xdr:ext cx="752475" cy="200025"/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912962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q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47625</xdr:colOff>
      <xdr:row>65</xdr:row>
      <xdr:rowOff>46513</xdr:rowOff>
    </xdr:from>
    <xdr:ext cx="3676650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feld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 txBox="1"/>
          </xdr:nvSpPr>
          <xdr:spPr>
            <a:xfrm>
              <a:off x="47625" y="8066563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r>
                    <a:rPr lang="de-DE" sz="1100" b="0" i="0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62" name="Textfeld 61"/>
            <xdr:cNvSpPr txBox="1"/>
          </xdr:nvSpPr>
          <xdr:spPr>
            <a:xfrm>
              <a:off x="47625" y="8066563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√3/2  cos⁡𝜃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−cos⁡𝜃/2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𝑅^𝑇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 (■8(0&amp;−1&amp;0@1&amp;0&amp;0@0&amp;0&amp;−𝑟_𝑏 ))  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11</xdr:col>
      <xdr:colOff>742853</xdr:colOff>
      <xdr:row>53</xdr:row>
      <xdr:rowOff>151288</xdr:rowOff>
    </xdr:from>
    <xdr:ext cx="1044608" cy="278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feld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 txBox="1"/>
          </xdr:nvSpPr>
          <xdr:spPr>
            <a:xfrm>
              <a:off x="9513042" y="12147396"/>
              <a:ext cx="1044608" cy="278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𝑥𝑦</m:t>
                            </m:r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</m:sub>
                        </m:s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𝑇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4" name="Textfeld 63"/>
            <xdr:cNvSpPr txBox="1"/>
          </xdr:nvSpPr>
          <xdr:spPr>
            <a:xfrm>
              <a:off x="9513042" y="12147396"/>
              <a:ext cx="1044608" cy="278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〖(𝑅〗_(𝑥𝑦 ))〗^</a:t>
              </a:r>
              <a:r>
                <a:rPr lang="de-DE" sz="1100" b="0" i="0">
                  <a:latin typeface="Cambria Math"/>
                </a:rPr>
                <a:t>𝑇=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73</xdr:row>
      <xdr:rowOff>104775</xdr:rowOff>
    </xdr:from>
    <xdr:ext cx="2352675" cy="60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feld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SpPr txBox="1"/>
          </xdr:nvSpPr>
          <xdr:spPr>
            <a:xfrm>
              <a:off x="171450" y="9648825"/>
              <a:ext cx="2352675" cy="60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/>
                  </m:sSup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65" name="Textfeld 64"/>
            <xdr:cNvSpPr txBox="1"/>
          </xdr:nvSpPr>
          <xdr:spPr>
            <a:xfrm>
              <a:off x="171450" y="9648825"/>
              <a:ext cx="2352675" cy="60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78</xdr:row>
      <xdr:rowOff>57150</xdr:rowOff>
    </xdr:from>
    <xdr:ext cx="4259292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feld 67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 txBox="1"/>
          </xdr:nvSpPr>
          <xdr:spPr>
            <a:xfrm>
              <a:off x="0" y="16770829"/>
              <a:ext cx="4259292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/>
                  </m:sSup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 ∗−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/>
                        </a:rPr>
                        <m:t>𝑟</m:t>
                      </m:r>
                    </m:e>
                    <m:sub>
                      <m:r>
                        <a:rPr lang="de-DE" sz="1100" b="0" i="1">
                          <a:latin typeface="Cambria Math"/>
                        </a:rPr>
                        <m:t>𝑤</m:t>
                      </m:r>
                    </m:sub>
                  </m:sSub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68" name="Textfeld 67"/>
            <xdr:cNvSpPr txBox="1"/>
          </xdr:nvSpPr>
          <xdr:spPr>
            <a:xfrm>
              <a:off x="0" y="16770829"/>
              <a:ext cx="4259292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■8(0&amp;cos⁡𝜃&amp;−sin⁡𝜃@−√3/2  cos⁡𝜃&amp;−cos⁡𝜃/2&amp;−sin⁡𝜃@√3/2  cos⁡𝜃&amp;−cos⁡𝜃/2&amp;−sin⁡𝜃 ))^(</a:t>
              </a:r>
              <a:r>
                <a:rPr lang="de-DE" sz="1100" b="0" i="0">
                  <a:latin typeface="Cambria Math"/>
                </a:rPr>
                <a:t>−1)  ∗−𝑟_𝑤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  <xdr:oneCellAnchor>
    <xdr:from>
      <xdr:col>0</xdr:col>
      <xdr:colOff>85724</xdr:colOff>
      <xdr:row>2</xdr:row>
      <xdr:rowOff>160813</xdr:rowOff>
    </xdr:from>
    <xdr:ext cx="4791075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feld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 txBox="1"/>
          </xdr:nvSpPr>
          <xdr:spPr>
            <a:xfrm>
              <a:off x="85724" y="160813"/>
              <a:ext cx="479107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3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=</m:t>
                  </m:r>
                  <m:r>
                    <a:rPr lang="de-DE" sz="1100" b="0" i="1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d>
                    <m:dPr>
                      <m:begChr m:val="["/>
                      <m:endChr m:val="]"/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𝑏𝑧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51" name="Textfeld 50"/>
            <xdr:cNvSpPr txBox="1"/>
          </xdr:nvSpPr>
          <xdr:spPr>
            <a:xfrm>
              <a:off x="85724" y="160813"/>
              <a:ext cx="479107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[■8(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𝑤1@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𝑤2@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𝑤3 )]=−1/𝑟_𝑤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−sin⁡𝜃@√3/2  cos⁡𝜃&amp;−cos⁡𝜃/2&amp;−sin⁡𝜃 )) 𝑅^𝑇 </a:t>
              </a:r>
              <a:r>
                <a:rPr lang="de-DE" sz="1100" b="0" i="0">
                  <a:latin typeface="Cambria Math"/>
                </a:rPr>
                <a:t> (■8(0&amp;−1&amp;0@1&amp;0&amp;0@0&amp;0&amp;−𝑟_𝑏 ))[■8(𝑣_𝑥@𝑣_𝑦@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𝑏𝑧 )]  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7</xdr:col>
      <xdr:colOff>19050</xdr:colOff>
      <xdr:row>3</xdr:row>
      <xdr:rowOff>9525</xdr:rowOff>
    </xdr:from>
    <xdr:ext cx="5067300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feld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 txBox="1"/>
          </xdr:nvSpPr>
          <xdr:spPr>
            <a:xfrm>
              <a:off x="5353050" y="200025"/>
              <a:ext cx="5067300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 </m:t>
                      </m:r>
                    </m:sup>
                  </m:sSup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d>
                    <m:dPr>
                      <m:begChr m:val="["/>
                      <m:endChr m:val="]"/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de-DE" sz="1100" b="0" i="1">
                          <a:latin typeface="Cambria Math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e>
                  </m:d>
                  <m:r>
                    <a:rPr lang="de-DE" sz="1100" b="0" i="1">
                      <a:latin typeface="Cambria Math"/>
                    </a:rPr>
                    <m:t>= </m:t>
                  </m:r>
                </m:oMath>
              </a14:m>
              <a:r>
                <a:rPr lang="de-DE" sz="1100"/>
                <a:t>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𝑏𝑧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de-DE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de-DE" sz="1100"/>
            </a:p>
          </xdr:txBody>
        </xdr:sp>
      </mc:Choice>
      <mc:Fallback xmlns="">
        <xdr:sp macro="" textlink="">
          <xdr:nvSpPr>
            <xdr:cNvPr id="52" name="Textfeld 51"/>
            <xdr:cNvSpPr txBox="1"/>
          </xdr:nvSpPr>
          <xdr:spPr>
            <a:xfrm>
              <a:off x="5353050" y="200025"/>
              <a:ext cx="5067300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 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■8(0&amp;cos⁡𝜃&amp;−sin⁡𝜃@−√3/2  cos⁡𝜃&amp;−cos⁡𝜃/2&amp;−sin⁡𝜃@√3/2  cos⁡𝜃&amp;−cos⁡𝜃/2&amp;−sin⁡𝜃 ))^(</a:t>
              </a:r>
              <a:r>
                <a:rPr lang="de-DE" sz="1100" b="0" i="0">
                  <a:latin typeface="Cambria Math"/>
                </a:rPr>
                <a:t>−1)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[■8(𝜔_𝑤1@𝜔_𝑤2@𝜔_𝑤3 )](</a:t>
              </a:r>
              <a:r>
                <a:rPr lang="de-DE" sz="1100" b="0" i="0">
                  <a:latin typeface="Cambria Math"/>
                </a:rPr>
                <a:t>−𝑟_𝑤 )= </a:t>
              </a:r>
              <a:r>
                <a:rPr lang="de-DE" sz="1100"/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[■8(𝑣_𝑥@𝑣_𝑦@𝜔_𝑏𝑧 )]  </a:t>
              </a:r>
              <a:r>
                <a:rPr lang="de-DE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9525</xdr:colOff>
      <xdr:row>52</xdr:row>
      <xdr:rowOff>113188</xdr:rowOff>
    </xdr:from>
    <xdr:ext cx="6359559" cy="7159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9525" y="6037738"/>
              <a:ext cx="6359559" cy="715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𝑥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 ∗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𝑦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  <m:r>
                      <a:rPr lang="de-DE" sz="1100" b="0" i="1">
                        <a:latin typeface="Cambria Math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 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  <m:r>
                      <a:rPr lang="de-DE" sz="1100" b="0" i="1">
                        <a:latin typeface="Cambria Math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𝑥</m:t>
                                          </m:r>
                                        </m:sub>
                                      </m:sSub>
                                    </m:e>
                                  </m:func>
                                </m:fName>
                                <m: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" name="Textfeld 6"/>
            <xdr:cNvSpPr txBox="1"/>
          </xdr:nvSpPr>
          <xdr:spPr>
            <a:xfrm>
              <a:off x="9525" y="6037738"/>
              <a:ext cx="6359559" cy="715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𝑥  ∗𝑅_𝑦=[■8(1&amp;0&amp;0@0&amp;cos⁡〖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𝑥 〗&amp;−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latin typeface="Cambria Math"/>
                </a:rPr>
                <a:t>0&amp;sin⁡〖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𝜑_𝑥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 </a:t>
              </a:r>
              <a:r>
                <a:rPr lang="de-DE" sz="1100" b="0" i="0">
                  <a:latin typeface="Cambria Math"/>
                </a:rPr>
                <a:t> [■8(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𝑦 〗@0&amp;1&amp;0@− 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𝜑_𝑦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r>
                <a:rPr lang="de-DE" sz="1100" b="0" i="0">
                  <a:latin typeface="Cambria Math"/>
                </a:rPr>
                <a:t>= [■8(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 sin⁡〖𝜑_𝑦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〖−sin⁡〖𝜑_𝑥 〗〗⁡cos⁡〖𝜑_𝑦 〗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cos〗⁡〖𝜑_𝑥  sin⁡〖𝜑_𝑦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  cos⁡〖𝜑_𝑦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54</xdr:row>
      <xdr:rowOff>0</xdr:rowOff>
    </xdr:from>
    <xdr:ext cx="1044608" cy="2752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feld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SpPr txBox="1"/>
          </xdr:nvSpPr>
          <xdr:spPr>
            <a:xfrm>
              <a:off x="6200775" y="6305550"/>
              <a:ext cx="1044608" cy="275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𝑥𝑦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1" name="Textfeld 70"/>
            <xdr:cNvSpPr txBox="1"/>
          </xdr:nvSpPr>
          <xdr:spPr>
            <a:xfrm>
              <a:off x="6200775" y="6305550"/>
              <a:ext cx="1044608" cy="275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𝑅_(𝑥𝑦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</a:t>
              </a:r>
              <a:r>
                <a:rPr lang="de-DE" sz="1100" b="0" i="0">
                  <a:latin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</xdr:col>
      <xdr:colOff>186372</xdr:colOff>
      <xdr:row>41</xdr:row>
      <xdr:rowOff>95788</xdr:rowOff>
    </xdr:from>
    <xdr:ext cx="3057525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feld 71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 txBox="1"/>
          </xdr:nvSpPr>
          <xdr:spPr>
            <a:xfrm>
              <a:off x="948372" y="9917121"/>
              <a:ext cx="305752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−</m:t>
                  </m:r>
                  <m:f>
                    <m:f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72" name="Textfeld 71"/>
            <xdr:cNvSpPr txBox="1"/>
          </xdr:nvSpPr>
          <xdr:spPr>
            <a:xfrm>
              <a:off x="948372" y="9917121"/>
              <a:ext cx="305752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−1/𝑟_𝑤   (■8(0&amp;cos⁡𝜃&amp;−sin⁡𝜃@−√3/2  cos⁡𝜃&amp;−cos⁡𝜃/2&amp;−sin⁡𝜃@√3/2  cos⁡𝜃&amp;−cos⁡𝜃/2&amp;−sin⁡𝜃 )) </a:t>
              </a:r>
              <a:r>
                <a:rPr lang="de-DE" sz="1100" b="0" i="0">
                  <a:latin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390525</xdr:colOff>
      <xdr:row>41</xdr:row>
      <xdr:rowOff>85725</xdr:rowOff>
    </xdr:from>
    <xdr:ext cx="3057525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feld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SpPr txBox="1"/>
          </xdr:nvSpPr>
          <xdr:spPr>
            <a:xfrm>
              <a:off x="7439025" y="4086225"/>
              <a:ext cx="3057525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𝑤</m:t>
                          </m:r>
                        </m:sub>
                      </m:s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  <m:r>
                        <a:rPr lang="de-DE" sz="1100" b="0" i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=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73" name="Textfeld 72"/>
            <xdr:cNvSpPr txBox="1"/>
          </xdr:nvSpPr>
          <xdr:spPr>
            <a:xfrm>
              <a:off x="7439025" y="4086225"/>
              <a:ext cx="3057525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𝑟_𝑤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(■8(0&amp;cos⁡𝜃&amp;−sin⁡𝜃@−√3/2  cos⁡𝜃&amp;−cos⁡𝜃/2&amp;−sin⁡𝜃@√3/2  cos⁡𝜃&amp;−cos⁡𝜃/2&amp;−sin⁡𝜃 ))  〗^(</a:t>
              </a:r>
              <a:r>
                <a:rPr lang="de-DE" sz="1100" b="0" i="0">
                  <a:latin typeface="Cambria Math"/>
                </a:rPr>
                <a:t>−1)=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10</xdr:col>
      <xdr:colOff>50767</xdr:colOff>
      <xdr:row>47</xdr:row>
      <xdr:rowOff>46513</xdr:rowOff>
    </xdr:from>
    <xdr:ext cx="2416207" cy="601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7870792" y="5209063"/>
              <a:ext cx="2416207" cy="601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de-DE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3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de-DE" sz="110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−1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sub>
                                  </m:sSub>
                                </m:e>
                              </m:mr>
                            </m:m>
                          </m:e>
                        </m:d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−1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7870792" y="5209063"/>
              <a:ext cx="2416207" cy="601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latin typeface="Cambria Math"/>
                </a:rPr>
                <a:t>[■8(</a:t>
              </a:r>
              <a:r>
                <a:rPr lang="de-DE" sz="1100" b="0" i="0">
                  <a:latin typeface="Cambria Math"/>
                </a:rPr>
                <a:t>0&amp;−1&amp;0@1&amp;0&amp;0@0&amp;0&amp;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−𝑟_𝑏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)]^(</a:t>
              </a:r>
              <a:r>
                <a:rPr lang="de-DE" sz="1100" b="0" i="0">
                  <a:latin typeface="Cambria Math"/>
                </a:rPr>
                <a:t>−1)=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5</xdr:col>
      <xdr:colOff>690563</xdr:colOff>
      <xdr:row>8</xdr:row>
      <xdr:rowOff>95250</xdr:rowOff>
    </xdr:from>
    <xdr:to>
      <xdr:col>9</xdr:col>
      <xdr:colOff>407193</xdr:colOff>
      <xdr:row>20</xdr:row>
      <xdr:rowOff>26194</xdr:rowOff>
    </xdr:to>
    <xdr:grpSp>
      <xdr:nvGrpSpPr>
        <xdr:cNvPr id="49" name="Gruppieren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4872038" y="1543050"/>
          <a:ext cx="3069430" cy="2121694"/>
          <a:chOff x="251520" y="764704"/>
          <a:chExt cx="6192688" cy="5088580"/>
        </a:xfrm>
      </xdr:grpSpPr>
      <xdr:sp macro="" textlink="">
        <xdr:nvSpPr>
          <xdr:cNvPr id="50" name="Rechteck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251520" y="764704"/>
            <a:ext cx="6192688" cy="508858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3" name="Freihandform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77075" y="4250913"/>
            <a:ext cx="5591102" cy="1493753"/>
          </a:xfrm>
          <a:custGeom>
            <a:avLst/>
            <a:gdLst>
              <a:gd name="connsiteX0" fmla="*/ 0 w 5591102"/>
              <a:gd name="connsiteY0" fmla="*/ 886479 h 1493753"/>
              <a:gd name="connsiteX1" fmla="*/ 3343493 w 5591102"/>
              <a:gd name="connsiteY1" fmla="*/ 1493753 h 1493753"/>
              <a:gd name="connsiteX2" fmla="*/ 5591102 w 5591102"/>
              <a:gd name="connsiteY2" fmla="*/ 593313 h 1493753"/>
              <a:gd name="connsiteX3" fmla="*/ 2247609 w 5591102"/>
              <a:gd name="connsiteY3" fmla="*/ 0 h 1493753"/>
              <a:gd name="connsiteX4" fmla="*/ 0 w 5591102"/>
              <a:gd name="connsiteY4" fmla="*/ 886479 h 14937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591102" h="1493753">
                <a:moveTo>
                  <a:pt x="0" y="886479"/>
                </a:moveTo>
                <a:lnTo>
                  <a:pt x="3343493" y="1493753"/>
                </a:lnTo>
                <a:lnTo>
                  <a:pt x="5591102" y="593313"/>
                </a:lnTo>
                <a:lnTo>
                  <a:pt x="2247609" y="0"/>
                </a:lnTo>
                <a:lnTo>
                  <a:pt x="0" y="886479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4" name="Ellipse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247252" y="1459025"/>
            <a:ext cx="2453537" cy="2417405"/>
          </a:xfrm>
          <a:prstGeom prst="ellipse">
            <a:avLst/>
          </a:prstGeom>
          <a:gradFill flip="none" rotWithShape="1">
            <a:gsLst>
              <a:gs pos="0">
                <a:srgbClr val="FFDA3F">
                  <a:shade val="30000"/>
                  <a:satMod val="115000"/>
                </a:srgbClr>
              </a:gs>
              <a:gs pos="50000">
                <a:srgbClr val="FFDA3F">
                  <a:shade val="67500"/>
                  <a:satMod val="115000"/>
                </a:srgbClr>
              </a:gs>
              <a:gs pos="100000">
                <a:srgbClr val="FFDA3F">
                  <a:shade val="100000"/>
                  <a:satMod val="115000"/>
                </a:srgbClr>
              </a:gs>
            </a:gsLst>
            <a:path path="circle">
              <a:fillToRect l="100000" b="100000"/>
            </a:path>
            <a:tileRect t="-100000" r="-10000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5" name="Ellipse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2247252" y="2343955"/>
            <a:ext cx="2453537" cy="632505"/>
          </a:xfrm>
          <a:prstGeom prst="ellipse">
            <a:avLst/>
          </a:prstGeom>
          <a:noFill/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63" name="Gerade Verbindung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2489200" y="2481385"/>
            <a:ext cx="2010792" cy="37155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Gerade Verbindung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CxnSpPr/>
        </xdr:nvCxnSpPr>
        <xdr:spPr>
          <a:xfrm flipH="1">
            <a:off x="2821355" y="2399323"/>
            <a:ext cx="1336431" cy="531446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Gerade Verbindung mit Pfeil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/>
        </xdr:nvCxnSpPr>
        <xdr:spPr>
          <a:xfrm flipH="1" flipV="1">
            <a:off x="3032369" y="1762369"/>
            <a:ext cx="457200" cy="8978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Textfeld 12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 txBox="1"/>
        </xdr:nvSpPr>
        <xdr:spPr>
          <a:xfrm>
            <a:off x="2771800" y="1907540"/>
            <a:ext cx="429926" cy="6404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w</a:t>
            </a:r>
            <a:r>
              <a:rPr lang="de-DE" sz="600" baseline="-25000"/>
              <a:t>b</a:t>
            </a:r>
          </a:p>
        </xdr:txBody>
      </xdr:sp>
      <xdr:cxnSp macro="">
        <xdr:nvCxnSpPr>
          <xdr:cNvPr id="81" name="Gerade Verbindung mit Pfeil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CxnSpPr/>
        </xdr:nvCxnSpPr>
        <xdr:spPr>
          <a:xfrm>
            <a:off x="3489569" y="2665047"/>
            <a:ext cx="347785" cy="10863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Ellipse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 rot="2714753">
            <a:off x="3385454" y="3791172"/>
            <a:ext cx="1256282" cy="1058291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83" name="Gerade Verbindung mit Pfeil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CxnSpPr/>
        </xdr:nvCxnSpPr>
        <xdr:spPr>
          <a:xfrm flipH="1" flipV="1">
            <a:off x="3837355" y="3751385"/>
            <a:ext cx="176241" cy="568932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Gerade Verbindung mit Pfeil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 flipH="1">
            <a:off x="3302000" y="3751385"/>
            <a:ext cx="535354" cy="703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Gerade Verbindung mit Pfeil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CxnSpPr/>
        </xdr:nvCxnSpPr>
        <xdr:spPr>
          <a:xfrm flipV="1">
            <a:off x="3837354" y="3573017"/>
            <a:ext cx="374606" cy="178369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Textfeld 29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 txBox="1"/>
        </xdr:nvSpPr>
        <xdr:spPr>
          <a:xfrm>
            <a:off x="3663461" y="2976461"/>
            <a:ext cx="344965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r</a:t>
            </a:r>
            <a:r>
              <a:rPr lang="de-DE" sz="600" baseline="-25000"/>
              <a:t>b</a:t>
            </a:r>
          </a:p>
        </xdr:txBody>
      </xdr:sp>
      <xdr:sp macro="" textlink="">
        <xdr:nvSpPr>
          <xdr:cNvPr id="87" name="Textfeld 30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3342000" y="3452390"/>
            <a:ext cx="400815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v</a:t>
            </a:r>
            <a:r>
              <a:rPr lang="de-DE" sz="600" baseline="-25000"/>
              <a:t>w</a:t>
            </a:r>
          </a:p>
        </xdr:txBody>
      </xdr:sp>
      <xdr:sp macro="" textlink="">
        <xdr:nvSpPr>
          <xdr:cNvPr id="88" name="Textfeld 31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 txBox="1"/>
        </xdr:nvSpPr>
        <xdr:spPr>
          <a:xfrm>
            <a:off x="3816225" y="3351598"/>
            <a:ext cx="369012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v</a:t>
            </a:r>
            <a:r>
              <a:rPr lang="de-DE" sz="600" baseline="-25000"/>
              <a:t>b</a:t>
            </a:r>
          </a:p>
        </xdr:txBody>
      </xdr:sp>
      <xdr:sp macro="" textlink="">
        <xdr:nvSpPr>
          <xdr:cNvPr id="89" name="Textfeld 32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4139953" y="3968227"/>
            <a:ext cx="460381" cy="6411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v</a:t>
            </a:r>
            <a:r>
              <a:rPr lang="de-DE" sz="600" baseline="-25000">
                <a:latin typeface="Symbol" pitchFamily="18" charset="2"/>
              </a:rPr>
              <a:t>w</a:t>
            </a:r>
          </a:p>
        </xdr:txBody>
      </xdr:sp>
      <xdr:cxnSp macro="">
        <xdr:nvCxnSpPr>
          <xdr:cNvPr id="90" name="Gerade Verbindung mit Pfeil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CxnSpPr/>
        </xdr:nvCxnSpPr>
        <xdr:spPr>
          <a:xfrm flipV="1">
            <a:off x="4017108" y="4035851"/>
            <a:ext cx="194852" cy="293872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Bogen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 rot="21036645">
            <a:off x="3995936" y="4077072"/>
            <a:ext cx="267677" cy="209872"/>
          </a:xfrm>
          <a:prstGeom prst="arc">
            <a:avLst>
              <a:gd name="adj1" fmla="val 4624435"/>
              <a:gd name="adj2" fmla="val 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92" name="Gerade Verbindung mit Pfeil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/>
        </xdr:nvCxnSpPr>
        <xdr:spPr>
          <a:xfrm flipV="1">
            <a:off x="3485662" y="4307374"/>
            <a:ext cx="538995" cy="698381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Gerade Verbindung mit Pfeil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CxnSpPr/>
        </xdr:nvCxnSpPr>
        <xdr:spPr>
          <a:xfrm flipH="1" flipV="1">
            <a:off x="2301631" y="4009293"/>
            <a:ext cx="1187938" cy="1003885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Gerade Verbindung mit Pfeil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CxnSpPr/>
        </xdr:nvCxnSpPr>
        <xdr:spPr>
          <a:xfrm flipV="1">
            <a:off x="3489569" y="3751386"/>
            <a:ext cx="668216" cy="1254369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Gerade Verbindung mit Pfeil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CxnSpPr/>
        </xdr:nvCxnSpPr>
        <xdr:spPr>
          <a:xfrm flipV="1">
            <a:off x="4013595" y="4310185"/>
            <a:ext cx="7420" cy="991024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Gerade Verbindung mit Pfeil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CxnSpPr/>
        </xdr:nvCxnSpPr>
        <xdr:spPr>
          <a:xfrm flipH="1" flipV="1">
            <a:off x="3494598" y="5005756"/>
            <a:ext cx="522511" cy="295453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Gerade Verbindung mit Pfeil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CxnSpPr/>
        </xdr:nvCxnSpPr>
        <xdr:spPr>
          <a:xfrm>
            <a:off x="2301631" y="4966677"/>
            <a:ext cx="1187938" cy="39078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Gerade Verbindung mit Pfeil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CxnSpPr/>
        </xdr:nvCxnSpPr>
        <xdr:spPr>
          <a:xfrm>
            <a:off x="2301631" y="4009292"/>
            <a:ext cx="0" cy="957385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Textfeld 60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 txBox="1"/>
        </xdr:nvSpPr>
        <xdr:spPr>
          <a:xfrm>
            <a:off x="2965384" y="5147901"/>
            <a:ext cx="869196" cy="42599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120°</a:t>
            </a:r>
            <a:endParaRPr lang="de-DE" sz="600" baseline="-25000">
              <a:latin typeface="Symbol" pitchFamily="18" charset="2"/>
            </a:endParaRPr>
          </a:p>
        </xdr:txBody>
      </xdr:sp>
      <xdr:sp macro="" textlink="">
        <xdr:nvSpPr>
          <xdr:cNvPr id="100" name="Textfeld 61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 txBox="1"/>
        </xdr:nvSpPr>
        <xdr:spPr>
          <a:xfrm>
            <a:off x="2209793" y="4643844"/>
            <a:ext cx="1024160" cy="42599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Q = 40°</a:t>
            </a:r>
            <a:endParaRPr lang="de-DE" sz="600" baseline="-25000">
              <a:latin typeface="Symbol" pitchFamily="18" charset="2"/>
            </a:endParaRPr>
          </a:p>
        </xdr:txBody>
      </xdr:sp>
      <xdr:sp macro="" textlink="">
        <xdr:nvSpPr>
          <xdr:cNvPr id="101" name="Bogen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2977830" y="4656563"/>
            <a:ext cx="491816" cy="644645"/>
          </a:xfrm>
          <a:prstGeom prst="arc">
            <a:avLst>
              <a:gd name="adj1" fmla="val 10705406"/>
              <a:gd name="adj2" fmla="val 14796596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2" name="Bogen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 rot="16200000">
            <a:off x="3356186" y="4455210"/>
            <a:ext cx="332877" cy="1065113"/>
          </a:xfrm>
          <a:prstGeom prst="arc">
            <a:avLst>
              <a:gd name="adj1" fmla="val 7502242"/>
              <a:gd name="adj2" fmla="val 16172244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3" name="Ellipse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 rot="7773391">
            <a:off x="1663699" y="3923421"/>
            <a:ext cx="1322489" cy="174118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4" name="Ellipse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 rot="7125839">
            <a:off x="3871269" y="3126034"/>
            <a:ext cx="552403" cy="1279590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</xdr:grpSp>
    <xdr:clientData/>
  </xdr:twoCellAnchor>
  <xdr:oneCellAnchor>
    <xdr:from>
      <xdr:col>0</xdr:col>
      <xdr:colOff>14144</xdr:colOff>
      <xdr:row>17</xdr:row>
      <xdr:rowOff>6313</xdr:rowOff>
    </xdr:from>
    <xdr:ext cx="752475" cy="200025"/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14144" y="5101289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15</xdr:row>
      <xdr:rowOff>179717</xdr:rowOff>
    </xdr:from>
    <xdr:ext cx="752475" cy="200025"/>
    <xdr:sp macro="" textlink="">
      <xdr:nvSpPr>
        <xdr:cNvPr id="108" name="Textfeld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0" y="4897288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14144</xdr:colOff>
      <xdr:row>19</xdr:row>
      <xdr:rowOff>15305</xdr:rowOff>
    </xdr:from>
    <xdr:ext cx="752475" cy="200025"/>
    <xdr:sp macro="" textlink="">
      <xdr:nvSpPr>
        <xdr:cNvPr id="111" name="Textfeld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4144" y="549667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18</xdr:row>
      <xdr:rowOff>7</xdr:rowOff>
    </xdr:from>
    <xdr:ext cx="752475" cy="200025"/>
    <xdr:sp macro="" textlink="">
      <xdr:nvSpPr>
        <xdr:cNvPr id="112" name="Textfeld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0" y="5301658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14144</xdr:colOff>
      <xdr:row>34</xdr:row>
      <xdr:rowOff>15334</xdr:rowOff>
    </xdr:from>
    <xdr:ext cx="752475" cy="200025"/>
    <xdr:sp macro="" textlink="">
      <xdr:nvSpPr>
        <xdr:cNvPr id="114" name="Textfeld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14144" y="7230971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33</xdr:row>
      <xdr:rowOff>36</xdr:rowOff>
    </xdr:from>
    <xdr:ext cx="752475" cy="200025"/>
    <xdr:sp macro="" textlink="">
      <xdr:nvSpPr>
        <xdr:cNvPr id="115" name="Textfeld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0" y="702697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19</xdr:row>
      <xdr:rowOff>186372</xdr:rowOff>
    </xdr:from>
    <xdr:ext cx="752475" cy="200025"/>
    <xdr:sp macro="" textlink="">
      <xdr:nvSpPr>
        <xdr:cNvPr id="116" name="Textfeld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0" y="566774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14144</xdr:colOff>
      <xdr:row>25</xdr:row>
      <xdr:rowOff>24307</xdr:rowOff>
    </xdr:from>
    <xdr:ext cx="752475" cy="200025"/>
    <xdr:sp macro="" textlink="">
      <xdr:nvSpPr>
        <xdr:cNvPr id="119" name="Textfeld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14144" y="645817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imu-y</a:t>
          </a:r>
        </a:p>
      </xdr:txBody>
    </xdr:sp>
    <xdr:clientData/>
  </xdr:oneCellAnchor>
  <xdr:oneCellAnchor>
    <xdr:from>
      <xdr:col>0</xdr:col>
      <xdr:colOff>0</xdr:colOff>
      <xdr:row>24</xdr:row>
      <xdr:rowOff>9009</xdr:rowOff>
    </xdr:from>
    <xdr:ext cx="752475" cy="200025"/>
    <xdr:sp macro="" textlink="">
      <xdr:nvSpPr>
        <xdr:cNvPr id="120" name="Textfeld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0" y="6254174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imu-x</a:t>
          </a:r>
        </a:p>
      </xdr:txBody>
    </xdr:sp>
    <xdr:clientData/>
  </xdr:oneCellAnchor>
  <xdr:oneCellAnchor>
    <xdr:from>
      <xdr:col>0</xdr:col>
      <xdr:colOff>1</xdr:colOff>
      <xdr:row>86</xdr:row>
      <xdr:rowOff>0</xdr:rowOff>
    </xdr:from>
    <xdr:ext cx="2390236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feld 109">
              <a:extLst>
                <a:ext uri="{FF2B5EF4-FFF2-40B4-BE49-F238E27FC236}">
                  <a16:creationId xmlns:a16="http://schemas.microsoft.com/office/drawing/2014/main" id="{00000000-0008-0000-0000-00006E000000}"/>
                </a:ext>
              </a:extLst>
            </xdr:cNvPr>
            <xdr:cNvSpPr txBox="1"/>
          </xdr:nvSpPr>
          <xdr:spPr>
            <a:xfrm>
              <a:off x="1" y="18223302"/>
              <a:ext cx="2390236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𝑝𝑜𝑠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𝑚𝑎𝑝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𝑝𝑜𝑠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𝑚𝑎𝑝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∗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110" name="Textfeld 109"/>
            <xdr:cNvSpPr txBox="1"/>
          </xdr:nvSpPr>
          <xdr:spPr>
            <a:xfrm>
              <a:off x="1" y="18223302"/>
              <a:ext cx="2390236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■8(∆〖𝑝𝑜𝑠〗_(𝑚𝑎𝑝 𝑥)@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∆〖𝑝𝑜𝑠〗_(𝑚𝑎𝑝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de-DE" sz="1100" b="0" i="0">
                  <a:latin typeface="Cambria Math"/>
                </a:rPr>
                <a:t>∗(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■8(cos⁡𝜃&amp;−sin⁡𝜃@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cos⁡𝜃 )) </a:t>
              </a:r>
              <a:r>
                <a:rPr lang="de-DE" sz="1100" b="0" i="0">
                  <a:latin typeface="Cambria Math"/>
                </a:rPr>
                <a:t> 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11</xdr:row>
      <xdr:rowOff>95250</xdr:rowOff>
    </xdr:from>
    <xdr:to>
      <xdr:col>11</xdr:col>
      <xdr:colOff>390525</xdr:colOff>
      <xdr:row>25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94"/>
  <sheetViews>
    <sheetView tabSelected="1" topLeftCell="A10" zoomScaleNormal="100" workbookViewId="0">
      <selection activeCell="B14" sqref="B14"/>
    </sheetView>
  </sheetViews>
  <sheetFormatPr baseColWidth="10" defaultRowHeight="14.25" x14ac:dyDescent="0.45"/>
  <cols>
    <col min="2" max="2" width="13" bestFit="1" customWidth="1"/>
    <col min="4" max="4" width="13.53125" customWidth="1"/>
    <col min="8" max="8" width="13" customWidth="1"/>
    <col min="9" max="9" width="12.59765625" bestFit="1" customWidth="1"/>
    <col min="10" max="10" width="11.53125" bestFit="1" customWidth="1"/>
    <col min="11" max="11" width="12.59765625" bestFit="1" customWidth="1"/>
    <col min="12" max="12" width="14.59765625" bestFit="1" customWidth="1"/>
    <col min="13" max="13" width="12" bestFit="1" customWidth="1"/>
    <col min="14" max="14" width="11.59765625" bestFit="1" customWidth="1"/>
    <col min="15" max="16" width="12.59765625" bestFit="1" customWidth="1"/>
  </cols>
  <sheetData>
    <row r="3" spans="1:8" x14ac:dyDescent="0.45">
      <c r="A3" s="8" t="s">
        <v>15</v>
      </c>
      <c r="H3" s="8" t="s">
        <v>11</v>
      </c>
    </row>
    <row r="11" spans="1:8" ht="14.65" x14ac:dyDescent="0.45">
      <c r="A11" s="1" t="s">
        <v>0</v>
      </c>
      <c r="B11" s="2">
        <v>45</v>
      </c>
      <c r="C11" s="9" t="s">
        <v>1</v>
      </c>
    </row>
    <row r="12" spans="1:8" ht="14.65" x14ac:dyDescent="0.45">
      <c r="A12" s="1"/>
      <c r="B12" s="75">
        <v>0.09</v>
      </c>
      <c r="C12" s="9" t="s">
        <v>6</v>
      </c>
    </row>
    <row r="13" spans="1:8" ht="14.65" x14ac:dyDescent="0.45">
      <c r="A13" s="1"/>
      <c r="B13" s="75">
        <v>3.5000000000000003E-2</v>
      </c>
      <c r="C13" s="9" t="s">
        <v>7</v>
      </c>
    </row>
    <row r="14" spans="1:8" x14ac:dyDescent="0.45">
      <c r="A14" s="41" t="s">
        <v>18</v>
      </c>
      <c r="B14" s="78">
        <f>0.004</f>
        <v>4.0000000000000001E-3</v>
      </c>
      <c r="C14" s="9" t="s">
        <v>19</v>
      </c>
    </row>
    <row r="15" spans="1:8" ht="14.65" thickBot="1" x14ac:dyDescent="0.5"/>
    <row r="16" spans="1:8" x14ac:dyDescent="0.45">
      <c r="A16" s="16" t="s">
        <v>26</v>
      </c>
      <c r="B16" s="17"/>
      <c r="C16" s="17"/>
      <c r="D16" s="18"/>
    </row>
    <row r="17" spans="1:15" x14ac:dyDescent="0.45">
      <c r="A17" s="19"/>
      <c r="B17" s="39">
        <v>1000</v>
      </c>
      <c r="C17" s="21" t="s">
        <v>16</v>
      </c>
      <c r="D17" s="22"/>
      <c r="F17" s="14"/>
      <c r="G17" s="7"/>
      <c r="H17" s="14"/>
      <c r="I17" s="7"/>
    </row>
    <row r="18" spans="1:15" x14ac:dyDescent="0.45">
      <c r="A18" s="19"/>
      <c r="B18" s="39">
        <v>1000</v>
      </c>
      <c r="C18" s="21" t="s">
        <v>17</v>
      </c>
      <c r="D18" s="22"/>
    </row>
    <row r="19" spans="1:15" x14ac:dyDescent="0.45">
      <c r="A19" s="19"/>
      <c r="B19" s="39">
        <v>50</v>
      </c>
      <c r="C19" s="21" t="s">
        <v>20</v>
      </c>
      <c r="D19" s="22"/>
    </row>
    <row r="20" spans="1:15" x14ac:dyDescent="0.45">
      <c r="A20" s="19"/>
      <c r="B20" s="39">
        <v>0</v>
      </c>
      <c r="C20" s="21" t="s">
        <v>21</v>
      </c>
      <c r="D20" s="22"/>
    </row>
    <row r="21" spans="1:15" ht="14.65" thickBot="1" x14ac:dyDescent="0.5">
      <c r="A21" s="23"/>
      <c r="B21" s="31">
        <v>10</v>
      </c>
      <c r="C21" s="25" t="s">
        <v>5</v>
      </c>
      <c r="D21" s="26"/>
    </row>
    <row r="22" spans="1:15" ht="14.65" thickBot="1" x14ac:dyDescent="0.5">
      <c r="A22" s="37"/>
      <c r="B22" s="39"/>
      <c r="C22" s="21"/>
      <c r="D22" s="37"/>
    </row>
    <row r="23" spans="1:15" x14ac:dyDescent="0.45">
      <c r="A23" s="47" t="s">
        <v>29</v>
      </c>
      <c r="B23" s="50"/>
      <c r="C23" s="43"/>
      <c r="D23" s="18"/>
    </row>
    <row r="24" spans="1:15" x14ac:dyDescent="0.45">
      <c r="A24" s="51" t="s">
        <v>30</v>
      </c>
      <c r="B24" s="52">
        <f>B21*B14</f>
        <v>0.04</v>
      </c>
      <c r="C24" s="21" t="s">
        <v>31</v>
      </c>
      <c r="D24" s="22"/>
    </row>
    <row r="25" spans="1:15" x14ac:dyDescent="0.45">
      <c r="A25" s="19"/>
      <c r="B25" s="55">
        <v>48</v>
      </c>
      <c r="C25" s="21" t="s">
        <v>32</v>
      </c>
      <c r="D25" s="22"/>
    </row>
    <row r="26" spans="1:15" ht="14.65" thickBot="1" x14ac:dyDescent="0.5">
      <c r="A26" s="23"/>
      <c r="B26" s="56">
        <f>B19*B90+B20*D90</f>
        <v>3.4906582204378964E-2</v>
      </c>
      <c r="C26" s="25" t="s">
        <v>32</v>
      </c>
      <c r="D26" s="26"/>
    </row>
    <row r="27" spans="1:15" ht="14.65" thickBot="1" x14ac:dyDescent="0.5"/>
    <row r="28" spans="1:15" x14ac:dyDescent="0.45">
      <c r="A28" s="16" t="s">
        <v>27</v>
      </c>
      <c r="B28" s="27"/>
      <c r="C28" s="28"/>
      <c r="D28" s="18"/>
      <c r="G28" s="47" t="s">
        <v>28</v>
      </c>
      <c r="H28" s="17"/>
      <c r="I28" s="17"/>
      <c r="J28" s="17"/>
      <c r="K28" s="18"/>
      <c r="N28" s="47" t="s">
        <v>11</v>
      </c>
      <c r="O28" s="18"/>
    </row>
    <row r="29" spans="1:15" ht="14.65" x14ac:dyDescent="0.45">
      <c r="A29" s="29"/>
      <c r="B29" s="76">
        <v>1E-3</v>
      </c>
      <c r="C29" s="21" t="s">
        <v>3</v>
      </c>
      <c r="D29" s="22"/>
      <c r="G29" s="19"/>
      <c r="H29" s="20">
        <f>DEGREES(G67*B29+H67*B30+I67*RADIANS(B31))</f>
        <v>-1.1775721972819395</v>
      </c>
      <c r="I29" s="73">
        <f>H29/360</f>
        <v>-3.2710338813387208E-3</v>
      </c>
      <c r="J29" s="21" t="s">
        <v>8</v>
      </c>
      <c r="K29" s="22"/>
      <c r="L29" s="71"/>
      <c r="N29" s="19"/>
      <c r="O29" s="77">
        <f>RADIANS(G80*H29+H80*H30+I80*H31)</f>
        <v>1.0000000000000002E-3</v>
      </c>
    </row>
    <row r="30" spans="1:15" ht="14.65" x14ac:dyDescent="0.45">
      <c r="A30" s="29"/>
      <c r="B30" s="76">
        <v>0</v>
      </c>
      <c r="C30" s="21" t="s">
        <v>4</v>
      </c>
      <c r="D30" s="22"/>
      <c r="F30" s="1"/>
      <c r="G30" s="19"/>
      <c r="H30" s="20">
        <f>DEGREES(G68*B29+H68*B30+I68*RADIANS(B31))</f>
        <v>0.55879301413224758</v>
      </c>
      <c r="I30" s="73">
        <f>H30/360</f>
        <v>1.5522028170340211E-3</v>
      </c>
      <c r="J30" s="21" t="s">
        <v>9</v>
      </c>
      <c r="K30" s="22"/>
      <c r="L30" s="71"/>
      <c r="N30" s="19"/>
      <c r="O30" s="77">
        <f>RADIANS((G81*H29+H81*H30+I81*H31))</f>
        <v>6.0553272534872081E-20</v>
      </c>
    </row>
    <row r="31" spans="1:15" ht="15" thickBot="1" x14ac:dyDescent="0.5">
      <c r="A31" s="30"/>
      <c r="B31" s="31">
        <v>0</v>
      </c>
      <c r="C31" s="25" t="s">
        <v>5</v>
      </c>
      <c r="D31" s="26"/>
      <c r="G31" s="23"/>
      <c r="H31" s="24">
        <f>DEGREES(G69*B29+H69*B30+I69*RADIANS(B31))</f>
        <v>0.55818233812917872</v>
      </c>
      <c r="I31" s="74">
        <f>H31/360</f>
        <v>1.5505064948032742E-3</v>
      </c>
      <c r="J31" s="25" t="s">
        <v>10</v>
      </c>
      <c r="K31" s="26"/>
      <c r="L31" s="71"/>
      <c r="N31" s="23"/>
      <c r="O31" s="32">
        <f>(K82*H29+L82*H30+M82*H31)/B12</f>
        <v>1.9274705288631189E-17</v>
      </c>
    </row>
    <row r="32" spans="1:15" ht="15" thickBot="1" x14ac:dyDescent="0.5">
      <c r="A32" s="38"/>
      <c r="B32" s="40"/>
      <c r="C32" s="21"/>
      <c r="D32" s="37"/>
      <c r="G32" s="37"/>
      <c r="H32" s="20"/>
      <c r="I32" s="21"/>
      <c r="J32" s="37"/>
      <c r="K32" s="12"/>
      <c r="M32" s="37"/>
      <c r="N32" s="40"/>
    </row>
    <row r="33" spans="1:17" x14ac:dyDescent="0.45">
      <c r="A33" s="16" t="s">
        <v>24</v>
      </c>
      <c r="B33" s="42"/>
      <c r="C33" s="43"/>
      <c r="D33" s="18"/>
      <c r="G33" s="37"/>
      <c r="H33" s="20"/>
      <c r="I33" s="21"/>
      <c r="J33" s="37"/>
      <c r="K33" s="12"/>
      <c r="M33" s="37"/>
      <c r="N33" s="40"/>
    </row>
    <row r="34" spans="1:17" x14ac:dyDescent="0.45">
      <c r="A34" s="44"/>
      <c r="B34" s="39">
        <f>B17+B19</f>
        <v>1050</v>
      </c>
      <c r="C34" s="48" t="s">
        <v>22</v>
      </c>
      <c r="D34" s="22"/>
      <c r="G34" s="37"/>
      <c r="H34" s="20"/>
      <c r="I34" s="21"/>
      <c r="J34" s="37"/>
      <c r="K34" s="12"/>
      <c r="M34" s="37"/>
      <c r="N34" s="40"/>
    </row>
    <row r="35" spans="1:17" ht="14.65" thickBot="1" x14ac:dyDescent="0.5">
      <c r="A35" s="45"/>
      <c r="B35" s="46">
        <f>B18+B20</f>
        <v>1000</v>
      </c>
      <c r="C35" s="49" t="s">
        <v>23</v>
      </c>
      <c r="D35" s="26"/>
      <c r="G35" s="37"/>
      <c r="H35" s="20"/>
      <c r="I35" s="21"/>
      <c r="J35" s="37"/>
      <c r="K35" s="12"/>
      <c r="M35" s="37"/>
      <c r="N35" s="40"/>
    </row>
    <row r="36" spans="1:17" ht="14.65" x14ac:dyDescent="0.45">
      <c r="A36" s="38"/>
      <c r="B36" s="40"/>
      <c r="C36" s="21"/>
      <c r="D36" s="37"/>
      <c r="G36" s="37"/>
      <c r="H36" s="20"/>
      <c r="I36" s="21"/>
      <c r="J36" s="37"/>
      <c r="K36" s="12"/>
      <c r="M36" s="37"/>
      <c r="N36" s="40"/>
    </row>
    <row r="37" spans="1:17" ht="15" thickBot="1" x14ac:dyDescent="0.5">
      <c r="A37" s="1"/>
      <c r="B37" s="2"/>
    </row>
    <row r="38" spans="1:17" x14ac:dyDescent="0.45">
      <c r="A38" s="33" t="s">
        <v>12</v>
      </c>
      <c r="B38" s="34"/>
    </row>
    <row r="39" spans="1:17" ht="14.65" x14ac:dyDescent="0.45">
      <c r="A39" s="29"/>
      <c r="B39" s="35">
        <v>1</v>
      </c>
      <c r="C39" s="14" t="s">
        <v>13</v>
      </c>
      <c r="D39" s="7">
        <f>SIN(RADIANS(B39))</f>
        <v>1.7452406437283512E-2</v>
      </c>
      <c r="E39" s="14" t="s">
        <v>14</v>
      </c>
      <c r="F39" s="7">
        <f>COS(RADIANS(B39))</f>
        <v>0.99984769515639127</v>
      </c>
    </row>
    <row r="40" spans="1:17" ht="15" thickBot="1" x14ac:dyDescent="0.5">
      <c r="A40" s="30"/>
      <c r="B40" s="36">
        <v>1</v>
      </c>
      <c r="C40" s="14" t="s">
        <v>13</v>
      </c>
      <c r="D40" s="7">
        <f>SIN(RADIANS(B40))</f>
        <v>1.7452406437283512E-2</v>
      </c>
      <c r="E40" s="14" t="s">
        <v>14</v>
      </c>
      <c r="F40" s="7">
        <f>COS(RADIANS(B40))</f>
        <v>0.99984769515639127</v>
      </c>
    </row>
    <row r="41" spans="1:17" ht="14.65" x14ac:dyDescent="0.45">
      <c r="A41" s="1"/>
    </row>
    <row r="43" spans="1:17" ht="15.75" x14ac:dyDescent="0.5">
      <c r="A43" t="s">
        <v>48</v>
      </c>
      <c r="B43" s="3"/>
      <c r="F43" s="68">
        <v>0</v>
      </c>
      <c r="G43" s="69">
        <f>-1/(B13)*COS(RADIANS(B11))</f>
        <v>-20.203050891044214</v>
      </c>
      <c r="H43" s="70">
        <f>1/(B13)*SIN(RADIANS(B11))</f>
        <v>20.20305089104421</v>
      </c>
      <c r="N43" s="68">
        <f t="array" ref="N43:P45">MINVERSE(F43:H45)</f>
        <v>3.1727265628578762E-18</v>
      </c>
      <c r="O43" s="58">
        <v>2.8577380332470412E-2</v>
      </c>
      <c r="P43" s="59">
        <v>-2.8577380332470412E-2</v>
      </c>
    </row>
    <row r="44" spans="1:17" x14ac:dyDescent="0.45">
      <c r="E44" t="s">
        <v>2</v>
      </c>
      <c r="F44" s="68">
        <f>1/(B13)*SQRT(3)/2*COS(RADIANS(B11))</f>
        <v>17.496355305594129</v>
      </c>
      <c r="G44" s="69">
        <f>1/(B13)*COS(RADIANS(B11))/2</f>
        <v>10.101525445522107</v>
      </c>
      <c r="H44" s="70">
        <f>1/(B13)*SIN(RADIANS(B11))</f>
        <v>20.20305089104421</v>
      </c>
      <c r="I44" s="4"/>
      <c r="N44" s="57">
        <v>-3.2998316455372226E-2</v>
      </c>
      <c r="O44" s="58">
        <v>1.6499158227686109E-2</v>
      </c>
      <c r="P44" s="59">
        <v>1.6499158227686109E-2</v>
      </c>
      <c r="Q44" t="s">
        <v>2</v>
      </c>
    </row>
    <row r="45" spans="1:17" x14ac:dyDescent="0.45">
      <c r="F45" s="68">
        <f>-1/(B13)*SQRT(3)/2*COS(RADIANS(B11))</f>
        <v>-17.496355305594129</v>
      </c>
      <c r="G45" s="69">
        <f>1/(B13)*COS(RADIANS(B11))/2</f>
        <v>10.101525445522107</v>
      </c>
      <c r="H45" s="70">
        <f>1/(B13)*SIN(RADIANS(B11))</f>
        <v>20.20305089104421</v>
      </c>
      <c r="N45" s="57">
        <v>1.6499158227686113E-2</v>
      </c>
      <c r="O45" s="58">
        <v>1.6499158227686113E-2</v>
      </c>
      <c r="P45" s="59">
        <v>1.6499158227686113E-2</v>
      </c>
    </row>
    <row r="48" spans="1:17" x14ac:dyDescent="0.45">
      <c r="F48" s="64">
        <v>0</v>
      </c>
      <c r="G48" s="65">
        <v>-1</v>
      </c>
      <c r="H48" s="66">
        <v>0</v>
      </c>
      <c r="N48" s="57">
        <f t="array" ref="N48:P50">MINVERSE(F48:H50)</f>
        <v>0</v>
      </c>
      <c r="O48" s="58">
        <v>1</v>
      </c>
      <c r="P48" s="59">
        <v>0</v>
      </c>
    </row>
    <row r="49" spans="1:16" x14ac:dyDescent="0.45">
      <c r="C49" t="s">
        <v>2</v>
      </c>
      <c r="F49" s="64">
        <v>1</v>
      </c>
      <c r="G49" s="65">
        <v>0</v>
      </c>
      <c r="H49" s="66">
        <v>0</v>
      </c>
      <c r="N49" s="57">
        <v>-1</v>
      </c>
      <c r="O49" s="58">
        <v>0</v>
      </c>
      <c r="P49" s="59">
        <v>0</v>
      </c>
    </row>
    <row r="50" spans="1:16" x14ac:dyDescent="0.45">
      <c r="F50" s="64">
        <v>0</v>
      </c>
      <c r="G50" s="65">
        <v>0</v>
      </c>
      <c r="H50" s="66">
        <f>-B12</f>
        <v>-0.09</v>
      </c>
      <c r="N50" s="57">
        <v>0</v>
      </c>
      <c r="O50" s="58">
        <v>0</v>
      </c>
      <c r="P50" s="59">
        <v>-11.111111111111111</v>
      </c>
    </row>
    <row r="51" spans="1:16" x14ac:dyDescent="0.45">
      <c r="D51" s="11"/>
      <c r="E51" s="11"/>
      <c r="F51" s="11"/>
    </row>
    <row r="52" spans="1:16" x14ac:dyDescent="0.45">
      <c r="A52" t="s">
        <v>25</v>
      </c>
      <c r="D52" s="11"/>
      <c r="E52" s="11"/>
      <c r="F52" s="11"/>
    </row>
    <row r="53" spans="1:16" x14ac:dyDescent="0.45">
      <c r="D53" s="6"/>
      <c r="E53" s="6"/>
      <c r="F53" s="6"/>
    </row>
    <row r="54" spans="1:16" x14ac:dyDescent="0.45">
      <c r="D54" s="6"/>
      <c r="E54" s="6"/>
      <c r="F54" s="6"/>
      <c r="J54" s="68">
        <f>F40</f>
        <v>0.99984769515639127</v>
      </c>
      <c r="K54" s="69">
        <v>0</v>
      </c>
      <c r="L54" s="70">
        <f>D40</f>
        <v>1.7452406437283512E-2</v>
      </c>
      <c r="N54" s="57">
        <f t="array" ref="N54:P56">TRANSPOSE(J54:L56)</f>
        <v>0.99984769515639127</v>
      </c>
      <c r="O54" s="58">
        <v>3.0458649045213493E-4</v>
      </c>
      <c r="P54" s="59">
        <v>-1.7449748351250485E-2</v>
      </c>
    </row>
    <row r="55" spans="1:16" x14ac:dyDescent="0.45">
      <c r="D55" s="6"/>
      <c r="E55" s="6"/>
      <c r="F55" s="6"/>
      <c r="J55" s="68">
        <f>D39*D40</f>
        <v>3.0458649045213493E-4</v>
      </c>
      <c r="K55" s="69">
        <f>F39</f>
        <v>0.99984769515639127</v>
      </c>
      <c r="L55" s="70">
        <f>-D39*F40</f>
        <v>-1.7449748351250485E-2</v>
      </c>
      <c r="N55" s="57">
        <v>0</v>
      </c>
      <c r="O55" s="58">
        <v>0.99984769515639127</v>
      </c>
      <c r="P55" s="59">
        <v>1.7452406437283512E-2</v>
      </c>
    </row>
    <row r="56" spans="1:16" x14ac:dyDescent="0.45">
      <c r="I56" s="7"/>
      <c r="J56" s="68">
        <f>-F39*D40</f>
        <v>-1.7449748351250485E-2</v>
      </c>
      <c r="K56" s="69">
        <f>D39</f>
        <v>1.7452406437283512E-2</v>
      </c>
      <c r="L56" s="70">
        <f>F39*F40</f>
        <v>0.99969541350954794</v>
      </c>
      <c r="N56" s="57">
        <v>1.7452406437283512E-2</v>
      </c>
      <c r="O56" s="58">
        <v>-1.7449748351250485E-2</v>
      </c>
      <c r="P56" s="59">
        <v>0.99969541350954794</v>
      </c>
    </row>
    <row r="57" spans="1:16" x14ac:dyDescent="0.45">
      <c r="D57" s="6"/>
      <c r="E57" s="6"/>
      <c r="F57" s="6"/>
      <c r="I57" s="7"/>
      <c r="J57" s="7"/>
      <c r="K57" s="7"/>
      <c r="M57" s="13"/>
    </row>
    <row r="58" spans="1:16" x14ac:dyDescent="0.45">
      <c r="D58" s="6"/>
      <c r="E58" s="6"/>
      <c r="F58" s="6"/>
      <c r="I58" s="7"/>
      <c r="J58" s="7"/>
      <c r="K58" s="7"/>
    </row>
    <row r="59" spans="1:16" x14ac:dyDescent="0.45">
      <c r="D59" s="6"/>
      <c r="E59" s="6"/>
      <c r="F59" s="6"/>
    </row>
    <row r="62" spans="1:16" x14ac:dyDescent="0.45">
      <c r="G62" s="68">
        <f t="array" ref="G62:I64">MMULT(F43:H45,N54:P56)</f>
        <v>0.35259185542362637</v>
      </c>
      <c r="H62" s="69">
        <v>-20.552512022514065</v>
      </c>
      <c r="I62" s="70">
        <v>19.844305459253256</v>
      </c>
      <c r="K62" s="7">
        <f>F43*J54+G43*K54+H43*L54</f>
        <v>0.35259185542362637</v>
      </c>
      <c r="L62" s="7">
        <f>F43*J55+G43*K55+H43*L55</f>
        <v>-20.552512022514065</v>
      </c>
      <c r="M62" s="7">
        <f>F43*J56+G43*K56+H43*L56</f>
        <v>19.844305459253256</v>
      </c>
    </row>
    <row r="63" spans="1:16" x14ac:dyDescent="0.45">
      <c r="C63" s="10"/>
      <c r="F63" t="s">
        <v>2</v>
      </c>
      <c r="G63" s="68">
        <v>17.846282381359213</v>
      </c>
      <c r="H63" s="69">
        <v>9.7527779337509237</v>
      </c>
      <c r="I63" s="70">
        <v>20.067886245242011</v>
      </c>
      <c r="K63" s="7">
        <f>F44*J54+G44*K54+H44*L54</f>
        <v>17.846282381359213</v>
      </c>
      <c r="L63" s="7">
        <f>F44*J55+G44*K55+H44*L55</f>
        <v>9.7527779337509237</v>
      </c>
      <c r="M63" s="7">
        <f>F44*J56+G44*K56+H43*L56</f>
        <v>20.067886245242011</v>
      </c>
    </row>
    <row r="64" spans="1:16" x14ac:dyDescent="0.45">
      <c r="G64" s="68">
        <v>-17.141098670511962</v>
      </c>
      <c r="H64" s="69">
        <v>9.7421196268344552</v>
      </c>
      <c r="I64" s="70">
        <v>20.678500239535378</v>
      </c>
      <c r="K64" s="7">
        <f>F45*J54+G45*K54+H45*L54</f>
        <v>-17.141098670511962</v>
      </c>
      <c r="L64" s="7">
        <f>F45*J55+G45*K55+H45*L55</f>
        <v>9.7421196268344552</v>
      </c>
      <c r="M64" s="7">
        <f>F45*J56+G45*K56+H43*L56</f>
        <v>20.678500239535378</v>
      </c>
    </row>
    <row r="66" spans="1:13" x14ac:dyDescent="0.45">
      <c r="K66" s="8" t="s">
        <v>49</v>
      </c>
    </row>
    <row r="67" spans="1:13" x14ac:dyDescent="0.45">
      <c r="A67" s="8"/>
      <c r="G67" s="57">
        <f t="array" ref="G67:I69">MMULT(G62:I64,F48:H50)</f>
        <v>-20.552512022514065</v>
      </c>
      <c r="H67" s="58">
        <v>-0.35259185542362637</v>
      </c>
      <c r="I67" s="59">
        <v>-1.7859874913327929</v>
      </c>
      <c r="K67" s="7">
        <f>G43*K55+H43*L55</f>
        <v>-20.552512022514065</v>
      </c>
      <c r="L67" s="7">
        <f>-(H43*L54)</f>
        <v>-0.35259185542362637</v>
      </c>
      <c r="M67" s="7">
        <f>(G43*K56+H43*L56)*H50</f>
        <v>-1.7859874913327929</v>
      </c>
    </row>
    <row r="68" spans="1:13" x14ac:dyDescent="0.45">
      <c r="F68" s="13" t="s">
        <v>2</v>
      </c>
      <c r="G68" s="57">
        <v>9.7527779337509237</v>
      </c>
      <c r="H68" s="58">
        <v>-17.846282381359213</v>
      </c>
      <c r="I68" s="59">
        <v>-1.806109762071781</v>
      </c>
      <c r="K68" s="7">
        <f>F44*J55+G44*K55+H43*L55</f>
        <v>9.7527779337509237</v>
      </c>
      <c r="L68" s="7">
        <f>-F44*J54-H43*L54</f>
        <v>-17.846282381359213</v>
      </c>
      <c r="M68" s="7">
        <f>(F44*J56+G44*K56+H43*L56)*H50</f>
        <v>-1.806109762071781</v>
      </c>
    </row>
    <row r="69" spans="1:13" x14ac:dyDescent="0.45">
      <c r="G69" s="57">
        <v>9.7421196268344552</v>
      </c>
      <c r="H69" s="58">
        <v>17.141098670511962</v>
      </c>
      <c r="I69" s="59">
        <v>-1.8610650215581839</v>
      </c>
      <c r="K69" s="7">
        <f>-F44*J55+G44*K55+H43*L55</f>
        <v>9.7421196268344552</v>
      </c>
      <c r="L69" s="7">
        <f>F44*J54-H43*L54</f>
        <v>17.141098670511962</v>
      </c>
      <c r="M69" s="7">
        <f>(-F44*J56+G44*K56+H43*L56)*H50</f>
        <v>-1.8610650215581839</v>
      </c>
    </row>
    <row r="71" spans="1:13" x14ac:dyDescent="0.45">
      <c r="G71" s="5"/>
      <c r="H71" s="5"/>
      <c r="I71" s="5"/>
      <c r="K71" s="15"/>
      <c r="L71" s="67"/>
      <c r="M71" s="15"/>
    </row>
    <row r="72" spans="1:13" x14ac:dyDescent="0.45">
      <c r="G72" s="5"/>
      <c r="H72" s="5"/>
      <c r="I72" s="5"/>
      <c r="K72" s="15"/>
      <c r="L72" s="15"/>
      <c r="M72" s="15"/>
    </row>
    <row r="73" spans="1:13" x14ac:dyDescent="0.45">
      <c r="G73" s="5"/>
      <c r="H73" s="5"/>
      <c r="I73" s="5"/>
      <c r="K73" s="15"/>
      <c r="L73" s="15"/>
      <c r="M73" s="15"/>
    </row>
    <row r="75" spans="1:13" x14ac:dyDescent="0.45">
      <c r="G75" s="68">
        <f t="array" ref="G75:I77">MMULT(N48:P50,J54:L56)</f>
        <v>3.0458649045213493E-4</v>
      </c>
      <c r="H75" s="69">
        <v>0.99984769515639127</v>
      </c>
      <c r="I75" s="70">
        <v>-1.7449748351250485E-2</v>
      </c>
      <c r="K75" s="7">
        <f>J55</f>
        <v>3.0458649045213493E-4</v>
      </c>
      <c r="L75" s="7">
        <f>K55</f>
        <v>0.99984769515639127</v>
      </c>
      <c r="M75" s="7">
        <f>L55</f>
        <v>-1.7449748351250485E-2</v>
      </c>
    </row>
    <row r="76" spans="1:13" x14ac:dyDescent="0.45">
      <c r="G76" s="68">
        <v>-0.99984769515639127</v>
      </c>
      <c r="H76" s="69">
        <v>0</v>
      </c>
      <c r="I76" s="70">
        <v>-1.7452406437283512E-2</v>
      </c>
      <c r="K76" s="7">
        <f>-J54</f>
        <v>-0.99984769515639127</v>
      </c>
      <c r="L76" s="7">
        <f>-F52*J62-H51*L62</f>
        <v>0</v>
      </c>
      <c r="M76" s="7">
        <f>-L54</f>
        <v>-1.7452406437283512E-2</v>
      </c>
    </row>
    <row r="77" spans="1:13" x14ac:dyDescent="0.45">
      <c r="G77" s="68">
        <v>0.19388609279167204</v>
      </c>
      <c r="H77" s="69">
        <v>-0.19391562708092791</v>
      </c>
      <c r="I77" s="70">
        <v>-11.107726816772754</v>
      </c>
      <c r="K77" s="7">
        <f>-J56/B12</f>
        <v>0.19388609279167207</v>
      </c>
      <c r="L77" s="7">
        <f>-K56/B12</f>
        <v>-0.19391562708092791</v>
      </c>
      <c r="M77" s="7">
        <f>-L56/B12</f>
        <v>-11.107726816772756</v>
      </c>
    </row>
    <row r="79" spans="1:13" x14ac:dyDescent="0.45">
      <c r="A79" s="8" t="s">
        <v>11</v>
      </c>
      <c r="K79" s="8" t="s">
        <v>50</v>
      </c>
    </row>
    <row r="80" spans="1:13" x14ac:dyDescent="0.45">
      <c r="G80" s="57">
        <f t="array" ref="G80:I82">MMULT(G75:I77,N43:P45)</f>
        <v>-3.3281196811025725E-2</v>
      </c>
      <c r="H80" s="58">
        <v>1.6217443450873763E-2</v>
      </c>
      <c r="I80" s="59">
        <v>1.6200034882910195E-2</v>
      </c>
      <c r="K80" s="7">
        <f>(K55*N44+L55*N45)</f>
        <v>-3.3281196811025725E-2</v>
      </c>
      <c r="L80" s="7">
        <f>(J55*O43+K55*O44+L55*N45)</f>
        <v>1.6217443450873763E-2</v>
      </c>
      <c r="M80" s="7">
        <f>(-J55*O43+K55*O44+L55*N45)</f>
        <v>1.6200034882910195E-2</v>
      </c>
    </row>
    <row r="81" spans="1:13" x14ac:dyDescent="0.45">
      <c r="G81" s="57">
        <v>-2.8795001526263152E-4</v>
      </c>
      <c r="H81" s="58">
        <v>-2.8860977874290754E-2</v>
      </c>
      <c r="I81" s="59">
        <v>2.8285077843765501E-2</v>
      </c>
      <c r="K81" s="7">
        <f>(-L54*N45)</f>
        <v>-2.8795001526262833E-4</v>
      </c>
      <c r="L81" s="7">
        <f>(-J54*O43-L54*N45)</f>
        <v>-2.8860977874290754E-2</v>
      </c>
      <c r="M81" s="7">
        <f>(J54*O43-L54*N45)</f>
        <v>2.8285077843765501E-2</v>
      </c>
    </row>
    <row r="82" spans="1:13" x14ac:dyDescent="0.45">
      <c r="G82" s="57">
        <v>-0.17686925307178747</v>
      </c>
      <c r="H82" s="58">
        <v>-0.18092683029899082</v>
      </c>
      <c r="I82" s="59">
        <v>-0.19200834352875934</v>
      </c>
      <c r="K82" s="7">
        <f>(-K56*N44-L56*N45)</f>
        <v>-1.5918232776460872E-2</v>
      </c>
      <c r="L82" s="7">
        <f>(-J56*O43-K56*O44-L56*N45)</f>
        <v>-1.6283414726909175E-2</v>
      </c>
      <c r="M82" s="7">
        <f>(J56*O43-K56*O44-L56*N45)</f>
        <v>-1.728075091758834E-2</v>
      </c>
    </row>
    <row r="85" spans="1:13" x14ac:dyDescent="0.45">
      <c r="A85" s="8" t="s">
        <v>33</v>
      </c>
    </row>
    <row r="87" spans="1:13" x14ac:dyDescent="0.45">
      <c r="D87" s="55">
        <f>B19*D90-B20*B90</f>
        <v>49.999987815303705</v>
      </c>
    </row>
    <row r="88" spans="1:13" x14ac:dyDescent="0.45">
      <c r="D88" s="55">
        <f>B19*B90+B20*D90</f>
        <v>3.4906582204378964E-2</v>
      </c>
    </row>
    <row r="90" spans="1:13" x14ac:dyDescent="0.45">
      <c r="A90" s="14" t="s">
        <v>13</v>
      </c>
      <c r="B90" s="53">
        <f>SIN(RADIANS(B24))</f>
        <v>6.9813164408757923E-4</v>
      </c>
      <c r="C90" s="14" t="s">
        <v>14</v>
      </c>
      <c r="D90" s="54">
        <f>COS(RADIANS(B24))</f>
        <v>0.99999975630607407</v>
      </c>
    </row>
    <row r="94" spans="1:13" x14ac:dyDescent="0.45">
      <c r="A94" t="s">
        <v>34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A34"/>
  <sheetViews>
    <sheetView workbookViewId="0">
      <selection activeCell="B8" sqref="B8"/>
    </sheetView>
  </sheetViews>
  <sheetFormatPr baseColWidth="10" defaultRowHeight="14.25" x14ac:dyDescent="0.45"/>
  <cols>
    <col min="1" max="23" width="14.53125" bestFit="1" customWidth="1"/>
    <col min="24" max="24" width="15.53125" bestFit="1" customWidth="1"/>
  </cols>
  <sheetData>
    <row r="2" spans="1:27" x14ac:dyDescent="0.45">
      <c r="A2">
        <v>0</v>
      </c>
      <c r="B2">
        <f>A2+90/22.5</f>
        <v>4</v>
      </c>
      <c r="C2">
        <f t="shared" ref="C2:X2" si="0">B2+90/22.5</f>
        <v>8</v>
      </c>
      <c r="D2">
        <f t="shared" si="0"/>
        <v>12</v>
      </c>
      <c r="E2">
        <f t="shared" si="0"/>
        <v>16</v>
      </c>
      <c r="F2">
        <f t="shared" si="0"/>
        <v>20</v>
      </c>
      <c r="G2">
        <f t="shared" si="0"/>
        <v>24</v>
      </c>
      <c r="H2">
        <f t="shared" si="0"/>
        <v>28</v>
      </c>
      <c r="I2">
        <f t="shared" si="0"/>
        <v>32</v>
      </c>
      <c r="J2">
        <f t="shared" si="0"/>
        <v>36</v>
      </c>
      <c r="K2">
        <f t="shared" si="0"/>
        <v>40</v>
      </c>
      <c r="L2">
        <f t="shared" si="0"/>
        <v>44</v>
      </c>
      <c r="M2">
        <f t="shared" si="0"/>
        <v>48</v>
      </c>
      <c r="N2">
        <f t="shared" si="0"/>
        <v>52</v>
      </c>
      <c r="O2">
        <f t="shared" si="0"/>
        <v>56</v>
      </c>
      <c r="P2">
        <f t="shared" si="0"/>
        <v>60</v>
      </c>
      <c r="Q2">
        <f t="shared" si="0"/>
        <v>64</v>
      </c>
      <c r="R2">
        <f t="shared" si="0"/>
        <v>68</v>
      </c>
      <c r="S2">
        <f t="shared" si="0"/>
        <v>72</v>
      </c>
      <c r="T2">
        <f t="shared" si="0"/>
        <v>76</v>
      </c>
      <c r="U2">
        <f t="shared" si="0"/>
        <v>80</v>
      </c>
      <c r="V2">
        <f t="shared" si="0"/>
        <v>84</v>
      </c>
      <c r="W2">
        <f t="shared" si="0"/>
        <v>88</v>
      </c>
      <c r="X2">
        <f t="shared" si="0"/>
        <v>92</v>
      </c>
    </row>
    <row r="3" spans="1:27" x14ac:dyDescent="0.45">
      <c r="A3" s="63">
        <f>SIN(RADIANS(A2))</f>
        <v>0</v>
      </c>
      <c r="B3" s="63">
        <f>SIN(RADIANS(B2))</f>
        <v>6.9756473744125302E-2</v>
      </c>
      <c r="C3" s="63">
        <f t="shared" ref="C3:W3" si="1">SIN(RADIANS(C2))</f>
        <v>0.13917310096006544</v>
      </c>
      <c r="D3" s="63">
        <f t="shared" si="1"/>
        <v>0.20791169081775934</v>
      </c>
      <c r="E3" s="63">
        <f t="shared" si="1"/>
        <v>0.27563735581699916</v>
      </c>
      <c r="F3" s="63">
        <f t="shared" si="1"/>
        <v>0.34202014332566871</v>
      </c>
      <c r="G3" s="63">
        <f t="shared" si="1"/>
        <v>0.40673664307580021</v>
      </c>
      <c r="H3" s="63">
        <f t="shared" si="1"/>
        <v>0.46947156278589081</v>
      </c>
      <c r="I3" s="63">
        <f t="shared" si="1"/>
        <v>0.5299192642332049</v>
      </c>
      <c r="J3" s="63">
        <f t="shared" si="1"/>
        <v>0.58778525229247314</v>
      </c>
      <c r="K3" s="63">
        <f t="shared" si="1"/>
        <v>0.64278760968653925</v>
      </c>
      <c r="L3" s="63">
        <f t="shared" si="1"/>
        <v>0.69465837045899725</v>
      </c>
      <c r="M3" s="63">
        <f t="shared" si="1"/>
        <v>0.74314482547739424</v>
      </c>
      <c r="N3" s="63">
        <f t="shared" si="1"/>
        <v>0.78801075360672201</v>
      </c>
      <c r="O3" s="63">
        <f t="shared" si="1"/>
        <v>0.82903757255504174</v>
      </c>
      <c r="P3" s="63">
        <f t="shared" si="1"/>
        <v>0.8660254037844386</v>
      </c>
      <c r="Q3" s="63">
        <f t="shared" si="1"/>
        <v>0.89879404629916704</v>
      </c>
      <c r="R3" s="63">
        <f t="shared" si="1"/>
        <v>0.92718385456678742</v>
      </c>
      <c r="S3" s="63">
        <f t="shared" si="1"/>
        <v>0.95105651629515353</v>
      </c>
      <c r="T3" s="63">
        <f t="shared" si="1"/>
        <v>0.97029572627599647</v>
      </c>
      <c r="U3" s="63">
        <f t="shared" si="1"/>
        <v>0.98480775301220802</v>
      </c>
      <c r="V3" s="63">
        <f t="shared" si="1"/>
        <v>0.99452189536827329</v>
      </c>
      <c r="W3" s="63">
        <f t="shared" si="1"/>
        <v>0.99939082701909576</v>
      </c>
      <c r="X3" s="63">
        <f>X4/(2^14)</f>
        <v>1.0006103515625</v>
      </c>
      <c r="Y3" s="63"/>
      <c r="Z3" s="63"/>
      <c r="AA3" s="63"/>
    </row>
    <row r="4" spans="1:27" x14ac:dyDescent="0.45">
      <c r="A4">
        <f t="shared" ref="A4:B4" si="2">INT(A3*(2^14))</f>
        <v>0</v>
      </c>
      <c r="B4">
        <f t="shared" si="2"/>
        <v>1142</v>
      </c>
      <c r="C4">
        <f t="shared" ref="C4:W4" si="3">INT(C3*(2^14))</f>
        <v>2280</v>
      </c>
      <c r="D4">
        <f t="shared" si="3"/>
        <v>3406</v>
      </c>
      <c r="E4">
        <f t="shared" si="3"/>
        <v>4516</v>
      </c>
      <c r="F4">
        <f t="shared" si="3"/>
        <v>5603</v>
      </c>
      <c r="G4">
        <f t="shared" si="3"/>
        <v>6663</v>
      </c>
      <c r="H4">
        <f t="shared" si="3"/>
        <v>7691</v>
      </c>
      <c r="I4">
        <f t="shared" si="3"/>
        <v>8682</v>
      </c>
      <c r="J4">
        <f t="shared" si="3"/>
        <v>9630</v>
      </c>
      <c r="K4">
        <f t="shared" si="3"/>
        <v>10531</v>
      </c>
      <c r="L4">
        <f t="shared" si="3"/>
        <v>11381</v>
      </c>
      <c r="M4">
        <f t="shared" si="3"/>
        <v>12175</v>
      </c>
      <c r="N4">
        <f t="shared" si="3"/>
        <v>12910</v>
      </c>
      <c r="O4">
        <f t="shared" si="3"/>
        <v>13582</v>
      </c>
      <c r="P4">
        <f t="shared" si="3"/>
        <v>14188</v>
      </c>
      <c r="Q4">
        <f t="shared" si="3"/>
        <v>14725</v>
      </c>
      <c r="R4">
        <f t="shared" si="3"/>
        <v>15190</v>
      </c>
      <c r="S4">
        <f t="shared" si="3"/>
        <v>15582</v>
      </c>
      <c r="T4">
        <f t="shared" si="3"/>
        <v>15897</v>
      </c>
      <c r="U4">
        <f t="shared" si="3"/>
        <v>16135</v>
      </c>
      <c r="V4">
        <f t="shared" si="3"/>
        <v>16294</v>
      </c>
      <c r="W4">
        <f t="shared" si="3"/>
        <v>16374</v>
      </c>
      <c r="X4">
        <f>2*(16384-16374)+16374</f>
        <v>16394</v>
      </c>
    </row>
    <row r="7" spans="1:27" x14ac:dyDescent="0.45">
      <c r="A7">
        <v>30</v>
      </c>
      <c r="B7">
        <f>INT(A7*(2^9))</f>
        <v>15360</v>
      </c>
    </row>
    <row r="8" spans="1:27" x14ac:dyDescent="0.45">
      <c r="A8" t="s">
        <v>35</v>
      </c>
      <c r="B8">
        <f>INT(B7/(2^11))</f>
        <v>7</v>
      </c>
    </row>
    <row r="9" spans="1:27" x14ac:dyDescent="0.45">
      <c r="A9" t="s">
        <v>36</v>
      </c>
      <c r="B9" s="11">
        <f>H4</f>
        <v>7691</v>
      </c>
    </row>
    <row r="10" spans="1:27" x14ac:dyDescent="0.45">
      <c r="A10" t="s">
        <v>37</v>
      </c>
      <c r="B10" s="11">
        <f>I4</f>
        <v>8682</v>
      </c>
    </row>
    <row r="11" spans="1:27" x14ac:dyDescent="0.45">
      <c r="A11" t="s">
        <v>69</v>
      </c>
      <c r="B11">
        <f>(B7-B8*(2^11))</f>
        <v>1024</v>
      </c>
      <c r="C11">
        <f>B8*(2^10)</f>
        <v>7168</v>
      </c>
    </row>
    <row r="12" spans="1:27" x14ac:dyDescent="0.45">
      <c r="A12" t="s">
        <v>38</v>
      </c>
      <c r="B12" s="62">
        <f>INT(B9+B11*((B10-B9))/(2^11))</f>
        <v>8186</v>
      </c>
    </row>
    <row r="13" spans="1:27" x14ac:dyDescent="0.45">
      <c r="B13">
        <f>INT(SIN(RADIANS(A7))*(2^14))</f>
        <v>8192</v>
      </c>
      <c r="C13" s="61">
        <f>(B12-B13)/B13</f>
        <v>-7.32421875E-4</v>
      </c>
    </row>
    <row r="14" spans="1:27" x14ac:dyDescent="0.45">
      <c r="B14">
        <f>SIN(RADIANS(A7))</f>
        <v>0.49999999999999994</v>
      </c>
    </row>
    <row r="17" spans="1:5" x14ac:dyDescent="0.45">
      <c r="A17" t="s">
        <v>34</v>
      </c>
      <c r="B17">
        <v>0.6</v>
      </c>
    </row>
    <row r="18" spans="1:5" x14ac:dyDescent="0.45">
      <c r="A18" t="s">
        <v>41</v>
      </c>
      <c r="B18">
        <f>INT(B17*(2^5))</f>
        <v>19</v>
      </c>
    </row>
    <row r="19" spans="1:5" x14ac:dyDescent="0.45">
      <c r="A19" t="s">
        <v>39</v>
      </c>
      <c r="B19">
        <f>INT(B18/(2^2))*INT(B18/(2^2)/2)</f>
        <v>8</v>
      </c>
    </row>
    <row r="20" spans="1:5" x14ac:dyDescent="0.45">
      <c r="B20">
        <f>INT(B18*B18/(2^5))</f>
        <v>11</v>
      </c>
    </row>
    <row r="21" spans="1:5" x14ac:dyDescent="0.45">
      <c r="A21" t="s">
        <v>40</v>
      </c>
      <c r="B21">
        <f>INT(B22*(2^5))</f>
        <v>11</v>
      </c>
    </row>
    <row r="22" spans="1:5" x14ac:dyDescent="0.45">
      <c r="A22" t="s">
        <v>39</v>
      </c>
      <c r="B22">
        <f>B17*B17</f>
        <v>0.36</v>
      </c>
    </row>
    <row r="26" spans="1:5" x14ac:dyDescent="0.45">
      <c r="A26" t="s">
        <v>34</v>
      </c>
      <c r="B26">
        <v>0.8</v>
      </c>
      <c r="C26" t="s">
        <v>47</v>
      </c>
      <c r="D26">
        <f>INT(B26*(2^14))</f>
        <v>13107</v>
      </c>
    </row>
    <row r="27" spans="1:5" x14ac:dyDescent="0.45">
      <c r="A27" t="s">
        <v>42</v>
      </c>
      <c r="B27">
        <v>0.86</v>
      </c>
      <c r="C27" t="s">
        <v>47</v>
      </c>
      <c r="D27">
        <f>INT(B27*(2^14))</f>
        <v>14090</v>
      </c>
    </row>
    <row r="28" spans="1:5" x14ac:dyDescent="0.45">
      <c r="D28">
        <f>INT((INT(D26/(2^7))*INT(D27/(2^7))) / (2^0))</f>
        <v>11220</v>
      </c>
    </row>
    <row r="29" spans="1:5" x14ac:dyDescent="0.45">
      <c r="A29" t="s">
        <v>44</v>
      </c>
      <c r="B29">
        <f>B26*B27</f>
        <v>0.68800000000000006</v>
      </c>
      <c r="C29" t="s">
        <v>47</v>
      </c>
      <c r="D29">
        <f>INT(B29*(2^14))</f>
        <v>11272</v>
      </c>
      <c r="E29" s="60">
        <f>(D28-D29)/D29</f>
        <v>-4.6132008516678496E-3</v>
      </c>
    </row>
    <row r="31" spans="1:5" x14ac:dyDescent="0.45">
      <c r="A31" t="s">
        <v>34</v>
      </c>
      <c r="B31">
        <v>18.23</v>
      </c>
      <c r="C31" t="s">
        <v>43</v>
      </c>
      <c r="D31">
        <f>INT(B31*(2^8))</f>
        <v>4666</v>
      </c>
    </row>
    <row r="32" spans="1:5" x14ac:dyDescent="0.45">
      <c r="A32" t="s">
        <v>42</v>
      </c>
      <c r="B32">
        <v>8.2937999999999992</v>
      </c>
      <c r="C32" t="s">
        <v>46</v>
      </c>
      <c r="D32">
        <f>INT(B32*(2^2))</f>
        <v>33</v>
      </c>
    </row>
    <row r="33" spans="1:4" x14ac:dyDescent="0.45">
      <c r="D33">
        <f>INT(D31*(2^4)/D32)</f>
        <v>2262</v>
      </c>
    </row>
    <row r="34" spans="1:4" x14ac:dyDescent="0.45">
      <c r="A34" t="s">
        <v>44</v>
      </c>
      <c r="B34">
        <f>B31/B32</f>
        <v>2.1980274421857295</v>
      </c>
      <c r="C34" t="s">
        <v>45</v>
      </c>
      <c r="D34">
        <f>INT(B34*(2^10))</f>
        <v>2250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D21" sqref="D21"/>
    </sheetView>
  </sheetViews>
  <sheetFormatPr baseColWidth="10" defaultRowHeight="14.25" x14ac:dyDescent="0.45"/>
  <sheetData>
    <row r="1" spans="1:1" x14ac:dyDescent="0.45">
      <c r="A1" t="s">
        <v>53</v>
      </c>
    </row>
    <row r="2" spans="1:1" x14ac:dyDescent="0.45">
      <c r="A2" t="s">
        <v>54</v>
      </c>
    </row>
    <row r="3" spans="1:1" x14ac:dyDescent="0.45">
      <c r="A3" t="s">
        <v>55</v>
      </c>
    </row>
    <row r="4" spans="1:1" x14ac:dyDescent="0.45">
      <c r="A4" t="s">
        <v>56</v>
      </c>
    </row>
    <row r="5" spans="1:1" x14ac:dyDescent="0.45">
      <c r="A5" t="s">
        <v>57</v>
      </c>
    </row>
    <row r="6" spans="1:1" x14ac:dyDescent="0.45">
      <c r="A6" t="s">
        <v>58</v>
      </c>
    </row>
    <row r="8" spans="1:1" x14ac:dyDescent="0.45">
      <c r="A8" t="s">
        <v>59</v>
      </c>
    </row>
    <row r="9" spans="1:1" x14ac:dyDescent="0.45">
      <c r="A9" t="s">
        <v>60</v>
      </c>
    </row>
    <row r="10" spans="1:1" x14ac:dyDescent="0.45">
      <c r="A10" t="s">
        <v>61</v>
      </c>
    </row>
    <row r="11" spans="1:1" x14ac:dyDescent="0.45">
      <c r="A11" t="s">
        <v>62</v>
      </c>
    </row>
    <row r="12" spans="1:1" x14ac:dyDescent="0.45">
      <c r="A12" t="s">
        <v>63</v>
      </c>
    </row>
    <row r="13" spans="1:1" x14ac:dyDescent="0.45">
      <c r="A13" t="s">
        <v>64</v>
      </c>
    </row>
    <row r="14" spans="1:1" x14ac:dyDescent="0.45">
      <c r="A14" t="s">
        <v>65</v>
      </c>
    </row>
    <row r="15" spans="1:1" x14ac:dyDescent="0.45">
      <c r="A15" t="s">
        <v>66</v>
      </c>
    </row>
    <row r="16" spans="1:1" x14ac:dyDescent="0.45">
      <c r="A16" t="s">
        <v>67</v>
      </c>
    </row>
    <row r="17" spans="1:1" x14ac:dyDescent="0.45">
      <c r="A17" t="s">
        <v>68</v>
      </c>
    </row>
    <row r="20" spans="1:1" x14ac:dyDescent="0.45">
      <c r="A20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topLeftCell="B1" workbookViewId="0">
      <selection activeCell="M27" sqref="M27"/>
    </sheetView>
  </sheetViews>
  <sheetFormatPr baseColWidth="10" defaultRowHeight="14.25" x14ac:dyDescent="0.45"/>
  <sheetData>
    <row r="1" spans="1:15" x14ac:dyDescent="0.45">
      <c r="L1">
        <v>1000</v>
      </c>
    </row>
    <row r="2" spans="1:15" x14ac:dyDescent="0.45">
      <c r="A2">
        <v>255</v>
      </c>
      <c r="B2">
        <v>1850</v>
      </c>
      <c r="C2" s="7">
        <f>((B2/$B$2))*255</f>
        <v>255</v>
      </c>
      <c r="D2" s="5">
        <f t="shared" ref="D2:D11" si="0">(B2-$H$6)*($G$7-$G$6)/($H$7-$H$6)+$G$6</f>
        <v>255</v>
      </c>
      <c r="E2" s="72">
        <f t="shared" ref="E2:E26" si="1">(D2-A2)/A2</f>
        <v>0</v>
      </c>
      <c r="G2">
        <v>10</v>
      </c>
      <c r="H2">
        <f>B27</f>
        <v>124</v>
      </c>
      <c r="I2" s="11">
        <f t="shared" ref="I2:I7" si="2">H2/$B$2*255</f>
        <v>17.091891891891891</v>
      </c>
      <c r="K2" t="s">
        <v>51</v>
      </c>
      <c r="L2">
        <f>L1/B2*255</f>
        <v>137.83783783783784</v>
      </c>
    </row>
    <row r="3" spans="1:15" x14ac:dyDescent="0.45">
      <c r="A3">
        <v>245</v>
      </c>
      <c r="B3">
        <f>(B2+B4)/2</f>
        <v>1843</v>
      </c>
      <c r="C3" s="7">
        <f t="shared" ref="C3:C27" si="3">((B3/$B$2))*255</f>
        <v>254.03513513513514</v>
      </c>
      <c r="D3" s="5">
        <f t="shared" si="0"/>
        <v>251.13259668508289</v>
      </c>
      <c r="E3" s="72">
        <f t="shared" si="1"/>
        <v>2.5031006877889339E-2</v>
      </c>
      <c r="G3">
        <v>25</v>
      </c>
      <c r="H3">
        <f>B25</f>
        <v>684</v>
      </c>
      <c r="I3" s="11">
        <f t="shared" si="2"/>
        <v>94.281081081081084</v>
      </c>
      <c r="K3" t="s">
        <v>52</v>
      </c>
      <c r="L3">
        <f>(L2-I2)*(G3-G2)/(I3-I2)+G2</f>
        <v>33.464285714285708</v>
      </c>
      <c r="M3">
        <v>0</v>
      </c>
      <c r="N3">
        <v>0</v>
      </c>
      <c r="O3">
        <f>1850-$B$2*N19/255</f>
        <v>0</v>
      </c>
    </row>
    <row r="4" spans="1:15" x14ac:dyDescent="0.45">
      <c r="A4">
        <v>235</v>
      </c>
      <c r="B4">
        <v>1836</v>
      </c>
      <c r="C4" s="7">
        <f t="shared" si="3"/>
        <v>253.07027027027027</v>
      </c>
      <c r="D4" s="5">
        <f t="shared" si="0"/>
        <v>247.26519337016575</v>
      </c>
      <c r="E4" s="72">
        <f t="shared" si="1"/>
        <v>5.2192312213471266E-2</v>
      </c>
      <c r="G4">
        <v>55</v>
      </c>
      <c r="H4">
        <f>B22</f>
        <v>1186</v>
      </c>
      <c r="I4" s="11">
        <f t="shared" si="2"/>
        <v>163.47567567567569</v>
      </c>
      <c r="M4">
        <f>M3+16</f>
        <v>16</v>
      </c>
      <c r="N4">
        <v>3</v>
      </c>
      <c r="O4">
        <f>1850-$B$2*N18/255</f>
        <v>333.72549019607845</v>
      </c>
    </row>
    <row r="5" spans="1:15" x14ac:dyDescent="0.45">
      <c r="A5">
        <v>225</v>
      </c>
      <c r="B5">
        <f>(B4+B6)/2</f>
        <v>1828.5</v>
      </c>
      <c r="C5" s="7">
        <f t="shared" si="3"/>
        <v>252.0364864864865</v>
      </c>
      <c r="D5" s="5">
        <f t="shared" si="0"/>
        <v>243.12154696132598</v>
      </c>
      <c r="E5" s="72">
        <f t="shared" si="1"/>
        <v>8.0540208717004333E-2</v>
      </c>
      <c r="G5">
        <v>95</v>
      </c>
      <c r="H5">
        <f>B18</f>
        <v>1475</v>
      </c>
      <c r="I5" s="11">
        <f t="shared" si="2"/>
        <v>203.31081081081081</v>
      </c>
      <c r="M5">
        <f t="shared" ref="M5:M19" si="4">M4+16</f>
        <v>32</v>
      </c>
      <c r="N5">
        <v>7</v>
      </c>
      <c r="O5">
        <f>1850-$B$2*N17/255</f>
        <v>834.31372549019613</v>
      </c>
    </row>
    <row r="6" spans="1:15" x14ac:dyDescent="0.45">
      <c r="A6">
        <v>215</v>
      </c>
      <c r="B6">
        <v>1821</v>
      </c>
      <c r="C6" s="7">
        <f t="shared" si="3"/>
        <v>251.00270270270272</v>
      </c>
      <c r="D6" s="5">
        <f t="shared" si="0"/>
        <v>238.97790055248618</v>
      </c>
      <c r="E6" s="72">
        <f t="shared" si="1"/>
        <v>0.11152511884877291</v>
      </c>
      <c r="G6">
        <v>155</v>
      </c>
      <c r="H6">
        <f>B12</f>
        <v>1669</v>
      </c>
      <c r="I6" s="11">
        <f t="shared" si="2"/>
        <v>230.05135135135134</v>
      </c>
      <c r="M6">
        <f t="shared" si="4"/>
        <v>48</v>
      </c>
      <c r="N6">
        <v>10</v>
      </c>
      <c r="O6">
        <f>1850-$B$2*N16/255</f>
        <v>1102.7450980392157</v>
      </c>
    </row>
    <row r="7" spans="1:15" x14ac:dyDescent="0.45">
      <c r="A7">
        <v>205</v>
      </c>
      <c r="B7">
        <f>(B6+B8)/2</f>
        <v>1778.5</v>
      </c>
      <c r="C7" s="7">
        <f t="shared" si="3"/>
        <v>245.14459459459459</v>
      </c>
      <c r="D7" s="5">
        <f t="shared" si="0"/>
        <v>215.49723756906076</v>
      </c>
      <c r="E7" s="72">
        <f t="shared" si="1"/>
        <v>5.1206036922247601E-2</v>
      </c>
      <c r="G7">
        <v>255</v>
      </c>
      <c r="H7">
        <f>B2</f>
        <v>1850</v>
      </c>
      <c r="I7" s="11">
        <f t="shared" si="2"/>
        <v>255</v>
      </c>
      <c r="M7">
        <f t="shared" si="4"/>
        <v>64</v>
      </c>
      <c r="N7">
        <v>16</v>
      </c>
      <c r="O7">
        <f>1850-$B$2*N15/255</f>
        <v>1284.1176470588234</v>
      </c>
    </row>
    <row r="8" spans="1:15" x14ac:dyDescent="0.45">
      <c r="A8">
        <v>195</v>
      </c>
      <c r="B8">
        <v>1736</v>
      </c>
      <c r="C8" s="7">
        <f t="shared" si="3"/>
        <v>239.28648648648647</v>
      </c>
      <c r="D8" s="5">
        <f t="shared" si="0"/>
        <v>192.01657458563537</v>
      </c>
      <c r="E8" s="72">
        <f t="shared" si="1"/>
        <v>-1.5299617509562215E-2</v>
      </c>
      <c r="M8">
        <f t="shared" si="4"/>
        <v>80</v>
      </c>
      <c r="N8">
        <v>19</v>
      </c>
      <c r="O8">
        <f>1850-$B$2*N14/255</f>
        <v>1385.686274509804</v>
      </c>
    </row>
    <row r="9" spans="1:15" x14ac:dyDescent="0.45">
      <c r="A9">
        <v>185</v>
      </c>
      <c r="B9">
        <f>(B8+B10)/2</f>
        <v>1721.5</v>
      </c>
      <c r="C9" s="7">
        <f t="shared" si="3"/>
        <v>237.28783783783786</v>
      </c>
      <c r="D9" s="5">
        <f t="shared" si="0"/>
        <v>184.00552486187846</v>
      </c>
      <c r="E9" s="72">
        <f t="shared" si="1"/>
        <v>-5.375541287143481E-3</v>
      </c>
      <c r="M9">
        <f t="shared" si="4"/>
        <v>96</v>
      </c>
      <c r="N9">
        <v>24</v>
      </c>
      <c r="O9">
        <f>1850-$B$2*N13/255</f>
        <v>1465.4901960784314</v>
      </c>
    </row>
    <row r="10" spans="1:15" x14ac:dyDescent="0.45">
      <c r="A10">
        <v>175</v>
      </c>
      <c r="B10">
        <v>1707</v>
      </c>
      <c r="C10" s="7">
        <f t="shared" si="3"/>
        <v>235.28918918918919</v>
      </c>
      <c r="D10" s="5">
        <f t="shared" si="0"/>
        <v>175.99447513812154</v>
      </c>
      <c r="E10" s="72">
        <f t="shared" si="1"/>
        <v>5.6827150749802517E-3</v>
      </c>
      <c r="M10">
        <f t="shared" si="4"/>
        <v>112</v>
      </c>
      <c r="N10">
        <v>30</v>
      </c>
      <c r="O10">
        <f>1850-$B$2*N12/255</f>
        <v>1538.0392156862745</v>
      </c>
    </row>
    <row r="11" spans="1:15" x14ac:dyDescent="0.45">
      <c r="A11">
        <v>165</v>
      </c>
      <c r="B11">
        <f>(B10+B12)/2</f>
        <v>1688</v>
      </c>
      <c r="C11" s="7">
        <f t="shared" si="3"/>
        <v>232.67027027027027</v>
      </c>
      <c r="D11" s="5">
        <f t="shared" si="0"/>
        <v>165.49723756906079</v>
      </c>
      <c r="E11" s="72">
        <f t="shared" si="1"/>
        <v>3.0135610246108256E-3</v>
      </c>
      <c r="M11">
        <f t="shared" si="4"/>
        <v>128</v>
      </c>
      <c r="N11">
        <v>35</v>
      </c>
      <c r="O11">
        <f t="shared" ref="O11" si="5">1850-$B$2*N11/255</f>
        <v>1596.0784313725489</v>
      </c>
    </row>
    <row r="12" spans="1:15" x14ac:dyDescent="0.45">
      <c r="A12">
        <v>155</v>
      </c>
      <c r="B12">
        <v>1669</v>
      </c>
      <c r="C12" s="7">
        <f t="shared" si="3"/>
        <v>230.05135135135134</v>
      </c>
      <c r="D12" s="5">
        <f t="shared" ref="D12:D17" si="6">(B12-$H$5)*($G$6-$G$5)/($H$6-$H$5)+$G$5</f>
        <v>155</v>
      </c>
      <c r="E12" s="72">
        <f t="shared" si="1"/>
        <v>0</v>
      </c>
      <c r="M12">
        <f t="shared" si="4"/>
        <v>144</v>
      </c>
      <c r="N12">
        <v>43</v>
      </c>
      <c r="O12">
        <f>1850-$B$2*N10/255</f>
        <v>1632.3529411764705</v>
      </c>
    </row>
    <row r="13" spans="1:15" x14ac:dyDescent="0.45">
      <c r="A13">
        <f>A12-10</f>
        <v>145</v>
      </c>
      <c r="B13">
        <f>(B12+B14)/2</f>
        <v>1645</v>
      </c>
      <c r="C13" s="7">
        <f t="shared" si="3"/>
        <v>226.74324324324326</v>
      </c>
      <c r="D13" s="5">
        <f t="shared" si="6"/>
        <v>147.57731958762886</v>
      </c>
      <c r="E13" s="72">
        <f t="shared" si="1"/>
        <v>1.7774617845716302E-2</v>
      </c>
      <c r="M13">
        <f t="shared" si="4"/>
        <v>160</v>
      </c>
      <c r="N13">
        <v>53</v>
      </c>
      <c r="O13">
        <f>1850-$B$2*N9/255</f>
        <v>1675.8823529411766</v>
      </c>
    </row>
    <row r="14" spans="1:15" x14ac:dyDescent="0.45">
      <c r="A14">
        <f t="shared" ref="A14:A24" si="7">A13-10</f>
        <v>135</v>
      </c>
      <c r="B14">
        <v>1621</v>
      </c>
      <c r="C14" s="7">
        <f t="shared" si="3"/>
        <v>223.43513513513514</v>
      </c>
      <c r="D14" s="5">
        <f t="shared" si="6"/>
        <v>140.15463917525773</v>
      </c>
      <c r="E14" s="72">
        <f t="shared" si="1"/>
        <v>3.8182512409316506E-2</v>
      </c>
      <c r="M14">
        <f t="shared" si="4"/>
        <v>176</v>
      </c>
      <c r="N14">
        <v>64</v>
      </c>
      <c r="O14">
        <f>1850-$B$2*N8/255</f>
        <v>1712.1568627450981</v>
      </c>
    </row>
    <row r="15" spans="1:15" x14ac:dyDescent="0.45">
      <c r="A15">
        <f t="shared" si="7"/>
        <v>125</v>
      </c>
      <c r="B15">
        <f>(B14+B16)/2</f>
        <v>1589</v>
      </c>
      <c r="C15" s="7">
        <f t="shared" si="3"/>
        <v>219.02432432432431</v>
      </c>
      <c r="D15" s="5">
        <f t="shared" si="6"/>
        <v>130.25773195876289</v>
      </c>
      <c r="E15" s="72">
        <f t="shared" si="1"/>
        <v>4.2061855670103114E-2</v>
      </c>
      <c r="M15">
        <f t="shared" si="4"/>
        <v>192</v>
      </c>
      <c r="N15">
        <v>78</v>
      </c>
      <c r="O15">
        <f>1850-$B$2*N7/255</f>
        <v>1733.9215686274511</v>
      </c>
    </row>
    <row r="16" spans="1:15" x14ac:dyDescent="0.45">
      <c r="A16">
        <f t="shared" si="7"/>
        <v>115</v>
      </c>
      <c r="B16">
        <v>1557</v>
      </c>
      <c r="C16" s="7">
        <f t="shared" si="3"/>
        <v>214.61351351351351</v>
      </c>
      <c r="D16" s="5">
        <f t="shared" si="6"/>
        <v>120.36082474226804</v>
      </c>
      <c r="E16" s="72">
        <f t="shared" si="1"/>
        <v>4.661586732406988E-2</v>
      </c>
      <c r="M16">
        <f t="shared" si="4"/>
        <v>208</v>
      </c>
      <c r="N16">
        <v>103</v>
      </c>
      <c r="O16">
        <f>1850-$B$2*N6/255</f>
        <v>1777.4509803921569</v>
      </c>
    </row>
    <row r="17" spans="1:15" x14ac:dyDescent="0.45">
      <c r="A17">
        <f t="shared" si="7"/>
        <v>105</v>
      </c>
      <c r="B17">
        <f>(B16+B18)/2</f>
        <v>1516</v>
      </c>
      <c r="C17" s="7">
        <f t="shared" si="3"/>
        <v>208.96216216216214</v>
      </c>
      <c r="D17" s="5">
        <f t="shared" si="6"/>
        <v>107.68041237113403</v>
      </c>
      <c r="E17" s="72">
        <f t="shared" si="1"/>
        <v>2.5527736867943098E-2</v>
      </c>
      <c r="M17">
        <f t="shared" si="4"/>
        <v>224</v>
      </c>
      <c r="N17">
        <v>140</v>
      </c>
      <c r="O17">
        <f>1850-$B$2*N5/255</f>
        <v>1799.2156862745098</v>
      </c>
    </row>
    <row r="18" spans="1:15" x14ac:dyDescent="0.45">
      <c r="A18">
        <f t="shared" si="7"/>
        <v>95</v>
      </c>
      <c r="B18">
        <v>1475</v>
      </c>
      <c r="C18" s="7">
        <f t="shared" si="3"/>
        <v>203.31081081081081</v>
      </c>
      <c r="D18" s="5">
        <f>(B18-$H$4)*($G$5-$G$4)/($H$5-$H$4)+$G$4</f>
        <v>95</v>
      </c>
      <c r="E18" s="72">
        <f t="shared" si="1"/>
        <v>0</v>
      </c>
      <c r="M18">
        <f t="shared" si="4"/>
        <v>240</v>
      </c>
      <c r="N18">
        <v>209</v>
      </c>
      <c r="O18">
        <f>1850-$B$2*N4/255</f>
        <v>1828.2352941176471</v>
      </c>
    </row>
    <row r="19" spans="1:15" x14ac:dyDescent="0.45">
      <c r="A19">
        <f t="shared" si="7"/>
        <v>85</v>
      </c>
      <c r="B19">
        <v>1423</v>
      </c>
      <c r="C19" s="7">
        <f t="shared" si="3"/>
        <v>196.14324324324326</v>
      </c>
      <c r="D19" s="5">
        <f>(B19-$H$4)*($G$5-$G$4)/($H$5-$H$4)+$G$4</f>
        <v>87.802768166089976</v>
      </c>
      <c r="E19" s="72">
        <f t="shared" si="1"/>
        <v>3.2973743130470308E-2</v>
      </c>
      <c r="M19">
        <f t="shared" si="4"/>
        <v>256</v>
      </c>
      <c r="N19">
        <v>255</v>
      </c>
      <c r="O19">
        <f>1850-$B$2*N3/255</f>
        <v>1850</v>
      </c>
    </row>
    <row r="20" spans="1:15" x14ac:dyDescent="0.45">
      <c r="A20">
        <f t="shared" si="7"/>
        <v>75</v>
      </c>
      <c r="B20">
        <v>1366</v>
      </c>
      <c r="C20" s="7">
        <f t="shared" si="3"/>
        <v>188.2864864864865</v>
      </c>
      <c r="D20" s="5">
        <f>(B20-$H$4)*($G$5-$G$4)/($H$5-$H$4)+$G$4</f>
        <v>79.913494809688586</v>
      </c>
      <c r="E20" s="72">
        <f t="shared" si="1"/>
        <v>6.5513264129181153E-2</v>
      </c>
    </row>
    <row r="21" spans="1:15" x14ac:dyDescent="0.45">
      <c r="A21">
        <f t="shared" si="7"/>
        <v>65</v>
      </c>
      <c r="B21">
        <v>1293</v>
      </c>
      <c r="C21" s="7">
        <f t="shared" si="3"/>
        <v>178.22432432432433</v>
      </c>
      <c r="D21" s="5">
        <f>(B21-$H$4)*($G$5-$G$4)/($H$5-$H$4)+$G$4</f>
        <v>69.809688581314873</v>
      </c>
      <c r="E21" s="72">
        <f t="shared" si="1"/>
        <v>7.3995208943305746E-2</v>
      </c>
    </row>
    <row r="22" spans="1:15" x14ac:dyDescent="0.45">
      <c r="A22">
        <f t="shared" si="7"/>
        <v>55</v>
      </c>
      <c r="B22">
        <v>1186</v>
      </c>
      <c r="C22" s="7">
        <f t="shared" si="3"/>
        <v>163.47567567567569</v>
      </c>
      <c r="D22" s="5">
        <f>(B22-$H$4)*($G$5-$G$4)/($H$5-$H$4)+$G$4</f>
        <v>55</v>
      </c>
      <c r="E22" s="72">
        <f t="shared" si="1"/>
        <v>0</v>
      </c>
    </row>
    <row r="23" spans="1:15" x14ac:dyDescent="0.45">
      <c r="A23">
        <f t="shared" si="7"/>
        <v>45</v>
      </c>
      <c r="B23">
        <v>1071</v>
      </c>
      <c r="C23" s="7">
        <f t="shared" si="3"/>
        <v>147.62432432432431</v>
      </c>
      <c r="D23" s="5">
        <f>(B23-$H$3)*($G$4-$G$3)/($H$4-$H$3)+$G$3</f>
        <v>48.127490039840637</v>
      </c>
      <c r="E23" s="72">
        <f t="shared" si="1"/>
        <v>6.9499778663125275E-2</v>
      </c>
    </row>
    <row r="24" spans="1:15" x14ac:dyDescent="0.45">
      <c r="A24">
        <f t="shared" si="7"/>
        <v>35</v>
      </c>
      <c r="B24">
        <v>912</v>
      </c>
      <c r="C24" s="7">
        <f t="shared" si="3"/>
        <v>125.70810810810811</v>
      </c>
      <c r="D24" s="5">
        <f>(B24-$H$3)*($G$4-$G$3)/($H$4-$H$3)+$G$3</f>
        <v>38.625498007968126</v>
      </c>
      <c r="E24" s="72">
        <f t="shared" si="1"/>
        <v>0.10358565737051789</v>
      </c>
    </row>
    <row r="25" spans="1:15" x14ac:dyDescent="0.45">
      <c r="A25">
        <v>25</v>
      </c>
      <c r="B25">
        <v>684</v>
      </c>
      <c r="C25" s="7">
        <f t="shared" si="3"/>
        <v>94.281081081081084</v>
      </c>
      <c r="D25" s="5">
        <f>(B25-$H$3)*($G$4-$G$3)/($H$4-$H$3)+$G$3</f>
        <v>25</v>
      </c>
      <c r="E25" s="72">
        <f t="shared" si="1"/>
        <v>0</v>
      </c>
    </row>
    <row r="26" spans="1:15" x14ac:dyDescent="0.45">
      <c r="A26">
        <v>15</v>
      </c>
      <c r="B26">
        <v>277</v>
      </c>
      <c r="C26" s="7">
        <f t="shared" si="3"/>
        <v>38.181081081081082</v>
      </c>
      <c r="D26" s="5">
        <f t="shared" ref="D26" si="8">(B26-$H$2)*($G$3-$G$2)/($H$3-$H$2)+$G$2</f>
        <v>14.098214285714285</v>
      </c>
      <c r="E26" s="72">
        <f t="shared" si="1"/>
        <v>-6.011904761904769E-2</v>
      </c>
    </row>
    <row r="27" spans="1:15" x14ac:dyDescent="0.45">
      <c r="A27">
        <v>10</v>
      </c>
      <c r="B27">
        <v>124</v>
      </c>
      <c r="C27" s="7">
        <f t="shared" si="3"/>
        <v>17.091891891891891</v>
      </c>
      <c r="D27" s="5">
        <f t="shared" ref="D27" si="9">(B27-$H$2)*($G$3-$G$2)/($H$3-$H$2)+$G$2</f>
        <v>10</v>
      </c>
      <c r="E27" s="72">
        <f>(D27-A27)/A27</f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Kinematix</vt:lpstr>
      <vt:lpstr>sin computation</vt:lpstr>
      <vt:lpstr>Arctan</vt:lpstr>
      <vt:lpstr>Torque</vt:lpstr>
      <vt:lpstr>Kinematix!Druckbereich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JochenAlt</dc:creator>
  <cp:lastModifiedBy>JochenAlt</cp:lastModifiedBy>
  <cp:lastPrinted>2013-02-03T22:51:08Z</cp:lastPrinted>
  <dcterms:created xsi:type="dcterms:W3CDTF">2012-11-09T17:01:40Z</dcterms:created>
  <dcterms:modified xsi:type="dcterms:W3CDTF">2018-12-27T22:08:17Z</dcterms:modified>
</cp:coreProperties>
</file>