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/>
  <mc:AlternateContent xmlns:mc="http://schemas.openxmlformats.org/markup-compatibility/2006">
    <mc:Choice Requires="x15">
      <x15ac:absPath xmlns:x15ac="http://schemas.microsoft.com/office/spreadsheetml/2010/11/ac" url="C:\Users\Jochen Alt\Documents\Daten\Projects\MiniBot\"/>
    </mc:Choice>
  </mc:AlternateContent>
  <xr:revisionPtr revIDLastSave="0" documentId="13_ncr:1_{0FF1EEB7-81A2-481F-90C2-0F047408C14C}" xr6:coauthVersionLast="36" xr6:coauthVersionMax="45" xr10:uidLastSave="{00000000-0000-0000-0000-000000000000}"/>
  <bookViews>
    <workbookView xWindow="-90" yWindow="-90" windowWidth="23235" windowHeight="12555" activeTab="1" xr2:uid="{00000000-000D-0000-FFFF-FFFF00000000}"/>
  </bookViews>
  <sheets>
    <sheet name="Source" sheetId="1" r:id="rId1"/>
    <sheet name="BOM" sheetId="3" r:id="rId2"/>
    <sheet name="Torque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76" i="3" l="1"/>
  <c r="D77" i="3"/>
  <c r="D27" i="3" l="1"/>
  <c r="D25" i="3"/>
  <c r="D49" i="3"/>
  <c r="D69" i="3"/>
  <c r="D68" i="3"/>
  <c r="D58" i="3"/>
  <c r="D67" i="3"/>
  <c r="D66" i="3"/>
  <c r="D65" i="3"/>
  <c r="D64" i="3"/>
  <c r="D63" i="3"/>
  <c r="D62" i="3"/>
  <c r="D73" i="3"/>
  <c r="D72" i="3"/>
  <c r="D71" i="3"/>
  <c r="D59" i="3" l="1"/>
  <c r="D57" i="3"/>
  <c r="D56" i="3"/>
  <c r="D55" i="3"/>
  <c r="D54" i="3"/>
  <c r="D53" i="3"/>
  <c r="D51" i="3"/>
  <c r="D50" i="3"/>
  <c r="D48" i="3"/>
  <c r="D47" i="3"/>
  <c r="D44" i="3"/>
  <c r="D43" i="3"/>
  <c r="B109" i="3"/>
  <c r="I109" i="3" s="1"/>
  <c r="D38" i="3"/>
  <c r="D37" i="3"/>
  <c r="D36" i="3"/>
  <c r="D35" i="3"/>
  <c r="I106" i="3"/>
  <c r="D32" i="3"/>
  <c r="D20" i="3"/>
  <c r="D19" i="3"/>
  <c r="B107" i="3"/>
  <c r="I107" i="3" s="1"/>
  <c r="B103" i="3"/>
  <c r="F103" i="3" s="1"/>
  <c r="B102" i="3"/>
  <c r="F102" i="3" s="1"/>
  <c r="D13" i="3"/>
  <c r="D12" i="3"/>
  <c r="D11" i="3"/>
  <c r="D10" i="3"/>
  <c r="D24" i="3"/>
  <c r="D23" i="3"/>
  <c r="D31" i="3"/>
  <c r="D30" i="3"/>
  <c r="D29" i="3"/>
  <c r="D26" i="3"/>
  <c r="D28" i="3"/>
  <c r="B111" i="3" l="1"/>
  <c r="B110" i="3"/>
  <c r="B114" i="3"/>
  <c r="B113" i="3"/>
  <c r="I113" i="3" s="1"/>
  <c r="B112" i="3"/>
  <c r="I112" i="3" s="1"/>
  <c r="B84" i="3"/>
  <c r="B95" i="3"/>
  <c r="B101" i="3"/>
  <c r="F101" i="3" s="1"/>
  <c r="B96" i="3"/>
  <c r="B87" i="3"/>
  <c r="B86" i="3"/>
  <c r="I86" i="3" s="1"/>
  <c r="B105" i="3"/>
  <c r="F105" i="3" s="1"/>
  <c r="B104" i="3"/>
  <c r="F104" i="3" s="1"/>
  <c r="I103" i="3"/>
  <c r="G103" i="3" s="1"/>
  <c r="I102" i="3"/>
  <c r="G102" i="3" s="1"/>
  <c r="F114" i="3" l="1"/>
  <c r="I114" i="3"/>
  <c r="G114" i="3" s="1"/>
  <c r="I101" i="3"/>
  <c r="G101" i="3" s="1"/>
  <c r="I104" i="3"/>
  <c r="G104" i="3" s="1"/>
  <c r="I105" i="3"/>
  <c r="G105" i="3" s="1"/>
  <c r="B93" i="3" l="1"/>
  <c r="B88" i="3" l="1"/>
  <c r="B89" i="3"/>
  <c r="B108" i="3" l="1"/>
  <c r="I108" i="3" s="1"/>
  <c r="B100" i="3"/>
  <c r="B98" i="3"/>
  <c r="I98" i="3" s="1"/>
  <c r="B91" i="3"/>
  <c r="B92" i="3"/>
  <c r="B94" i="3"/>
  <c r="B90" i="3"/>
  <c r="B85" i="3"/>
  <c r="I85" i="3" s="1"/>
  <c r="B82" i="3"/>
  <c r="B83" i="3"/>
  <c r="B81" i="3"/>
  <c r="B80" i="3"/>
  <c r="F100" i="3" l="1"/>
  <c r="I100" i="3"/>
  <c r="G100" i="3" s="1"/>
  <c r="G116" i="3" s="1"/>
  <c r="F83" i="3"/>
  <c r="I83" i="3"/>
  <c r="F82" i="3"/>
  <c r="I82" i="3"/>
  <c r="F80" i="3"/>
  <c r="I80" i="3"/>
  <c r="F81" i="3"/>
  <c r="I81" i="3"/>
  <c r="D17" i="2"/>
  <c r="D20" i="2"/>
  <c r="D22" i="2"/>
  <c r="D21" i="2"/>
  <c r="D19" i="2"/>
  <c r="C8" i="2"/>
  <c r="C10" i="2"/>
  <c r="C9" i="2"/>
  <c r="F116" i="3" l="1"/>
  <c r="D18" i="2"/>
  <c r="F10" i="2" l="1"/>
  <c r="F9" i="2"/>
  <c r="F8" i="2"/>
  <c r="G8" i="2" s="1"/>
  <c r="F5" i="2"/>
  <c r="F4" i="2"/>
  <c r="F3" i="2"/>
  <c r="G7" i="2"/>
  <c r="G10" i="2" l="1"/>
  <c r="G9" i="2"/>
  <c r="C14" i="2"/>
  <c r="C19" i="2" l="1"/>
  <c r="C17" i="2"/>
  <c r="C21" i="2"/>
  <c r="C18" i="2"/>
  <c r="C20" i="2"/>
  <c r="C22" i="2"/>
  <c r="F21" i="2"/>
  <c r="F19" i="2"/>
  <c r="F17" i="2"/>
  <c r="F20" i="2"/>
  <c r="F22" i="2"/>
  <c r="F18" i="2"/>
  <c r="G11" i="2"/>
</calcChain>
</file>

<file path=xl/sharedStrings.xml><?xml version="1.0" encoding="utf-8"?>
<sst xmlns="http://schemas.openxmlformats.org/spreadsheetml/2006/main" count="207" uniqueCount="165">
  <si>
    <t>https://www.e-motionsupply.com/product_p/csf-mini.htm</t>
  </si>
  <si>
    <t>https://www.harmonicdrive.net/products/micro-mini-products</t>
  </si>
  <si>
    <t>Miniatur Harmonic Drives Types</t>
  </si>
  <si>
    <t>Oberarm</t>
  </si>
  <si>
    <t>[mm]</t>
  </si>
  <si>
    <t>Hand</t>
  </si>
  <si>
    <t>[kg]</t>
  </si>
  <si>
    <t>Oberarmgewicht</t>
  </si>
  <si>
    <t>Unterarmgewicht</t>
  </si>
  <si>
    <t>Handgewicht</t>
  </si>
  <si>
    <t>Drehmoment Zuschlag</t>
  </si>
  <si>
    <t>Erdbeschleuinigung</t>
  </si>
  <si>
    <t>[m/s^2]</t>
  </si>
  <si>
    <t>Sollbeschleunigung</t>
  </si>
  <si>
    <t>Drehmoment Schulter</t>
  </si>
  <si>
    <t>[Nm]</t>
  </si>
  <si>
    <t xml:space="preserve">Drehmoment Oberarm </t>
  </si>
  <si>
    <t>Drehmoment Unterarm</t>
  </si>
  <si>
    <t>Drehmoment Handgelenkdreher</t>
  </si>
  <si>
    <t>Total</t>
  </si>
  <si>
    <t>Servogewicht</t>
  </si>
  <si>
    <t>Herkulex DRS-201</t>
  </si>
  <si>
    <t>Herkulex DRS-401</t>
  </si>
  <si>
    <t>Herkulex DRS-601</t>
  </si>
  <si>
    <t>Gewicht</t>
  </si>
  <si>
    <t>https://www.kugellager-express.de/rillenkugellager-6704-2rs-61704-2rs-20x27x4-mm</t>
  </si>
  <si>
    <t>ball bearing wrist</t>
  </si>
  <si>
    <t>https://www.skf.com/group/products/bearings-units-housings/ball-bearings/deep-groove-ball-bearings/deep-groove-ball-bearings/index.html?designation=W%2061704-2ZS&amp;unit=metricUnit</t>
  </si>
  <si>
    <t>FHA-8C</t>
  </si>
  <si>
    <t>FHA-11C</t>
  </si>
  <si>
    <t>FHA-14C</t>
  </si>
  <si>
    <t>Arm gewicht</t>
  </si>
  <si>
    <t>Unterarm, Schulter</t>
  </si>
  <si>
    <t>2x</t>
  </si>
  <si>
    <t>3x</t>
  </si>
  <si>
    <t>https://www.ebay.de/itm/Edelstahlrohr-Leitungsrohr-geschweist-EN-10217-7-Lange-250mm-25cm-6-114-3/202472050197?hash=item2f24464e15:m:mshjakBsbjHzYf7Agcwt0YQ</t>
  </si>
  <si>
    <t>ball bearing 20x27x4</t>
  </si>
  <si>
    <t>ball bearing 25x32x4</t>
  </si>
  <si>
    <t>https://www.kugellager-express.de/rillenkugellager-6705-2rs-61705-2rs-25x32x4-mm</t>
  </si>
  <si>
    <t>forearm shaft reenforcement</t>
  </si>
  <si>
    <t>Steel Pipe 10x1x5cm</t>
  </si>
  <si>
    <t>Steel band 60x10x1mm</t>
  </si>
  <si>
    <t>https://www.ebay.at/itm/Edelstahl-Blechstreifen-Flachstahl-Flacheisen-Streifen-V2A-VA-1000-mm-Blank/162739720800?hash=item25e40b1260:m:mKmofqsE9KaLIvnx5VXx4rA&amp;var=461773432202</t>
  </si>
  <si>
    <t>Drehmoment Hand</t>
  </si>
  <si>
    <t>Drehmoment Handgelenknicker</t>
  </si>
  <si>
    <t>https://www.skf.com/de/products/bearings-units-housings/ball-bearings/deep-groove-ball-bearings/deep-groove-ball-bearings/index.html</t>
  </si>
  <si>
    <t>SKF Cad bearing</t>
  </si>
  <si>
    <t>https://www.kugellager-express.de/rillenkugellager-68__72_4</t>
  </si>
  <si>
    <t>duennringlager</t>
  </si>
  <si>
    <t>ball bearing Elbow</t>
  </si>
  <si>
    <t>Upperarm length</t>
  </si>
  <si>
    <t>Wrist length</t>
  </si>
  <si>
    <t>elbow + forearm length</t>
  </si>
  <si>
    <t>weight</t>
  </si>
  <si>
    <t>wrist &amp; hand length</t>
  </si>
  <si>
    <t>https://www.mhm-modellbau.de/part-TT-PV0261.php</t>
  </si>
  <si>
    <t>ball bearing Forearm shaft</t>
  </si>
  <si>
    <t>Gripper</t>
  </si>
  <si>
    <t>Worm Shaft</t>
  </si>
  <si>
    <t>Worm Bearings</t>
  </si>
  <si>
    <t>ball bearing 4x7x2.5</t>
  </si>
  <si>
    <t>ball bearing 3x7x2</t>
  </si>
  <si>
    <t>Knuckle Bearings</t>
  </si>
  <si>
    <t>Shafts Gripper 9x (2mmx24mm)</t>
  </si>
  <si>
    <t>Steel Shaft 2mm 250mm</t>
  </si>
  <si>
    <t>Shafts Finger 3x 10x 1mmx24mm</t>
  </si>
  <si>
    <t>Steel Shaft 1mm 800mm</t>
  </si>
  <si>
    <t>Centre knuckle bearings</t>
  </si>
  <si>
    <t>Screw knuckle</t>
  </si>
  <si>
    <t>Screw Servos top</t>
  </si>
  <si>
    <t>DIN 912 M2x12</t>
  </si>
  <si>
    <t>Screws Top to Cover</t>
  </si>
  <si>
    <t>DIN 912 M2x8</t>
  </si>
  <si>
    <t>Connector Top to Body</t>
  </si>
  <si>
    <t>http://www.tme.eu/de/details/tff-m2x5_dr111/distanzelemente-aus-metall/dremec/111x05/</t>
  </si>
  <si>
    <t>M2 10mm hex spacer sleeve</t>
  </si>
  <si>
    <t>DIN 912 M2x20</t>
  </si>
  <si>
    <t>Screws Bottom to Body</t>
  </si>
  <si>
    <t>Screw Servo Bottom</t>
  </si>
  <si>
    <t>DIN 912 M2x10</t>
  </si>
  <si>
    <t>DIN 912 M2.6x14</t>
  </si>
  <si>
    <t>Summary</t>
  </si>
  <si>
    <t>https://www.kugellager-express.de/miniatur-kugellager-683-w2-offen-3x7x2-mm</t>
  </si>
  <si>
    <t>https://www.kugellager-express.de/miniatur-kugellager-mr74-zz-4x7x2-5-mm</t>
  </si>
  <si>
    <t>Servo knuckle</t>
  </si>
  <si>
    <t>Herkulex DRS-0101</t>
  </si>
  <si>
    <t>https://www.francerobotique.com/servomoteurs-intelligents/175-herkulex-drs-0101-art0175-dst-robotpoids-45g-dimensions-45-x-24-x-32-mm-rapport-de-reduction-266-1-tension-dalimentation-7-12v-c.html</t>
  </si>
  <si>
    <t>Preis</t>
  </si>
  <si>
    <t>Type</t>
  </si>
  <si>
    <t>Source</t>
  </si>
  <si>
    <t>CAD</t>
  </si>
  <si>
    <t>brass pipe 4mm 3mm</t>
  </si>
  <si>
    <t>Wrist</t>
  </si>
  <si>
    <t>bearing wrist/elbow</t>
  </si>
  <si>
    <t>bearing wrist/gripper</t>
  </si>
  <si>
    <t>DIN 912 M2x5</t>
  </si>
  <si>
    <t>Screw front</t>
  </si>
  <si>
    <t>DIN 912 M2x6</t>
  </si>
  <si>
    <t>Screw Servo</t>
  </si>
  <si>
    <t>DIN 912 M2x16</t>
  </si>
  <si>
    <t>Screw halves front</t>
  </si>
  <si>
    <t>Halves Connector</t>
  </si>
  <si>
    <t>Stock</t>
  </si>
  <si>
    <t>Missing</t>
  </si>
  <si>
    <t>Herkulex DRS-0201</t>
  </si>
  <si>
    <t>Herkulex DRS-0401</t>
  </si>
  <si>
    <t>Herkulex DRS-0402</t>
  </si>
  <si>
    <t>https://www.francerobotique.com/servomoteurs-intelligents/177-herkulex-drs-0401-art0177-dst-robotpoids-123g-dimensions-56-x-35-x-38-mm-rapport-de-reduction-200-1-tension-dalimentation-95-148.html</t>
  </si>
  <si>
    <t>Herkulex DRS-0601</t>
  </si>
  <si>
    <t>Herkulex DRS-0602</t>
  </si>
  <si>
    <t>https://www.francerobotique.com/servomoteurs-intelligents/179-herkulex-drs-0601-art0179-dst-robotpoids-145g-dimensions-56-x-35-x-46mm-rapport-de-reduction-200-1-tension-dalimentation-95-148-.html</t>
  </si>
  <si>
    <t>https://www.francerobotique.com/servomoteurs-intelligents/180-herkulex-drs-0602-art0180-dst-robotpoids-145g-dimensions-56-x-35-x-46mm-rapport-de-reduction-200-1-tension-dalimentation-95-148v.html</t>
  </si>
  <si>
    <t>Finger Servo</t>
  </si>
  <si>
    <t>Servo</t>
  </si>
  <si>
    <t>Forearm</t>
  </si>
  <si>
    <t>Screw Cableholder</t>
  </si>
  <si>
    <t>Screws Shaft short</t>
  </si>
  <si>
    <t>DIN 912 M2x30</t>
  </si>
  <si>
    <t>Forearm Shaft</t>
  </si>
  <si>
    <t>M2 threaded rod 500mm</t>
  </si>
  <si>
    <t>4x62mm =288mmShaft connector</t>
  </si>
  <si>
    <t>Bearing elbow</t>
  </si>
  <si>
    <t>Elbow</t>
  </si>
  <si>
    <t>Servo Shaft</t>
  </si>
  <si>
    <t>Servo Upperarm</t>
  </si>
  <si>
    <t>Screws Servo</t>
  </si>
  <si>
    <t>Screws Halves</t>
  </si>
  <si>
    <t>https://www.birkhofer-shop.com/epages/BirkhoferVerbindungselemente.sf/de_DE/?ObjectPath=/Shops/BirkhoferVerbindungselemente/Products/04762.1.200.020.0300</t>
  </si>
  <si>
    <t>Halves connector</t>
  </si>
  <si>
    <t>https://www.tme.eu/de/details/tff-m2x25_dr121/distanzelemente-aus-metall/dremec/121x25/</t>
  </si>
  <si>
    <t>https://www.ebay.de/itm/Abstandshalter-Distanzbolzen-M2-aus-Messing-10-Stuck-7-8-10-12-18-20-30mm-lang/292035949863</t>
  </si>
  <si>
    <t>M2 round distance spacer</t>
  </si>
  <si>
    <t xml:space="preserve">M2 10mm hex spacer </t>
  </si>
  <si>
    <t xml:space="preserve">M2 25mm hex spacer </t>
  </si>
  <si>
    <t>Upperarm</t>
  </si>
  <si>
    <t>Bearing Elbow</t>
  </si>
  <si>
    <t xml:space="preserve">Servo </t>
  </si>
  <si>
    <t>Screws Elbow Servo</t>
  </si>
  <si>
    <t>DIN 912 M2x25</t>
  </si>
  <si>
    <t>Screws Elbow Bearing</t>
  </si>
  <si>
    <t>Screws Servos</t>
  </si>
  <si>
    <t>Base</t>
  </si>
  <si>
    <t>Power Supply Socket</t>
  </si>
  <si>
    <t>https://www.pollin.de/p/einbau-hohlbuchse-450596</t>
  </si>
  <si>
    <t>Hohlbuchse 5.5/2.1mm</t>
  </si>
  <si>
    <t>Screws Base Plate</t>
  </si>
  <si>
    <t>Shoulder</t>
  </si>
  <si>
    <t>Screws Servo Upperarm</t>
  </si>
  <si>
    <t>Connectors</t>
  </si>
  <si>
    <t>Screws Base Servo</t>
  </si>
  <si>
    <t>ball bearing 65x85x10</t>
  </si>
  <si>
    <t>Bearing</t>
  </si>
  <si>
    <t>4x Threaded Rod 60mm</t>
  </si>
  <si>
    <t>Electronics</t>
  </si>
  <si>
    <t>https://www.ebay.de/c/915721681</t>
  </si>
  <si>
    <t>Step down Voltage regulator 5V 2A</t>
  </si>
  <si>
    <t xml:space="preserve">Power Supply Odroid </t>
  </si>
  <si>
    <t>Odroid C2</t>
  </si>
  <si>
    <t>Controller</t>
  </si>
  <si>
    <t>Worm Shaft - Threaded Rod M2x35mm</t>
  </si>
  <si>
    <t>9x Finger Shaft Steel Rod 24mm</t>
  </si>
  <si>
    <t>Steel Rod 2x500mm</t>
  </si>
  <si>
    <t>Finger</t>
  </si>
  <si>
    <t>3x10x1mm Finger Shaft</t>
  </si>
  <si>
    <t>Steel Rod 1x500mm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</si>
</sst>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-* #,##0.00\ &quot;€&quot;_-;\-* #,##0.00\ &quot;€&quot;_-;_-* &quot;-&quot;??\ &quot;€&quot;_-;_-@_-"/>
    <numFmt numFmtId="165" formatCode="0.0"/>
    <numFmt numFmtId="166" formatCode="_-* #,##0.0\ _€_-;\-* #,##0.0\ _€_-;_-* &quot;-&quot;??\ _€_-;_-@_-"/>
    <numFmt numFmtId="167" formatCode="0.000\ \V"/>
    <numFmt numFmtId="168" formatCode="0.000000"/>
    <numFmt numFmtId="169" formatCode="_-* #,##0.000\ _€_-;\-* #,##0.000\ _€_-;_-* &quot;-&quot;??\ _€_-;_-@_-"/>
    <numFmt numFmtId="170" formatCode="_-* #,##0\ _€_-;\-* #,##0\ _€_-;_-* &quot;-&quot;??\ _€_-;_-@_-"/>
    <numFmt numFmtId="171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26">
    <xf numFmtId="0" fontId="0" fillId="0" borderId="0" xfId="0"/>
    <xf numFmtId="2" fontId="0" fillId="0" borderId="0" xfId="0" applyNumberFormat="1"/>
    <xf numFmtId="165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 vertical="center" wrapText="1"/>
    </xf>
    <xf numFmtId="9" fontId="0" fillId="0" borderId="0" xfId="2" applyFont="1"/>
    <xf numFmtId="0" fontId="3" fillId="0" borderId="0" xfId="3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66" fontId="0" fillId="0" borderId="0" xfId="1" applyNumberFormat="1" applyFont="1"/>
    <xf numFmtId="167" fontId="0" fillId="0" borderId="0" xfId="0" applyNumberFormat="1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  <xf numFmtId="169" fontId="0" fillId="0" borderId="0" xfId="1" applyNumberFormat="1" applyFont="1"/>
    <xf numFmtId="0" fontId="2" fillId="0" borderId="0" xfId="0" applyFont="1" applyAlignment="1">
      <alignment horizontal="center" vertical="center" wrapText="1"/>
    </xf>
    <xf numFmtId="0" fontId="3" fillId="0" borderId="0" xfId="3" applyAlignment="1">
      <alignment horizontal="left" vertical="center"/>
    </xf>
    <xf numFmtId="170" fontId="0" fillId="0" borderId="0" xfId="1" applyNumberFormat="1" applyFont="1"/>
    <xf numFmtId="169" fontId="3" fillId="0" borderId="0" xfId="3" applyNumberFormat="1" applyAlignment="1">
      <alignment horizontal="center" vertical="center" wrapText="1"/>
    </xf>
    <xf numFmtId="171" fontId="0" fillId="0" borderId="0" xfId="0" applyNumberFormat="1"/>
    <xf numFmtId="2" fontId="0" fillId="0" borderId="0" xfId="0" applyNumberFormat="1" applyAlignment="1">
      <alignment horizontal="right"/>
    </xf>
    <xf numFmtId="0" fontId="1" fillId="0" borderId="0" xfId="0" applyFont="1"/>
    <xf numFmtId="0" fontId="3" fillId="0" borderId="0" xfId="3"/>
    <xf numFmtId="0" fontId="2" fillId="0" borderId="0" xfId="0" applyFont="1"/>
    <xf numFmtId="164" fontId="0" fillId="0" borderId="0" xfId="4" applyFont="1"/>
    <xf numFmtId="164" fontId="0" fillId="0" borderId="0" xfId="0" applyNumberFormat="1"/>
    <xf numFmtId="164" fontId="4" fillId="0" borderId="0" xfId="0" applyNumberFormat="1" applyFont="1"/>
    <xf numFmtId="0" fontId="0" fillId="0" borderId="0" xfId="2" applyNumberFormat="1" applyFont="1"/>
    <xf numFmtId="0" fontId="0" fillId="0" borderId="0" xfId="0" applyFont="1"/>
  </cellXfs>
  <cellStyles count="5">
    <cellStyle name="Comma" xfId="1" builtinId="3"/>
    <cellStyle name="Currency" xfId="4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bay.de/itm/Abstandshalter-Distanzbolzen-M2-aus-Messing-10-Stuck-7-8-10-12-18-20-30mm-lang/292035949863" TargetMode="External"/><Relationship Id="rId1" Type="http://schemas.openxmlformats.org/officeDocument/2006/relationships/hyperlink" Target="https://www.kugellager-express.de/rillenkugellager-6705-2rs-61705-2rs-25x32x4-m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B5" sqref="B5"/>
    </sheetView>
  </sheetViews>
  <sheetFormatPr defaultColWidth="9" defaultRowHeight="15" x14ac:dyDescent="0.25"/>
  <cols>
    <col min="2" max="2" width="33.28515625" customWidth="1"/>
  </cols>
  <sheetData>
    <row r="1" spans="1:3" x14ac:dyDescent="0.25">
      <c r="C1" t="s">
        <v>0</v>
      </c>
    </row>
    <row r="2" spans="1:3" x14ac:dyDescent="0.25">
      <c r="A2" t="s">
        <v>2</v>
      </c>
      <c r="C2" t="s">
        <v>1</v>
      </c>
    </row>
    <row r="3" spans="1:3" x14ac:dyDescent="0.25">
      <c r="B3" t="s">
        <v>46</v>
      </c>
      <c r="C3" t="s">
        <v>45</v>
      </c>
    </row>
    <row r="4" spans="1:3" x14ac:dyDescent="0.25">
      <c r="B4" t="s">
        <v>48</v>
      </c>
      <c r="C4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6A100-131C-4505-B57E-D75729258986}">
  <dimension ref="A2:L116"/>
  <sheetViews>
    <sheetView tabSelected="1" workbookViewId="0">
      <selection activeCell="A5" sqref="A5:XFD5"/>
    </sheetView>
  </sheetViews>
  <sheetFormatPr defaultColWidth="11.42578125" defaultRowHeight="15" x14ac:dyDescent="0.25"/>
  <cols>
    <col min="3" max="3" width="23.28515625" customWidth="1"/>
    <col min="4" max="6" width="27" customWidth="1"/>
    <col min="7" max="7" width="15.7109375" customWidth="1"/>
    <col min="8" max="8" width="7.42578125" bestFit="1" customWidth="1"/>
    <col min="9" max="9" width="9.28515625" bestFit="1" customWidth="1"/>
    <col min="10" max="10" width="28" customWidth="1"/>
  </cols>
  <sheetData>
    <row r="2" spans="1:9" x14ac:dyDescent="0.25">
      <c r="A2" s="20" t="s">
        <v>162</v>
      </c>
    </row>
    <row r="3" spans="1:9" x14ac:dyDescent="0.25">
      <c r="B3">
        <v>1</v>
      </c>
      <c r="C3" t="s">
        <v>160</v>
      </c>
      <c r="D3" t="str">
        <f>D110</f>
        <v>Steel Rod 2x500mm</v>
      </c>
    </row>
    <row r="4" spans="1:9" x14ac:dyDescent="0.25">
      <c r="B4">
        <v>1</v>
      </c>
      <c r="C4" t="s">
        <v>163</v>
      </c>
      <c r="D4" t="str">
        <f>D111</f>
        <v>Steel Rod 1x500mm</v>
      </c>
    </row>
    <row r="6" spans="1:9" x14ac:dyDescent="0.25">
      <c r="A6" s="20" t="s">
        <v>57</v>
      </c>
    </row>
    <row r="7" spans="1:9" x14ac:dyDescent="0.25">
      <c r="B7">
        <v>1</v>
      </c>
      <c r="C7" t="s">
        <v>63</v>
      </c>
      <c r="D7" t="s">
        <v>64</v>
      </c>
    </row>
    <row r="8" spans="1:9" x14ac:dyDescent="0.25">
      <c r="B8">
        <v>1</v>
      </c>
      <c r="C8" t="s">
        <v>65</v>
      </c>
      <c r="D8" t="s">
        <v>66</v>
      </c>
    </row>
    <row r="9" spans="1:9" x14ac:dyDescent="0.25">
      <c r="B9">
        <v>1</v>
      </c>
      <c r="C9" t="s">
        <v>58</v>
      </c>
      <c r="D9" t="s">
        <v>91</v>
      </c>
    </row>
    <row r="10" spans="1:9" x14ac:dyDescent="0.25">
      <c r="B10">
        <v>2</v>
      </c>
      <c r="C10" t="s">
        <v>59</v>
      </c>
      <c r="D10" t="str">
        <f>D80</f>
        <v>ball bearing 4x7x2.5</v>
      </c>
    </row>
    <row r="11" spans="1:9" x14ac:dyDescent="0.25">
      <c r="B11">
        <v>4</v>
      </c>
      <c r="C11" t="s">
        <v>62</v>
      </c>
      <c r="D11" t="str">
        <f>D81</f>
        <v>ball bearing 3x7x2</v>
      </c>
    </row>
    <row r="12" spans="1:9" x14ac:dyDescent="0.25">
      <c r="B12">
        <v>1</v>
      </c>
      <c r="C12" t="s">
        <v>67</v>
      </c>
      <c r="D12" t="str">
        <f>D81</f>
        <v>ball bearing 3x7x2</v>
      </c>
    </row>
    <row r="13" spans="1:9" x14ac:dyDescent="0.25">
      <c r="B13">
        <v>2</v>
      </c>
      <c r="C13" t="s">
        <v>68</v>
      </c>
      <c r="D13" t="str">
        <f>D98</f>
        <v>DIN 912 M2.6x14</v>
      </c>
    </row>
    <row r="14" spans="1:9" x14ac:dyDescent="0.25">
      <c r="B14">
        <v>4</v>
      </c>
      <c r="C14" t="s">
        <v>69</v>
      </c>
      <c r="D14" t="s">
        <v>70</v>
      </c>
    </row>
    <row r="15" spans="1:9" x14ac:dyDescent="0.25">
      <c r="B15">
        <v>3</v>
      </c>
      <c r="C15" t="s">
        <v>71</v>
      </c>
      <c r="D15" t="s">
        <v>70</v>
      </c>
    </row>
    <row r="16" spans="1:9" x14ac:dyDescent="0.25">
      <c r="B16">
        <v>3</v>
      </c>
      <c r="C16" t="s">
        <v>73</v>
      </c>
      <c r="D16" s="18" t="s">
        <v>75</v>
      </c>
      <c r="E16" s="18"/>
      <c r="F16" s="18"/>
      <c r="G16" s="18"/>
      <c r="H16" s="18"/>
      <c r="I16" s="18"/>
    </row>
    <row r="17" spans="1:12" x14ac:dyDescent="0.25">
      <c r="B17">
        <v>3</v>
      </c>
      <c r="C17" t="s">
        <v>77</v>
      </c>
      <c r="D17" t="s">
        <v>76</v>
      </c>
      <c r="K17" s="18"/>
      <c r="L17" s="18"/>
    </row>
    <row r="18" spans="1:12" x14ac:dyDescent="0.25">
      <c r="B18">
        <v>4</v>
      </c>
      <c r="C18" t="s">
        <v>78</v>
      </c>
      <c r="D18" t="s">
        <v>79</v>
      </c>
    </row>
    <row r="19" spans="1:12" x14ac:dyDescent="0.25">
      <c r="B19">
        <v>1</v>
      </c>
      <c r="C19" t="s">
        <v>84</v>
      </c>
      <c r="D19" t="str">
        <f>D100</f>
        <v>Herkulex DRS-0101</v>
      </c>
    </row>
    <row r="20" spans="1:12" x14ac:dyDescent="0.25">
      <c r="B20">
        <v>1</v>
      </c>
      <c r="C20" t="s">
        <v>112</v>
      </c>
      <c r="D20" t="str">
        <f>D101</f>
        <v>Herkulex DRS-0201</v>
      </c>
    </row>
    <row r="21" spans="1:12" x14ac:dyDescent="0.25">
      <c r="B21">
        <v>1</v>
      </c>
      <c r="C21" t="s">
        <v>159</v>
      </c>
    </row>
    <row r="23" spans="1:12" x14ac:dyDescent="0.25">
      <c r="A23" s="20" t="s">
        <v>92</v>
      </c>
      <c r="B23">
        <v>1</v>
      </c>
      <c r="C23" t="s">
        <v>94</v>
      </c>
      <c r="D23" t="str">
        <f>D83</f>
        <v>ball bearing 25x32x4</v>
      </c>
    </row>
    <row r="24" spans="1:12" x14ac:dyDescent="0.25">
      <c r="B24">
        <v>1</v>
      </c>
      <c r="C24" t="s">
        <v>93</v>
      </c>
      <c r="D24" t="str">
        <f>D82</f>
        <v>ball bearing 20x27x4</v>
      </c>
    </row>
    <row r="25" spans="1:12" ht="14.65" customHeight="1" x14ac:dyDescent="0.25">
      <c r="B25">
        <v>4</v>
      </c>
      <c r="C25" t="s">
        <v>96</v>
      </c>
      <c r="D25" t="str">
        <f>D89</f>
        <v>DIN 912 M2x6</v>
      </c>
    </row>
    <row r="26" spans="1:12" x14ac:dyDescent="0.25">
      <c r="A26" s="20"/>
      <c r="B26">
        <v>8</v>
      </c>
      <c r="C26" t="s">
        <v>98</v>
      </c>
      <c r="D26" t="str">
        <f>D90</f>
        <v>DIN 912 M2x8</v>
      </c>
    </row>
    <row r="27" spans="1:12" x14ac:dyDescent="0.25">
      <c r="B27">
        <v>2</v>
      </c>
      <c r="C27" t="s">
        <v>100</v>
      </c>
      <c r="D27" t="str">
        <f>D94</f>
        <v>DIN 912 M2x20</v>
      </c>
    </row>
    <row r="28" spans="1:12" ht="14.65" customHeight="1" x14ac:dyDescent="0.25">
      <c r="B28">
        <v>1</v>
      </c>
      <c r="C28" t="s">
        <v>101</v>
      </c>
      <c r="D28" t="str">
        <f>D85</f>
        <v xml:space="preserve">M2 10mm hex spacer </v>
      </c>
    </row>
    <row r="29" spans="1:12" x14ac:dyDescent="0.25">
      <c r="B29">
        <v>2</v>
      </c>
      <c r="C29" t="s">
        <v>26</v>
      </c>
      <c r="D29" t="str">
        <f>D81</f>
        <v>ball bearing 3x7x2</v>
      </c>
    </row>
    <row r="30" spans="1:12" x14ac:dyDescent="0.25">
      <c r="B30">
        <v>1</v>
      </c>
      <c r="C30" t="s">
        <v>49</v>
      </c>
      <c r="D30" t="str">
        <f>D82</f>
        <v>ball bearing 20x27x4</v>
      </c>
    </row>
    <row r="31" spans="1:12" x14ac:dyDescent="0.25">
      <c r="B31">
        <v>2</v>
      </c>
      <c r="C31" t="s">
        <v>56</v>
      </c>
      <c r="D31" t="str">
        <f>D83</f>
        <v>ball bearing 25x32x4</v>
      </c>
    </row>
    <row r="32" spans="1:12" x14ac:dyDescent="0.25">
      <c r="B32">
        <v>1</v>
      </c>
      <c r="C32" t="s">
        <v>113</v>
      </c>
      <c r="D32" t="str">
        <f>D102</f>
        <v>Herkulex DRS-0401</v>
      </c>
    </row>
    <row r="34" spans="1:4" x14ac:dyDescent="0.25">
      <c r="A34" s="20" t="s">
        <v>114</v>
      </c>
    </row>
    <row r="35" spans="1:4" x14ac:dyDescent="0.25">
      <c r="B35">
        <v>4</v>
      </c>
      <c r="C35" t="s">
        <v>98</v>
      </c>
      <c r="D35" t="str">
        <f>D94</f>
        <v>DIN 912 M2x20</v>
      </c>
    </row>
    <row r="36" spans="1:4" x14ac:dyDescent="0.25">
      <c r="B36">
        <v>4</v>
      </c>
      <c r="C36" t="s">
        <v>115</v>
      </c>
      <c r="D36" t="str">
        <f>D93</f>
        <v>DIN 912 M2x16</v>
      </c>
    </row>
    <row r="37" spans="1:4" x14ac:dyDescent="0.25">
      <c r="B37">
        <v>4</v>
      </c>
      <c r="C37" t="s">
        <v>116</v>
      </c>
      <c r="D37" t="str">
        <f>D94</f>
        <v>DIN 912 M2x20</v>
      </c>
    </row>
    <row r="38" spans="1:4" x14ac:dyDescent="0.25">
      <c r="B38">
        <v>4</v>
      </c>
      <c r="C38" t="s">
        <v>116</v>
      </c>
      <c r="D38" t="str">
        <f>D96</f>
        <v>DIN 912 M2x30</v>
      </c>
    </row>
    <row r="41" spans="1:4" x14ac:dyDescent="0.25">
      <c r="A41" s="20" t="s">
        <v>118</v>
      </c>
    </row>
    <row r="42" spans="1:4" x14ac:dyDescent="0.25">
      <c r="B42">
        <v>1</v>
      </c>
      <c r="C42" t="s">
        <v>39</v>
      </c>
      <c r="D42" t="s">
        <v>40</v>
      </c>
    </row>
    <row r="43" spans="1:4" x14ac:dyDescent="0.25">
      <c r="B43">
        <v>1</v>
      </c>
      <c r="C43" t="s">
        <v>120</v>
      </c>
      <c r="D43" t="str">
        <f>D109</f>
        <v>M2 threaded rod 500mm</v>
      </c>
    </row>
    <row r="44" spans="1:4" x14ac:dyDescent="0.25">
      <c r="B44">
        <v>2</v>
      </c>
      <c r="C44" t="s">
        <v>121</v>
      </c>
      <c r="D44" t="str">
        <f>D83</f>
        <v>ball bearing 25x32x4</v>
      </c>
    </row>
    <row r="46" spans="1:4" x14ac:dyDescent="0.25">
      <c r="A46" s="20" t="s">
        <v>122</v>
      </c>
    </row>
    <row r="47" spans="1:4" x14ac:dyDescent="0.25">
      <c r="B47">
        <v>1</v>
      </c>
      <c r="C47" t="s">
        <v>123</v>
      </c>
      <c r="D47" t="str">
        <f>D101</f>
        <v>Herkulex DRS-0201</v>
      </c>
    </row>
    <row r="48" spans="1:4" x14ac:dyDescent="0.25">
      <c r="B48">
        <v>1</v>
      </c>
      <c r="C48" t="s">
        <v>124</v>
      </c>
      <c r="D48" t="str">
        <f>D105</f>
        <v>Herkulex DRS-0602</v>
      </c>
    </row>
    <row r="49" spans="1:4" x14ac:dyDescent="0.25">
      <c r="B49">
        <v>12</v>
      </c>
      <c r="C49" t="s">
        <v>125</v>
      </c>
      <c r="D49" t="str">
        <f>D90</f>
        <v>DIN 912 M2x8</v>
      </c>
    </row>
    <row r="50" spans="1:4" x14ac:dyDescent="0.25">
      <c r="B50">
        <v>10</v>
      </c>
      <c r="C50" t="s">
        <v>126</v>
      </c>
      <c r="D50" t="str">
        <f>D96</f>
        <v>DIN 912 M2x30</v>
      </c>
    </row>
    <row r="51" spans="1:4" x14ac:dyDescent="0.25">
      <c r="B51">
        <v>10</v>
      </c>
      <c r="C51" t="s">
        <v>128</v>
      </c>
      <c r="D51" t="str">
        <f>D85</f>
        <v xml:space="preserve">M2 10mm hex spacer </v>
      </c>
    </row>
    <row r="53" spans="1:4" x14ac:dyDescent="0.25">
      <c r="A53" s="20" t="s">
        <v>134</v>
      </c>
      <c r="B53">
        <v>1</v>
      </c>
      <c r="C53" t="s">
        <v>135</v>
      </c>
      <c r="D53" t="str">
        <f>D82</f>
        <v>ball bearing 20x27x4</v>
      </c>
    </row>
    <row r="54" spans="1:4" x14ac:dyDescent="0.25">
      <c r="B54">
        <v>2</v>
      </c>
      <c r="C54" t="s">
        <v>136</v>
      </c>
      <c r="D54" t="str">
        <f>D102</f>
        <v>Herkulex DRS-0401</v>
      </c>
    </row>
    <row r="55" spans="1:4" x14ac:dyDescent="0.25">
      <c r="B55">
        <v>4</v>
      </c>
      <c r="C55" t="s">
        <v>137</v>
      </c>
      <c r="D55" t="str">
        <f>D95</f>
        <v>DIN 912 M2x25</v>
      </c>
    </row>
    <row r="56" spans="1:4" x14ac:dyDescent="0.25">
      <c r="B56">
        <v>4</v>
      </c>
      <c r="C56" t="s">
        <v>139</v>
      </c>
      <c r="D56" t="str">
        <f>D93</f>
        <v>DIN 912 M2x16</v>
      </c>
    </row>
    <row r="57" spans="1:4" x14ac:dyDescent="0.25">
      <c r="B57">
        <v>4</v>
      </c>
      <c r="C57" t="s">
        <v>126</v>
      </c>
      <c r="D57" t="str">
        <f>D94</f>
        <v>DIN 912 M2x20</v>
      </c>
    </row>
    <row r="58" spans="1:4" x14ac:dyDescent="0.25">
      <c r="B58">
        <v>12</v>
      </c>
      <c r="C58" t="s">
        <v>140</v>
      </c>
      <c r="D58" t="str">
        <f>D91</f>
        <v>DIN 912 M2x10</v>
      </c>
    </row>
    <row r="59" spans="1:4" x14ac:dyDescent="0.25">
      <c r="B59">
        <v>8</v>
      </c>
      <c r="C59" t="s">
        <v>101</v>
      </c>
      <c r="D59" t="str">
        <f>D85</f>
        <v xml:space="preserve">M2 10mm hex spacer </v>
      </c>
    </row>
    <row r="61" spans="1:4" x14ac:dyDescent="0.25">
      <c r="A61" s="20" t="s">
        <v>146</v>
      </c>
    </row>
    <row r="62" spans="1:4" x14ac:dyDescent="0.25">
      <c r="B62">
        <v>1</v>
      </c>
      <c r="C62" t="s">
        <v>113</v>
      </c>
      <c r="D62" t="str">
        <f>D102</f>
        <v>Herkulex DRS-0401</v>
      </c>
    </row>
    <row r="63" spans="1:4" x14ac:dyDescent="0.25">
      <c r="B63">
        <v>8</v>
      </c>
      <c r="C63" t="s">
        <v>147</v>
      </c>
      <c r="D63" t="str">
        <f>D94</f>
        <v>DIN 912 M2x20</v>
      </c>
    </row>
    <row r="64" spans="1:4" x14ac:dyDescent="0.25">
      <c r="B64">
        <v>8</v>
      </c>
      <c r="C64" t="s">
        <v>126</v>
      </c>
      <c r="D64" t="str">
        <f>D91</f>
        <v>DIN 912 M2x10</v>
      </c>
    </row>
    <row r="65" spans="1:11" x14ac:dyDescent="0.25">
      <c r="B65">
        <v>4</v>
      </c>
      <c r="C65" t="s">
        <v>145</v>
      </c>
      <c r="D65" t="str">
        <f>D94</f>
        <v>DIN 912 M2x20</v>
      </c>
    </row>
    <row r="66" spans="1:11" x14ac:dyDescent="0.25">
      <c r="B66">
        <v>8</v>
      </c>
      <c r="C66" t="s">
        <v>148</v>
      </c>
      <c r="D66" t="str">
        <f>D85</f>
        <v xml:space="preserve">M2 10mm hex spacer </v>
      </c>
    </row>
    <row r="67" spans="1:11" x14ac:dyDescent="0.25">
      <c r="B67">
        <v>4</v>
      </c>
      <c r="C67" t="s">
        <v>149</v>
      </c>
      <c r="D67" t="str">
        <f>D91</f>
        <v>DIN 912 M2x10</v>
      </c>
    </row>
    <row r="68" spans="1:11" x14ac:dyDescent="0.25">
      <c r="B68">
        <v>2</v>
      </c>
      <c r="C68" t="s">
        <v>151</v>
      </c>
      <c r="D68" t="str">
        <f>D84</f>
        <v>ball bearing 65x85x10</v>
      </c>
    </row>
    <row r="69" spans="1:11" x14ac:dyDescent="0.25">
      <c r="B69">
        <v>1</v>
      </c>
      <c r="C69" t="s">
        <v>152</v>
      </c>
      <c r="D69" t="str">
        <f>D109</f>
        <v>M2 threaded rod 500mm</v>
      </c>
    </row>
    <row r="70" spans="1:11" x14ac:dyDescent="0.25">
      <c r="A70" s="20" t="s">
        <v>141</v>
      </c>
    </row>
    <row r="71" spans="1:11" x14ac:dyDescent="0.25">
      <c r="B71">
        <v>1</v>
      </c>
      <c r="C71" t="s">
        <v>142</v>
      </c>
      <c r="D71" t="str">
        <f>D112</f>
        <v>Hohlbuchse 5.5/2.1mm</v>
      </c>
    </row>
    <row r="72" spans="1:11" x14ac:dyDescent="0.25">
      <c r="B72">
        <v>4</v>
      </c>
      <c r="C72" t="s">
        <v>125</v>
      </c>
      <c r="D72" t="str">
        <f>D91</f>
        <v>DIN 912 M2x10</v>
      </c>
    </row>
    <row r="73" spans="1:11" x14ac:dyDescent="0.25">
      <c r="B73">
        <v>9</v>
      </c>
      <c r="C73" t="s">
        <v>145</v>
      </c>
      <c r="D73" t="str">
        <f>D94</f>
        <v>DIN 912 M2x20</v>
      </c>
    </row>
    <row r="75" spans="1:11" x14ac:dyDescent="0.25">
      <c r="A75" s="20" t="s">
        <v>153</v>
      </c>
    </row>
    <row r="76" spans="1:11" x14ac:dyDescent="0.25">
      <c r="A76" s="20"/>
      <c r="B76">
        <v>1</v>
      </c>
      <c r="C76" t="s">
        <v>158</v>
      </c>
      <c r="D76" t="str">
        <f>D114</f>
        <v>Odroid C2</v>
      </c>
    </row>
    <row r="77" spans="1:11" x14ac:dyDescent="0.25">
      <c r="B77">
        <v>1</v>
      </c>
      <c r="C77" t="s">
        <v>156</v>
      </c>
      <c r="D77" t="str">
        <f>D113</f>
        <v>Step down Voltage regulator 5V 2A</v>
      </c>
    </row>
    <row r="79" spans="1:11" s="20" customFormat="1" x14ac:dyDescent="0.25">
      <c r="A79" s="20" t="s">
        <v>81</v>
      </c>
      <c r="D79" s="20" t="s">
        <v>88</v>
      </c>
      <c r="E79" s="20" t="s">
        <v>87</v>
      </c>
      <c r="H79" s="20" t="s">
        <v>102</v>
      </c>
      <c r="I79" s="20" t="s">
        <v>103</v>
      </c>
      <c r="J79" s="20" t="s">
        <v>89</v>
      </c>
      <c r="K79" s="20" t="s">
        <v>90</v>
      </c>
    </row>
    <row r="80" spans="1:11" x14ac:dyDescent="0.25">
      <c r="B80">
        <f>SUMIF($D$1:$D$72,D80,$B$1:$B$72)</f>
        <v>2</v>
      </c>
      <c r="D80" t="s">
        <v>60</v>
      </c>
      <c r="E80" s="21">
        <v>1.3</v>
      </c>
      <c r="F80" s="22">
        <f>E80*B80</f>
        <v>2.6</v>
      </c>
      <c r="G80" s="22"/>
      <c r="H80" s="22"/>
      <c r="I80" s="24">
        <f t="shared" ref="I80:I81" si="0">IF(B80-H80&gt;=0,B80-H80,0)</f>
        <v>2</v>
      </c>
      <c r="J80" t="s">
        <v>83</v>
      </c>
    </row>
    <row r="81" spans="2:11" x14ac:dyDescent="0.25">
      <c r="B81">
        <f>SUMIF($D$1:$D$72,D81,$B$1:$B$72)</f>
        <v>7</v>
      </c>
      <c r="D81" t="s">
        <v>61</v>
      </c>
      <c r="E81" s="21">
        <v>1.3</v>
      </c>
      <c r="F81" s="22">
        <f t="shared" ref="F81:F83" si="1">E81*B81</f>
        <v>9.1</v>
      </c>
      <c r="G81" s="22"/>
      <c r="H81" s="22"/>
      <c r="I81" s="24">
        <f t="shared" si="0"/>
        <v>7</v>
      </c>
      <c r="J81" t="s">
        <v>82</v>
      </c>
      <c r="K81" t="s">
        <v>27</v>
      </c>
    </row>
    <row r="82" spans="2:11" x14ac:dyDescent="0.25">
      <c r="B82">
        <f>SUMIF($D$1:$D$72,D82,$B$1:$B$72)</f>
        <v>3</v>
      </c>
      <c r="D82" t="s">
        <v>36</v>
      </c>
      <c r="E82" s="21">
        <v>5</v>
      </c>
      <c r="F82" s="22">
        <f t="shared" si="1"/>
        <v>15</v>
      </c>
      <c r="G82" s="22"/>
      <c r="H82" s="24">
        <v>3</v>
      </c>
      <c r="I82" s="24">
        <f>IF(B82-H82&gt;=0,B82-H82,0)</f>
        <v>0</v>
      </c>
      <c r="J82" t="s">
        <v>25</v>
      </c>
      <c r="K82" t="s">
        <v>27</v>
      </c>
    </row>
    <row r="83" spans="2:11" x14ac:dyDescent="0.25">
      <c r="B83">
        <f>SUMIF($D$1:$D$72,D83,$B$1:$B$72)</f>
        <v>5</v>
      </c>
      <c r="D83" t="s">
        <v>37</v>
      </c>
      <c r="E83" s="21">
        <v>5</v>
      </c>
      <c r="F83" s="22">
        <f t="shared" si="1"/>
        <v>25</v>
      </c>
      <c r="G83" s="22"/>
      <c r="H83" s="24">
        <v>2</v>
      </c>
      <c r="I83" s="24">
        <f>IF(B83-H83&gt;=0,B83-H83,0)</f>
        <v>3</v>
      </c>
      <c r="J83" s="19" t="s">
        <v>38</v>
      </c>
    </row>
    <row r="84" spans="2:11" x14ac:dyDescent="0.25">
      <c r="B84">
        <f>SUMIF($D$1:$D$72,D84,$B$1:$B$72)</f>
        <v>2</v>
      </c>
      <c r="D84" t="s">
        <v>150</v>
      </c>
    </row>
    <row r="85" spans="2:11" x14ac:dyDescent="0.25">
      <c r="B85">
        <f>SUMIF($D$1:$D$72,D85,$B$1:$B$72)</f>
        <v>27</v>
      </c>
      <c r="D85" s="25" t="s">
        <v>132</v>
      </c>
      <c r="E85" s="18"/>
      <c r="F85" s="18"/>
      <c r="G85" s="18"/>
      <c r="H85" s="18">
        <v>10</v>
      </c>
      <c r="I85" s="24">
        <f>IF(B85-H85&gt;=0,B85-H85,0)</f>
        <v>17</v>
      </c>
      <c r="J85" s="19" t="s">
        <v>74</v>
      </c>
    </row>
    <row r="86" spans="2:11" x14ac:dyDescent="0.25">
      <c r="B86">
        <f>SUMIF($D$1:$D$72,D86,$B$1:$B$72)</f>
        <v>0</v>
      </c>
      <c r="D86" s="25" t="s">
        <v>133</v>
      </c>
      <c r="E86" s="18"/>
      <c r="F86" s="18"/>
      <c r="G86" s="18"/>
      <c r="H86" s="18">
        <v>0</v>
      </c>
      <c r="I86" s="24">
        <f>IF(B86-H86&gt;=0,B86-H86,0)</f>
        <v>0</v>
      </c>
      <c r="J86" s="19" t="s">
        <v>129</v>
      </c>
    </row>
    <row r="87" spans="2:11" x14ac:dyDescent="0.25">
      <c r="B87">
        <f>SUMIF($D$1:$D$72,D87,$B$1:$B$72)</f>
        <v>0</v>
      </c>
      <c r="D87" s="25" t="s">
        <v>131</v>
      </c>
      <c r="J87" s="19" t="s">
        <v>130</v>
      </c>
    </row>
    <row r="88" spans="2:11" x14ac:dyDescent="0.25">
      <c r="B88">
        <f>SUMIF($D$1:$D$72,D88,$B$1:$B$72)</f>
        <v>0</v>
      </c>
      <c r="D88" t="s">
        <v>95</v>
      </c>
    </row>
    <row r="89" spans="2:11" x14ac:dyDescent="0.25">
      <c r="B89">
        <f>SUMIF($D$1:$D$72,D89,$B$1:$B$72)</f>
        <v>4</v>
      </c>
      <c r="D89" t="s">
        <v>97</v>
      </c>
    </row>
    <row r="90" spans="2:11" x14ac:dyDescent="0.25">
      <c r="B90">
        <f>SUMIF($D$1:$D$72,D90,$B$1:$B$72)</f>
        <v>20</v>
      </c>
      <c r="D90" t="s">
        <v>72</v>
      </c>
    </row>
    <row r="91" spans="2:11" x14ac:dyDescent="0.25">
      <c r="B91">
        <f>SUMIF($D$1:$D$72,D91,$B$1:$B$72)</f>
        <v>32</v>
      </c>
      <c r="D91" t="s">
        <v>79</v>
      </c>
    </row>
    <row r="92" spans="2:11" x14ac:dyDescent="0.25">
      <c r="B92">
        <f>SUMIF($D$1:$D$72,D92,$B$1:$B$72)</f>
        <v>7</v>
      </c>
      <c r="D92" t="s">
        <v>70</v>
      </c>
    </row>
    <row r="93" spans="2:11" x14ac:dyDescent="0.25">
      <c r="B93">
        <f>SUMIF($D$1:$D$72,D93,$B$1:$B$72)</f>
        <v>8</v>
      </c>
      <c r="D93" t="s">
        <v>99</v>
      </c>
    </row>
    <row r="94" spans="2:11" x14ac:dyDescent="0.25">
      <c r="B94">
        <f>SUMIF($D$1:$D$72,D94,$B$1:$B$72)</f>
        <v>29</v>
      </c>
      <c r="D94" t="s">
        <v>76</v>
      </c>
    </row>
    <row r="95" spans="2:11" x14ac:dyDescent="0.25">
      <c r="B95">
        <f>SUMIF($D$1:$D$72,D95,$B$1:$B$72)</f>
        <v>4</v>
      </c>
      <c r="D95" t="s">
        <v>138</v>
      </c>
    </row>
    <row r="96" spans="2:11" x14ac:dyDescent="0.25">
      <c r="B96">
        <f>SUMIF($D$1:$D$72,D96,$B$1:$B$72)</f>
        <v>14</v>
      </c>
      <c r="D96" t="s">
        <v>117</v>
      </c>
      <c r="J96" t="s">
        <v>127</v>
      </c>
    </row>
    <row r="98" spans="2:10" x14ac:dyDescent="0.25">
      <c r="B98">
        <f>SUMIF($D$1:$D$72,D98,$B$1:$B$72)</f>
        <v>2</v>
      </c>
      <c r="D98" t="s">
        <v>80</v>
      </c>
      <c r="H98">
        <v>10</v>
      </c>
      <c r="I98" s="24">
        <f>IF(B98-H98&gt;=0,B98-H98,0)</f>
        <v>0</v>
      </c>
      <c r="J98" t="s">
        <v>55</v>
      </c>
    </row>
    <row r="100" spans="2:10" x14ac:dyDescent="0.25">
      <c r="B100">
        <f>SUMIF($D$1:$D$72,D100,$B$1:$B$72)</f>
        <v>1</v>
      </c>
      <c r="D100" t="s">
        <v>85</v>
      </c>
      <c r="E100" s="21">
        <v>36.9</v>
      </c>
      <c r="F100" s="22">
        <f t="shared" ref="F100:F105" si="2">E100*B100</f>
        <v>36.9</v>
      </c>
      <c r="G100" s="22">
        <f>I100*E100</f>
        <v>0</v>
      </c>
      <c r="H100" s="24">
        <v>5</v>
      </c>
      <c r="I100" s="24">
        <f>IF(B100-H100&gt;=0,B100-H100,0)</f>
        <v>0</v>
      </c>
      <c r="J100" t="s">
        <v>86</v>
      </c>
    </row>
    <row r="101" spans="2:10" x14ac:dyDescent="0.25">
      <c r="B101">
        <f>SUMIF($D$1:$D$72,D101,$B$1:$B$72)</f>
        <v>2</v>
      </c>
      <c r="D101" t="s">
        <v>104</v>
      </c>
      <c r="E101" s="21">
        <v>36.9</v>
      </c>
      <c r="F101" s="22">
        <f t="shared" si="2"/>
        <v>73.8</v>
      </c>
      <c r="G101" s="22">
        <f t="shared" ref="G101:G105" si="3">I101*E101</f>
        <v>0</v>
      </c>
      <c r="H101" s="24">
        <v>5</v>
      </c>
      <c r="I101" s="24">
        <f t="shared" ref="I101:I114" si="4">IF(B101-H101&gt;=0,B101-H101,0)</f>
        <v>0</v>
      </c>
      <c r="J101" t="s">
        <v>86</v>
      </c>
    </row>
    <row r="102" spans="2:10" x14ac:dyDescent="0.25">
      <c r="B102">
        <f>SUMIF($D$1:$D$72,D102,$B$1:$B$72)</f>
        <v>4</v>
      </c>
      <c r="D102" t="s">
        <v>105</v>
      </c>
      <c r="E102" s="21">
        <v>250</v>
      </c>
      <c r="F102" s="22">
        <f t="shared" si="2"/>
        <v>1000</v>
      </c>
      <c r="G102" s="22">
        <f t="shared" si="3"/>
        <v>0</v>
      </c>
      <c r="H102" s="24">
        <v>5</v>
      </c>
      <c r="I102" s="24">
        <f t="shared" si="4"/>
        <v>0</v>
      </c>
      <c r="J102" t="s">
        <v>86</v>
      </c>
    </row>
    <row r="103" spans="2:10" x14ac:dyDescent="0.25">
      <c r="B103">
        <f>SUMIF($D$1:$D$72,D103,$B$1:$B$72)</f>
        <v>0</v>
      </c>
      <c r="D103" t="s">
        <v>106</v>
      </c>
      <c r="E103" s="21">
        <v>222</v>
      </c>
      <c r="F103" s="22">
        <f t="shared" si="2"/>
        <v>0</v>
      </c>
      <c r="G103" s="22">
        <f t="shared" si="3"/>
        <v>0</v>
      </c>
      <c r="H103" s="24"/>
      <c r="I103" s="24">
        <f t="shared" si="4"/>
        <v>0</v>
      </c>
      <c r="J103" t="s">
        <v>107</v>
      </c>
    </row>
    <row r="104" spans="2:10" x14ac:dyDescent="0.25">
      <c r="B104">
        <f>SUMIF($D$1:$D$72,D104,$B$1:$B$72)</f>
        <v>0</v>
      </c>
      <c r="D104" t="s">
        <v>108</v>
      </c>
      <c r="E104" s="21">
        <v>250</v>
      </c>
      <c r="F104" s="22">
        <f t="shared" si="2"/>
        <v>0</v>
      </c>
      <c r="G104" s="22">
        <f t="shared" si="3"/>
        <v>0</v>
      </c>
      <c r="H104" s="24"/>
      <c r="I104" s="24">
        <f t="shared" si="4"/>
        <v>0</v>
      </c>
      <c r="J104" t="s">
        <v>110</v>
      </c>
    </row>
    <row r="105" spans="2:10" x14ac:dyDescent="0.25">
      <c r="B105">
        <f>SUMIF($D$1:$D$72,D105,$B$1:$B$72)</f>
        <v>1</v>
      </c>
      <c r="D105" t="s">
        <v>109</v>
      </c>
      <c r="E105" s="21">
        <v>300</v>
      </c>
      <c r="F105" s="22">
        <f t="shared" si="2"/>
        <v>300</v>
      </c>
      <c r="G105" s="22">
        <f t="shared" si="3"/>
        <v>300</v>
      </c>
      <c r="H105" s="24">
        <v>0</v>
      </c>
      <c r="I105" s="24">
        <f t="shared" si="4"/>
        <v>1</v>
      </c>
      <c r="J105" t="s">
        <v>111</v>
      </c>
    </row>
    <row r="106" spans="2:10" x14ac:dyDescent="0.25">
      <c r="H106" s="24">
        <v>0</v>
      </c>
      <c r="I106" s="24">
        <f t="shared" si="4"/>
        <v>0</v>
      </c>
    </row>
    <row r="107" spans="2:10" x14ac:dyDescent="0.25">
      <c r="B107">
        <f>SUMIF($D$1:$D$72,D107,$B$1:$B$72)</f>
        <v>1</v>
      </c>
      <c r="D107" t="s">
        <v>40</v>
      </c>
      <c r="H107" s="24">
        <v>0</v>
      </c>
      <c r="I107" s="24">
        <f t="shared" si="4"/>
        <v>1</v>
      </c>
      <c r="J107" t="s">
        <v>35</v>
      </c>
    </row>
    <row r="108" spans="2:10" x14ac:dyDescent="0.25">
      <c r="B108">
        <f>SUMIF($D$1:$D$72,D108,$B$1:$B$72)</f>
        <v>0</v>
      </c>
      <c r="D108" t="s">
        <v>41</v>
      </c>
      <c r="H108" s="24">
        <v>0</v>
      </c>
      <c r="I108" s="24">
        <f t="shared" si="4"/>
        <v>0</v>
      </c>
      <c r="J108" t="s">
        <v>42</v>
      </c>
    </row>
    <row r="109" spans="2:10" x14ac:dyDescent="0.25">
      <c r="B109">
        <f>SUMIF($D$1:$D$72,D109,$B$1:$B$72)</f>
        <v>2</v>
      </c>
      <c r="D109" t="s">
        <v>119</v>
      </c>
      <c r="H109" s="24">
        <v>0</v>
      </c>
      <c r="I109" s="24">
        <f t="shared" si="4"/>
        <v>2</v>
      </c>
    </row>
    <row r="110" spans="2:10" x14ac:dyDescent="0.25">
      <c r="B110">
        <f>SUMIF($D$1:$D$72,D110,$B$1:$B$72)</f>
        <v>1</v>
      </c>
      <c r="D110" t="s">
        <v>161</v>
      </c>
      <c r="H110" s="24"/>
      <c r="I110" s="24"/>
    </row>
    <row r="111" spans="2:10" x14ac:dyDescent="0.25">
      <c r="B111">
        <f>SUMIF($D$1:$D$72,D111,$B$1:$B$72)</f>
        <v>1</v>
      </c>
      <c r="D111" t="s">
        <v>164</v>
      </c>
      <c r="H111" s="24"/>
      <c r="I111" s="24"/>
    </row>
    <row r="112" spans="2:10" x14ac:dyDescent="0.25">
      <c r="B112">
        <f>SUMIF($D$1:$D$72,D112,$B$1:$B$72)</f>
        <v>1</v>
      </c>
      <c r="D112" t="s">
        <v>144</v>
      </c>
      <c r="H112" s="24">
        <v>0</v>
      </c>
      <c r="I112" s="24">
        <f t="shared" si="4"/>
        <v>1</v>
      </c>
      <c r="J112" t="s">
        <v>143</v>
      </c>
    </row>
    <row r="113" spans="2:10" x14ac:dyDescent="0.25">
      <c r="B113">
        <f>SUMIF($D$1:$D$72,D113,$B$1:$B$72)</f>
        <v>0</v>
      </c>
      <c r="D113" t="s">
        <v>155</v>
      </c>
      <c r="H113" s="24">
        <v>0</v>
      </c>
      <c r="I113" s="24">
        <f t="shared" si="4"/>
        <v>0</v>
      </c>
      <c r="J113" t="s">
        <v>154</v>
      </c>
    </row>
    <row r="114" spans="2:10" x14ac:dyDescent="0.25">
      <c r="B114">
        <f>SUMIF($D$1:$D$72,D114,$B$1:$B$72)</f>
        <v>0</v>
      </c>
      <c r="D114" t="s">
        <v>157</v>
      </c>
      <c r="E114" s="21">
        <v>59</v>
      </c>
      <c r="F114" s="22">
        <f t="shared" ref="F114" si="5">E114*B114</f>
        <v>0</v>
      </c>
      <c r="G114" s="22">
        <f t="shared" ref="G114" si="6">I114*E114</f>
        <v>0</v>
      </c>
      <c r="H114" s="24">
        <v>1</v>
      </c>
      <c r="I114" s="24">
        <f t="shared" si="4"/>
        <v>0</v>
      </c>
    </row>
    <row r="116" spans="2:10" ht="15.75" x14ac:dyDescent="0.25">
      <c r="F116" s="23">
        <f>SUM(F80:F106)</f>
        <v>1462.4</v>
      </c>
      <c r="G116" s="23">
        <f>SUM(G80:G106)</f>
        <v>300</v>
      </c>
      <c r="H116" s="23"/>
      <c r="I116" s="23"/>
    </row>
  </sheetData>
  <hyperlinks>
    <hyperlink ref="J83" r:id="rId1" xr:uid="{33221FD2-9205-4966-AFBF-E15E32492B0E}"/>
    <hyperlink ref="J87" r:id="rId2" xr:uid="{C148C300-CD23-4055-A158-AC5493D7815A}"/>
  </hyperlinks>
  <pageMargins left="0.7" right="0.7" top="0.78740157499999996" bottom="0.78740157499999996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AF9D8-9402-443A-AF97-E9F80DF2372F}">
  <dimension ref="A2:AM54"/>
  <sheetViews>
    <sheetView workbookViewId="0">
      <selection activeCell="D19" sqref="D19"/>
    </sheetView>
  </sheetViews>
  <sheetFormatPr defaultColWidth="8.85546875" defaultRowHeight="15" x14ac:dyDescent="0.25"/>
  <cols>
    <col min="1" max="1" width="11" customWidth="1"/>
    <col min="2" max="2" width="38.7109375" customWidth="1"/>
    <col min="3" max="3" width="13.28515625" bestFit="1" customWidth="1"/>
    <col min="4" max="4" width="13.28515625" customWidth="1"/>
    <col min="6" max="6" width="11.7109375" customWidth="1"/>
    <col min="7" max="7" width="4.7109375" bestFit="1" customWidth="1"/>
    <col min="10" max="10" width="11" customWidth="1"/>
    <col min="12" max="12" width="7.42578125" bestFit="1" customWidth="1"/>
    <col min="14" max="14" width="11.42578125" bestFit="1" customWidth="1"/>
    <col min="15" max="18" width="9.7109375" customWidth="1"/>
    <col min="19" max="19" width="10.28515625" bestFit="1" customWidth="1"/>
    <col min="20" max="20" width="9.5703125" bestFit="1" customWidth="1"/>
    <col min="25" max="27" width="16.28515625" customWidth="1"/>
    <col min="32" max="32" width="32.5703125" customWidth="1"/>
  </cols>
  <sheetData>
    <row r="2" spans="1:7" x14ac:dyDescent="0.25">
      <c r="C2" t="s">
        <v>19</v>
      </c>
      <c r="E2" t="s">
        <v>31</v>
      </c>
      <c r="F2" t="s">
        <v>20</v>
      </c>
      <c r="G2" t="s">
        <v>19</v>
      </c>
    </row>
    <row r="3" spans="1:7" x14ac:dyDescent="0.25">
      <c r="A3" t="s">
        <v>50</v>
      </c>
      <c r="C3">
        <v>108</v>
      </c>
      <c r="D3" t="s">
        <v>4</v>
      </c>
      <c r="F3">
        <f>C3</f>
        <v>108</v>
      </c>
    </row>
    <row r="4" spans="1:7" x14ac:dyDescent="0.25">
      <c r="A4" t="s">
        <v>52</v>
      </c>
      <c r="C4">
        <v>167</v>
      </c>
      <c r="D4" t="s">
        <v>4</v>
      </c>
      <c r="F4">
        <f>C4</f>
        <v>167</v>
      </c>
    </row>
    <row r="5" spans="1:7" x14ac:dyDescent="0.25">
      <c r="A5" t="s">
        <v>51</v>
      </c>
      <c r="C5">
        <v>0</v>
      </c>
      <c r="D5" t="s">
        <v>4</v>
      </c>
      <c r="F5">
        <f>C5</f>
        <v>0</v>
      </c>
    </row>
    <row r="6" spans="1:7" x14ac:dyDescent="0.25">
      <c r="A6" t="s">
        <v>54</v>
      </c>
      <c r="C6">
        <v>150</v>
      </c>
      <c r="D6" t="s">
        <v>4</v>
      </c>
    </row>
    <row r="7" spans="1:7" x14ac:dyDescent="0.25">
      <c r="A7" t="s">
        <v>53</v>
      </c>
      <c r="C7" s="1">
        <v>0.5</v>
      </c>
      <c r="D7" t="s">
        <v>6</v>
      </c>
      <c r="E7" s="1"/>
      <c r="F7">
        <v>0.5</v>
      </c>
      <c r="G7" s="1">
        <f>E7+F7</f>
        <v>0.5</v>
      </c>
    </row>
    <row r="8" spans="1:7" x14ac:dyDescent="0.25">
      <c r="A8" t="s">
        <v>7</v>
      </c>
      <c r="C8" s="1">
        <f>C26*2+0.25</f>
        <v>0.496</v>
      </c>
      <c r="D8" t="s">
        <v>6</v>
      </c>
      <c r="F8" s="1">
        <f>0.4+C31</f>
        <v>1.6</v>
      </c>
      <c r="G8" s="1">
        <f>E8+F8</f>
        <v>1.6</v>
      </c>
    </row>
    <row r="9" spans="1:7" x14ac:dyDescent="0.25">
      <c r="A9" t="s">
        <v>8</v>
      </c>
      <c r="C9" s="1">
        <f>C25+C27+0.15</f>
        <v>0.35499999999999998</v>
      </c>
      <c r="D9" t="s">
        <v>6</v>
      </c>
      <c r="F9" s="1">
        <f>0.4+C29+C30</f>
        <v>1.4</v>
      </c>
      <c r="G9" s="1">
        <f>E9+F9</f>
        <v>1.4</v>
      </c>
    </row>
    <row r="10" spans="1:7" x14ac:dyDescent="0.25">
      <c r="A10" t="s">
        <v>9</v>
      </c>
      <c r="C10" s="1">
        <f>C25+C26+0.15</f>
        <v>0.33299999999999996</v>
      </c>
      <c r="D10" t="s">
        <v>6</v>
      </c>
      <c r="F10" s="1">
        <f>0.4+C29</f>
        <v>0.8</v>
      </c>
      <c r="G10" s="1">
        <f>E10+F10</f>
        <v>0.8</v>
      </c>
    </row>
    <row r="11" spans="1:7" x14ac:dyDescent="0.25">
      <c r="G11" s="1">
        <f>SUM(G7:G10)</f>
        <v>4.3</v>
      </c>
    </row>
    <row r="12" spans="1:7" x14ac:dyDescent="0.25">
      <c r="A12" t="s">
        <v>10</v>
      </c>
      <c r="C12" s="3">
        <v>0.3</v>
      </c>
      <c r="D12" s="3"/>
    </row>
    <row r="13" spans="1:7" x14ac:dyDescent="0.25">
      <c r="A13" t="s">
        <v>11</v>
      </c>
      <c r="C13">
        <v>9.81</v>
      </c>
      <c r="E13" t="s">
        <v>12</v>
      </c>
    </row>
    <row r="14" spans="1:7" x14ac:dyDescent="0.25">
      <c r="A14" t="s">
        <v>13</v>
      </c>
      <c r="C14" s="1">
        <f>C13/2</f>
        <v>4.9050000000000002</v>
      </c>
      <c r="E14" t="s">
        <v>12</v>
      </c>
    </row>
    <row r="16" spans="1:7" x14ac:dyDescent="0.25">
      <c r="C16" s="1"/>
      <c r="D16" s="1"/>
      <c r="E16" t="s">
        <v>4</v>
      </c>
    </row>
    <row r="17" spans="1:39" x14ac:dyDescent="0.25">
      <c r="A17" t="s">
        <v>14</v>
      </c>
      <c r="C17" s="2">
        <f>((C3+C4)*(C8+C9+C10)*($C$14))/1000</f>
        <v>1.5970679999999999</v>
      </c>
      <c r="D17" s="2">
        <f>E26</f>
        <v>5.2</v>
      </c>
      <c r="E17" t="s">
        <v>15</v>
      </c>
      <c r="F17" s="2">
        <f>((F3+F4+F5)*(F8+F9+F10)*($C$14))/1000</f>
        <v>5.1257250000000001</v>
      </c>
    </row>
    <row r="18" spans="1:39" x14ac:dyDescent="0.25">
      <c r="A18" t="s">
        <v>16</v>
      </c>
      <c r="C18" s="2">
        <f>(((C3+C4+C6)*(C7)+(C3+C4)*(C10)+(C3)*C9+C3)*(C13+$C$14))/1000</f>
        <v>6.627856725</v>
      </c>
      <c r="D18" s="2">
        <f>2*E26</f>
        <v>10.4</v>
      </c>
      <c r="E18" t="s">
        <v>15</v>
      </c>
      <c r="F18" s="2">
        <f>((F3+F4+F5)*(F7+F8+F9+F10)*($C$14+$C$14))/1000</f>
        <v>11.600325000000002</v>
      </c>
    </row>
    <row r="19" spans="1:39" x14ac:dyDescent="0.25">
      <c r="A19" t="s">
        <v>17</v>
      </c>
      <c r="C19" s="2">
        <f>(((C4+C6)*C7 + C4*C9)*(C14+$C$14))/1000</f>
        <v>2.1364708500000003</v>
      </c>
      <c r="D19" s="1">
        <f>E26</f>
        <v>5.2</v>
      </c>
      <c r="E19" t="s">
        <v>15</v>
      </c>
      <c r="F19" s="1">
        <f>((F4+F5)*(F9+F10+F7)*($C$13+$C$14))/1000</f>
        <v>6.6349935000000002</v>
      </c>
    </row>
    <row r="20" spans="1:39" x14ac:dyDescent="0.25">
      <c r="A20" t="s">
        <v>18</v>
      </c>
      <c r="C20" s="1">
        <f>((C6)*(C10+C7)*($C$14))/1000</f>
        <v>0.61287974999999995</v>
      </c>
      <c r="D20" s="1">
        <f>E25</f>
        <v>2.4</v>
      </c>
      <c r="E20" t="s">
        <v>15</v>
      </c>
      <c r="F20" s="1">
        <f>((F5)*(F10+F7)*($C$14))/1000</f>
        <v>0</v>
      </c>
    </row>
    <row r="21" spans="1:39" x14ac:dyDescent="0.25">
      <c r="A21" t="s">
        <v>44</v>
      </c>
      <c r="C21" s="1">
        <f>((C6)*(C10+C7)*($C$14))/1000</f>
        <v>0.61287974999999995</v>
      </c>
      <c r="D21" s="1">
        <f>E26</f>
        <v>5.2</v>
      </c>
      <c r="E21" t="s">
        <v>15</v>
      </c>
      <c r="F21" s="1">
        <f>((F5)*(F10+F7)*($C$14))/1000</f>
        <v>0</v>
      </c>
    </row>
    <row r="22" spans="1:39" x14ac:dyDescent="0.25">
      <c r="A22" t="s">
        <v>43</v>
      </c>
      <c r="C22" s="1">
        <f>((C6)*(C7)*($C$14))/1000</f>
        <v>0.36787500000000001</v>
      </c>
      <c r="D22" s="1">
        <f>E25</f>
        <v>2.4</v>
      </c>
      <c r="E22" t="s">
        <v>15</v>
      </c>
      <c r="F22" s="1">
        <f>((F7)*(F11+F8)*($C$14))/1000</f>
        <v>3.9240000000000004E-3</v>
      </c>
    </row>
    <row r="23" spans="1:39" x14ac:dyDescent="0.25">
      <c r="C23" s="1"/>
      <c r="D23" s="1"/>
    </row>
    <row r="24" spans="1:39" x14ac:dyDescent="0.25">
      <c r="C24" s="1" t="s">
        <v>24</v>
      </c>
      <c r="D24" s="1"/>
    </row>
    <row r="25" spans="1:39" x14ac:dyDescent="0.25">
      <c r="A25" t="s">
        <v>21</v>
      </c>
      <c r="C25" s="1">
        <v>0.06</v>
      </c>
      <c r="D25" t="s">
        <v>6</v>
      </c>
      <c r="E25">
        <v>2.4</v>
      </c>
      <c r="F25" t="s">
        <v>15</v>
      </c>
    </row>
    <row r="26" spans="1:39" x14ac:dyDescent="0.25">
      <c r="A26" t="s">
        <v>22</v>
      </c>
      <c r="C26" s="16">
        <v>0.123</v>
      </c>
      <c r="D26" t="s">
        <v>6</v>
      </c>
      <c r="E26" s="1">
        <v>5.2</v>
      </c>
      <c r="F26" t="s">
        <v>15</v>
      </c>
    </row>
    <row r="27" spans="1:39" x14ac:dyDescent="0.25">
      <c r="A27" t="s">
        <v>23</v>
      </c>
      <c r="C27" s="16">
        <v>0.14499999999999999</v>
      </c>
      <c r="D27" t="s">
        <v>6</v>
      </c>
      <c r="E27">
        <v>7.7</v>
      </c>
      <c r="F27" t="s">
        <v>15</v>
      </c>
    </row>
    <row r="28" spans="1:39" x14ac:dyDescent="0.25">
      <c r="C28" s="1"/>
      <c r="D28" s="1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9" x14ac:dyDescent="0.25">
      <c r="A29" t="s">
        <v>28</v>
      </c>
      <c r="C29" s="1">
        <v>0.4</v>
      </c>
      <c r="D29" t="s">
        <v>6</v>
      </c>
      <c r="E29">
        <v>4.8</v>
      </c>
      <c r="F29" t="s">
        <v>15</v>
      </c>
      <c r="G29" s="4" t="s">
        <v>34</v>
      </c>
      <c r="H29" s="4" t="s">
        <v>5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39" ht="45" x14ac:dyDescent="0.25">
      <c r="A30" t="s">
        <v>29</v>
      </c>
      <c r="C30" s="1">
        <v>0.6</v>
      </c>
      <c r="D30" t="s">
        <v>6</v>
      </c>
      <c r="E30">
        <v>11</v>
      </c>
      <c r="F30" t="s">
        <v>15</v>
      </c>
      <c r="G30" s="6" t="s">
        <v>33</v>
      </c>
      <c r="H30" s="4" t="s">
        <v>32</v>
      </c>
      <c r="I30" s="4"/>
      <c r="J30" s="4"/>
      <c r="K30" s="4"/>
      <c r="L30" s="4"/>
      <c r="M30" s="4"/>
      <c r="N30" s="4"/>
      <c r="O30" s="7"/>
      <c r="P30" s="7"/>
      <c r="Q30" s="7"/>
      <c r="R30" s="7"/>
      <c r="S30" s="4"/>
      <c r="T30" s="4"/>
      <c r="U30" s="8"/>
      <c r="W30" s="1"/>
      <c r="X30" s="1"/>
      <c r="Y30" s="9"/>
      <c r="Z30" s="9"/>
      <c r="AA30" s="9"/>
    </row>
    <row r="31" spans="1:39" x14ac:dyDescent="0.25">
      <c r="A31" t="s">
        <v>30</v>
      </c>
      <c r="C31" s="1">
        <v>1.2</v>
      </c>
      <c r="D31" t="s">
        <v>6</v>
      </c>
      <c r="E31">
        <v>28</v>
      </c>
      <c r="F31" t="s">
        <v>15</v>
      </c>
      <c r="G31" s="6">
        <v>1</v>
      </c>
      <c r="H31" s="4" t="s">
        <v>3</v>
      </c>
      <c r="I31" s="4"/>
      <c r="J31" s="4"/>
      <c r="K31" s="4"/>
      <c r="L31" s="4"/>
      <c r="M31" s="4"/>
      <c r="N31" s="4"/>
      <c r="O31" s="7"/>
      <c r="P31" s="7"/>
      <c r="Q31" s="7"/>
      <c r="R31" s="7"/>
      <c r="S31" s="4"/>
      <c r="T31" s="4"/>
      <c r="U31" s="8"/>
      <c r="W31" s="1"/>
      <c r="X31" s="1"/>
      <c r="Y31" s="9"/>
      <c r="Z31" s="9"/>
      <c r="AA31" s="9"/>
    </row>
    <row r="32" spans="1:39" ht="17.45" customHeight="1" x14ac:dyDescent="0.25">
      <c r="C32" s="1"/>
      <c r="D32" s="1"/>
      <c r="F32" s="5"/>
      <c r="G32" s="6"/>
      <c r="H32" s="4"/>
      <c r="I32" s="4"/>
      <c r="J32" s="4"/>
      <c r="K32" s="4"/>
      <c r="L32" s="4"/>
      <c r="M32" s="4"/>
      <c r="N32" s="4"/>
      <c r="O32" s="7"/>
      <c r="P32" s="10"/>
      <c r="Q32" s="10"/>
      <c r="R32" s="10"/>
      <c r="S32" s="4"/>
      <c r="T32" s="4"/>
      <c r="U32" s="11"/>
      <c r="W32" s="1"/>
      <c r="X32" s="1"/>
      <c r="Y32" s="9"/>
      <c r="Z32" s="9"/>
      <c r="AA32" s="9"/>
      <c r="AB32" s="4"/>
      <c r="AC32" s="4"/>
      <c r="AG32" s="4"/>
      <c r="AH32" s="4"/>
      <c r="AI32" s="4"/>
      <c r="AJ32" s="4"/>
      <c r="AK32" s="4"/>
      <c r="AL32" s="4"/>
      <c r="AM32" s="4"/>
    </row>
    <row r="33" spans="3:39" x14ac:dyDescent="0.25">
      <c r="C33" s="1"/>
      <c r="D33" s="1"/>
      <c r="F33" s="5"/>
      <c r="G33" s="6"/>
      <c r="H33" s="4"/>
      <c r="I33" s="4"/>
      <c r="J33" s="4"/>
      <c r="K33" s="4"/>
      <c r="L33" s="4"/>
      <c r="M33" s="4"/>
      <c r="N33" s="4"/>
      <c r="O33" s="7"/>
      <c r="P33" s="10"/>
      <c r="Q33" s="10"/>
      <c r="R33" s="10"/>
      <c r="S33" s="4"/>
      <c r="T33" s="4"/>
      <c r="U33" s="11"/>
      <c r="W33" s="1"/>
      <c r="X33" s="1"/>
      <c r="Y33" s="9"/>
      <c r="Z33" s="9"/>
      <c r="AA33" s="9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3:39" x14ac:dyDescent="0.25">
      <c r="C34" s="1"/>
      <c r="D34" s="1"/>
      <c r="F34" s="5"/>
      <c r="G34" s="6"/>
      <c r="H34" s="4"/>
      <c r="I34" s="4"/>
      <c r="J34" s="4"/>
      <c r="K34" s="4"/>
      <c r="L34" s="4"/>
      <c r="M34" s="4"/>
      <c r="N34" s="4"/>
      <c r="O34" s="7"/>
      <c r="P34" s="10"/>
      <c r="Q34" s="10"/>
      <c r="R34" s="10"/>
      <c r="S34" s="4"/>
      <c r="T34" s="4"/>
      <c r="U34" s="11"/>
      <c r="W34" s="1"/>
      <c r="X34" s="1"/>
      <c r="Y34" s="9"/>
      <c r="Z34" s="9"/>
      <c r="AA34" s="9"/>
      <c r="AB34" s="4"/>
      <c r="AC34" s="4"/>
      <c r="AD34" s="4"/>
      <c r="AE34" s="4"/>
      <c r="AF34" s="12"/>
      <c r="AG34" s="4"/>
      <c r="AH34" s="4"/>
      <c r="AI34" s="4"/>
      <c r="AJ34" s="4"/>
      <c r="AK34" s="4"/>
      <c r="AL34" s="4"/>
      <c r="AM34" s="4"/>
    </row>
    <row r="35" spans="3:39" x14ac:dyDescent="0.25">
      <c r="C35" s="1"/>
      <c r="D35" s="1"/>
      <c r="F35" s="13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14"/>
      <c r="U35" s="15"/>
      <c r="V35" s="4"/>
      <c r="W35" s="1"/>
      <c r="X35" s="1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3:39" x14ac:dyDescent="0.25">
      <c r="C36" s="16"/>
      <c r="E36" s="6"/>
      <c r="F36" s="6"/>
      <c r="G36" s="4"/>
      <c r="H36" s="4"/>
      <c r="I36" s="4"/>
      <c r="J36" s="4"/>
      <c r="K36" s="4"/>
      <c r="L36" s="4"/>
      <c r="M36" s="4"/>
      <c r="N36" s="4"/>
      <c r="P36" s="4"/>
      <c r="Q36" s="4"/>
      <c r="R36" s="4"/>
      <c r="S36" s="4"/>
      <c r="T36" s="14"/>
      <c r="X36" s="1"/>
    </row>
    <row r="37" spans="3:39" x14ac:dyDescent="0.25">
      <c r="C37" s="16"/>
      <c r="E37" s="6"/>
      <c r="F37" s="6"/>
      <c r="G37" s="4"/>
      <c r="H37" s="4"/>
      <c r="I37" s="4"/>
      <c r="J37" s="4"/>
      <c r="K37" s="4"/>
      <c r="L37" s="4"/>
      <c r="M37" s="4"/>
      <c r="N37" s="4"/>
      <c r="P37" s="4"/>
      <c r="Q37" s="4"/>
      <c r="R37" s="4"/>
      <c r="S37" s="4"/>
      <c r="T37" s="14"/>
      <c r="X37" s="1"/>
    </row>
    <row r="38" spans="3:39" x14ac:dyDescent="0.25">
      <c r="C38" s="16"/>
    </row>
    <row r="39" spans="3:39" x14ac:dyDescent="0.25">
      <c r="C39" s="1"/>
      <c r="D39" s="1"/>
    </row>
    <row r="40" spans="3:39" x14ac:dyDescent="0.25">
      <c r="C40" s="1"/>
      <c r="D40" s="1"/>
    </row>
    <row r="41" spans="3:39" x14ac:dyDescent="0.25">
      <c r="C41" s="1"/>
      <c r="D41" s="1"/>
    </row>
    <row r="42" spans="3:39" x14ac:dyDescent="0.25">
      <c r="C42" s="1"/>
      <c r="D42" s="1"/>
    </row>
    <row r="45" spans="3:39" x14ac:dyDescent="0.25">
      <c r="C45" s="17"/>
      <c r="D45" s="17"/>
    </row>
    <row r="46" spans="3:39" x14ac:dyDescent="0.25">
      <c r="C46" s="17"/>
      <c r="D46" s="17"/>
    </row>
    <row r="47" spans="3:39" x14ac:dyDescent="0.25">
      <c r="C47" s="17"/>
      <c r="D47" s="17"/>
      <c r="F47" s="17"/>
    </row>
    <row r="48" spans="3:39" x14ac:dyDescent="0.25">
      <c r="C48" s="17"/>
      <c r="D48" s="17"/>
    </row>
    <row r="49" spans="3:4" ht="22.9" customHeight="1" x14ac:dyDescent="0.25"/>
    <row r="51" spans="3:4" x14ac:dyDescent="0.25">
      <c r="C51" s="17"/>
      <c r="D51" s="17"/>
    </row>
    <row r="52" spans="3:4" x14ac:dyDescent="0.25">
      <c r="C52" s="17"/>
      <c r="D52" s="17"/>
    </row>
    <row r="53" spans="3:4" x14ac:dyDescent="0.25">
      <c r="C53" s="17"/>
      <c r="D53" s="17"/>
    </row>
    <row r="54" spans="3:4" x14ac:dyDescent="0.25">
      <c r="C54" s="17"/>
      <c r="D54" s="17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</vt:lpstr>
      <vt:lpstr>BOM</vt:lpstr>
      <vt:lpstr>Torque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JochenAlt</dc:creator>
  <cp:lastModifiedBy>Jochen Alt</cp:lastModifiedBy>
  <dcterms:created xsi:type="dcterms:W3CDTF">2015-06-05T18:19:34Z</dcterms:created>
  <dcterms:modified xsi:type="dcterms:W3CDTF">2020-07-04T16:55:38Z</dcterms:modified>
</cp:coreProperties>
</file>